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korkiat.s\Downloads\"/>
    </mc:Choice>
  </mc:AlternateContent>
  <bookViews>
    <workbookView xWindow="-120" yWindow="-120" windowWidth="20730" windowHeight="11160" activeTab="1"/>
  </bookViews>
  <sheets>
    <sheet name="Path" sheetId="1" r:id="rId1"/>
    <sheet name="Port" sheetId="7" r:id="rId2"/>
    <sheet name="Compare" sheetId="10" r:id="rId3"/>
    <sheet name="CBIRC param" sheetId="12" r:id="rId4"/>
    <sheet name="Result" sheetId="11" r:id="rId5"/>
    <sheet name="CLPIL_NEW" sheetId="4" r:id="rId6"/>
    <sheet name="Summary" sheetId="5" r:id="rId7"/>
  </sheets>
  <definedNames>
    <definedName name="anscount" hidden="1">1</definedName>
    <definedName name="ExternalData_1" localSheetId="1" hidden="1">Port!$A$1:$U$759</definedName>
    <definedName name="ExternalData_4" localSheetId="2" hidden="1">Compare!$A$1:$AO$887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" i="7" l="1"/>
  <c r="AQ3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104" i="7"/>
  <c r="AQ105" i="7"/>
  <c r="AQ106" i="7"/>
  <c r="AQ107" i="7"/>
  <c r="AQ108" i="7"/>
  <c r="AQ109" i="7"/>
  <c r="AQ110" i="7"/>
  <c r="AQ111" i="7"/>
  <c r="AQ112" i="7"/>
  <c r="AQ113" i="7"/>
  <c r="AQ114" i="7"/>
  <c r="AQ115" i="7"/>
  <c r="AQ116" i="7"/>
  <c r="AQ117" i="7"/>
  <c r="AQ118" i="7"/>
  <c r="AQ119" i="7"/>
  <c r="AQ120" i="7"/>
  <c r="AQ121" i="7"/>
  <c r="AQ122" i="7"/>
  <c r="AQ123" i="7"/>
  <c r="AQ124" i="7"/>
  <c r="AQ125" i="7"/>
  <c r="AQ126" i="7"/>
  <c r="AQ127" i="7"/>
  <c r="AQ128" i="7"/>
  <c r="AQ129" i="7"/>
  <c r="AQ130" i="7"/>
  <c r="AQ131" i="7"/>
  <c r="AQ132" i="7"/>
  <c r="AQ133" i="7"/>
  <c r="AQ134" i="7"/>
  <c r="AQ135" i="7"/>
  <c r="AQ136" i="7"/>
  <c r="AQ137" i="7"/>
  <c r="AQ138" i="7"/>
  <c r="AQ139" i="7"/>
  <c r="AQ140" i="7"/>
  <c r="AQ141" i="7"/>
  <c r="AQ142" i="7"/>
  <c r="AQ143" i="7"/>
  <c r="AQ144" i="7"/>
  <c r="AQ145" i="7"/>
  <c r="AQ146" i="7"/>
  <c r="AQ147" i="7"/>
  <c r="AQ148" i="7"/>
  <c r="AQ149" i="7"/>
  <c r="AQ150" i="7"/>
  <c r="AQ151" i="7"/>
  <c r="AQ152" i="7"/>
  <c r="AQ153" i="7"/>
  <c r="AQ154" i="7"/>
  <c r="AQ155" i="7"/>
  <c r="AQ156" i="7"/>
  <c r="AQ157" i="7"/>
  <c r="AQ158" i="7"/>
  <c r="AQ159" i="7"/>
  <c r="AQ160" i="7"/>
  <c r="AQ161" i="7"/>
  <c r="AQ162" i="7"/>
  <c r="AQ163" i="7"/>
  <c r="AQ164" i="7"/>
  <c r="AQ165" i="7"/>
  <c r="AQ166" i="7"/>
  <c r="AQ167" i="7"/>
  <c r="AQ168" i="7"/>
  <c r="AQ169" i="7"/>
  <c r="AQ170" i="7"/>
  <c r="AQ171" i="7"/>
  <c r="AQ172" i="7"/>
  <c r="AQ173" i="7"/>
  <c r="AQ174" i="7"/>
  <c r="AQ175" i="7"/>
  <c r="AQ176" i="7"/>
  <c r="AQ177" i="7"/>
  <c r="AQ178" i="7"/>
  <c r="AQ179" i="7"/>
  <c r="AQ180" i="7"/>
  <c r="AQ181" i="7"/>
  <c r="AQ182" i="7"/>
  <c r="AQ183" i="7"/>
  <c r="AQ184" i="7"/>
  <c r="AQ185" i="7"/>
  <c r="AQ186" i="7"/>
  <c r="AQ187" i="7"/>
  <c r="AQ188" i="7"/>
  <c r="AQ189" i="7"/>
  <c r="AQ190" i="7"/>
  <c r="AQ191" i="7"/>
  <c r="AQ192" i="7"/>
  <c r="AQ193" i="7"/>
  <c r="AQ194" i="7"/>
  <c r="AQ195" i="7"/>
  <c r="AQ196" i="7"/>
  <c r="AQ197" i="7"/>
  <c r="AQ198" i="7"/>
  <c r="AQ199" i="7"/>
  <c r="AQ200" i="7"/>
  <c r="AQ201" i="7"/>
  <c r="AQ202" i="7"/>
  <c r="AQ203" i="7"/>
  <c r="AQ204" i="7"/>
  <c r="AQ205" i="7"/>
  <c r="AQ206" i="7"/>
  <c r="AQ207" i="7"/>
  <c r="AQ208" i="7"/>
  <c r="AQ209" i="7"/>
  <c r="AQ210" i="7"/>
  <c r="AQ211" i="7"/>
  <c r="AQ212" i="7"/>
  <c r="AQ213" i="7"/>
  <c r="AQ214" i="7"/>
  <c r="AQ215" i="7"/>
  <c r="AQ216" i="7"/>
  <c r="AQ217" i="7"/>
  <c r="AQ218" i="7"/>
  <c r="AQ219" i="7"/>
  <c r="AQ220" i="7"/>
  <c r="AQ221" i="7"/>
  <c r="AQ222" i="7"/>
  <c r="AQ223" i="7"/>
  <c r="AQ224" i="7"/>
  <c r="AQ225" i="7"/>
  <c r="AQ226" i="7"/>
  <c r="AQ227" i="7"/>
  <c r="AQ228" i="7"/>
  <c r="AQ229" i="7"/>
  <c r="AQ230" i="7"/>
  <c r="AQ231" i="7"/>
  <c r="AQ232" i="7"/>
  <c r="AQ233" i="7"/>
  <c r="AQ234" i="7"/>
  <c r="AQ235" i="7"/>
  <c r="AQ236" i="7"/>
  <c r="AQ237" i="7"/>
  <c r="AQ238" i="7"/>
  <c r="AQ239" i="7"/>
  <c r="AQ240" i="7"/>
  <c r="AQ241" i="7"/>
  <c r="AQ242" i="7"/>
  <c r="AQ243" i="7"/>
  <c r="AQ244" i="7"/>
  <c r="AQ245" i="7"/>
  <c r="AQ246" i="7"/>
  <c r="AQ247" i="7"/>
  <c r="AQ248" i="7"/>
  <c r="AQ249" i="7"/>
  <c r="AQ250" i="7"/>
  <c r="AQ251" i="7"/>
  <c r="AQ252" i="7"/>
  <c r="AQ253" i="7"/>
  <c r="AQ254" i="7"/>
  <c r="AQ255" i="7"/>
  <c r="AQ256" i="7"/>
  <c r="AQ257" i="7"/>
  <c r="AQ258" i="7"/>
  <c r="AQ259" i="7"/>
  <c r="AQ260" i="7"/>
  <c r="AQ261" i="7"/>
  <c r="AQ262" i="7"/>
  <c r="AQ263" i="7"/>
  <c r="AQ264" i="7"/>
  <c r="AQ265" i="7"/>
  <c r="AQ266" i="7"/>
  <c r="AQ267" i="7"/>
  <c r="AQ268" i="7"/>
  <c r="AQ269" i="7"/>
  <c r="AQ270" i="7"/>
  <c r="AQ271" i="7"/>
  <c r="AQ272" i="7"/>
  <c r="AQ273" i="7"/>
  <c r="AQ274" i="7"/>
  <c r="AQ275" i="7"/>
  <c r="AQ276" i="7"/>
  <c r="AQ277" i="7"/>
  <c r="AQ278" i="7"/>
  <c r="AQ279" i="7"/>
  <c r="AQ280" i="7"/>
  <c r="AQ281" i="7"/>
  <c r="AQ282" i="7"/>
  <c r="AQ283" i="7"/>
  <c r="AQ284" i="7"/>
  <c r="AQ285" i="7"/>
  <c r="AQ286" i="7"/>
  <c r="AQ287" i="7"/>
  <c r="AQ288" i="7"/>
  <c r="AQ289" i="7"/>
  <c r="AQ290" i="7"/>
  <c r="AQ291" i="7"/>
  <c r="AQ292" i="7"/>
  <c r="AQ293" i="7"/>
  <c r="AQ294" i="7"/>
  <c r="AQ295" i="7"/>
  <c r="AQ296" i="7"/>
  <c r="AQ297" i="7"/>
  <c r="AQ298" i="7"/>
  <c r="AQ299" i="7"/>
  <c r="AQ300" i="7"/>
  <c r="AQ301" i="7"/>
  <c r="AQ302" i="7"/>
  <c r="AQ303" i="7"/>
  <c r="AQ304" i="7"/>
  <c r="AQ305" i="7"/>
  <c r="AQ306" i="7"/>
  <c r="AQ307" i="7"/>
  <c r="AQ308" i="7"/>
  <c r="AQ309" i="7"/>
  <c r="AQ310" i="7"/>
  <c r="AQ311" i="7"/>
  <c r="AQ312" i="7"/>
  <c r="AQ313" i="7"/>
  <c r="AQ314" i="7"/>
  <c r="AQ315" i="7"/>
  <c r="AQ316" i="7"/>
  <c r="AQ317" i="7"/>
  <c r="AQ318" i="7"/>
  <c r="AQ319" i="7"/>
  <c r="AQ320" i="7"/>
  <c r="AQ321" i="7"/>
  <c r="AQ322" i="7"/>
  <c r="AQ323" i="7"/>
  <c r="AQ324" i="7"/>
  <c r="AQ325" i="7"/>
  <c r="AQ326" i="7"/>
  <c r="AQ327" i="7"/>
  <c r="AQ328" i="7"/>
  <c r="AQ329" i="7"/>
  <c r="AQ330" i="7"/>
  <c r="AQ331" i="7"/>
  <c r="AQ332" i="7"/>
  <c r="AQ333" i="7"/>
  <c r="AQ334" i="7"/>
  <c r="AQ335" i="7"/>
  <c r="AQ336" i="7"/>
  <c r="AQ337" i="7"/>
  <c r="AQ338" i="7"/>
  <c r="AQ339" i="7"/>
  <c r="AQ340" i="7"/>
  <c r="AQ341" i="7"/>
  <c r="AQ342" i="7"/>
  <c r="AQ343" i="7"/>
  <c r="AQ344" i="7"/>
  <c r="AQ345" i="7"/>
  <c r="AQ346" i="7"/>
  <c r="AQ347" i="7"/>
  <c r="AQ348" i="7"/>
  <c r="AQ349" i="7"/>
  <c r="AQ350" i="7"/>
  <c r="AQ351" i="7"/>
  <c r="AQ352" i="7"/>
  <c r="AQ353" i="7"/>
  <c r="AQ354" i="7"/>
  <c r="AQ355" i="7"/>
  <c r="AQ356" i="7"/>
  <c r="AQ357" i="7"/>
  <c r="AQ358" i="7"/>
  <c r="AQ359" i="7"/>
  <c r="AQ360" i="7"/>
  <c r="AQ361" i="7"/>
  <c r="AQ362" i="7"/>
  <c r="AQ363" i="7"/>
  <c r="AQ364" i="7"/>
  <c r="AQ365" i="7"/>
  <c r="AQ366" i="7"/>
  <c r="AQ367" i="7"/>
  <c r="AQ368" i="7"/>
  <c r="AQ369" i="7"/>
  <c r="AQ370" i="7"/>
  <c r="AQ371" i="7"/>
  <c r="AQ372" i="7"/>
  <c r="AQ373" i="7"/>
  <c r="AQ374" i="7"/>
  <c r="AQ375" i="7"/>
  <c r="AQ376" i="7"/>
  <c r="AQ377" i="7"/>
  <c r="AQ378" i="7"/>
  <c r="AQ379" i="7"/>
  <c r="AQ380" i="7"/>
  <c r="AQ381" i="7"/>
  <c r="AQ382" i="7"/>
  <c r="AQ383" i="7"/>
  <c r="AQ384" i="7"/>
  <c r="AQ385" i="7"/>
  <c r="AQ386" i="7"/>
  <c r="AQ387" i="7"/>
  <c r="AQ388" i="7"/>
  <c r="AQ389" i="7"/>
  <c r="AQ390" i="7"/>
  <c r="AQ391" i="7"/>
  <c r="AQ392" i="7"/>
  <c r="AQ393" i="7"/>
  <c r="AQ394" i="7"/>
  <c r="AQ395" i="7"/>
  <c r="AQ396" i="7"/>
  <c r="AQ397" i="7"/>
  <c r="AQ398" i="7"/>
  <c r="AQ399" i="7"/>
  <c r="AQ400" i="7"/>
  <c r="AQ401" i="7"/>
  <c r="AQ402" i="7"/>
  <c r="AQ403" i="7"/>
  <c r="AQ404" i="7"/>
  <c r="AQ405" i="7"/>
  <c r="AQ406" i="7"/>
  <c r="AQ407" i="7"/>
  <c r="AQ408" i="7"/>
  <c r="AQ409" i="7"/>
  <c r="AQ410" i="7"/>
  <c r="AQ411" i="7"/>
  <c r="AQ412" i="7"/>
  <c r="AQ413" i="7"/>
  <c r="AQ414" i="7"/>
  <c r="AQ415" i="7"/>
  <c r="AQ416" i="7"/>
  <c r="AQ417" i="7"/>
  <c r="AQ418" i="7"/>
  <c r="AQ419" i="7"/>
  <c r="AQ420" i="7"/>
  <c r="AQ421" i="7"/>
  <c r="AQ422" i="7"/>
  <c r="AQ423" i="7"/>
  <c r="AQ424" i="7"/>
  <c r="AQ425" i="7"/>
  <c r="AQ426" i="7"/>
  <c r="AQ427" i="7"/>
  <c r="AQ428" i="7"/>
  <c r="AQ429" i="7"/>
  <c r="AQ430" i="7"/>
  <c r="AQ431" i="7"/>
  <c r="AQ432" i="7"/>
  <c r="AQ433" i="7"/>
  <c r="AQ434" i="7"/>
  <c r="AQ435" i="7"/>
  <c r="AQ436" i="7"/>
  <c r="AQ437" i="7"/>
  <c r="AQ438" i="7"/>
  <c r="AQ439" i="7"/>
  <c r="AQ440" i="7"/>
  <c r="AQ441" i="7"/>
  <c r="AQ442" i="7"/>
  <c r="AQ443" i="7"/>
  <c r="AQ444" i="7"/>
  <c r="AQ445" i="7"/>
  <c r="AQ446" i="7"/>
  <c r="AQ447" i="7"/>
  <c r="AQ448" i="7"/>
  <c r="AQ449" i="7"/>
  <c r="AQ450" i="7"/>
  <c r="AQ451" i="7"/>
  <c r="AQ452" i="7"/>
  <c r="AQ453" i="7"/>
  <c r="AQ454" i="7"/>
  <c r="AQ455" i="7"/>
  <c r="AQ456" i="7"/>
  <c r="AQ457" i="7"/>
  <c r="AQ458" i="7"/>
  <c r="AQ459" i="7"/>
  <c r="AQ460" i="7"/>
  <c r="AQ461" i="7"/>
  <c r="AQ462" i="7"/>
  <c r="AQ463" i="7"/>
  <c r="AQ464" i="7"/>
  <c r="AQ465" i="7"/>
  <c r="AQ466" i="7"/>
  <c r="AQ467" i="7"/>
  <c r="AQ468" i="7"/>
  <c r="AQ469" i="7"/>
  <c r="AQ470" i="7"/>
  <c r="AQ471" i="7"/>
  <c r="AQ472" i="7"/>
  <c r="AQ473" i="7"/>
  <c r="AQ474" i="7"/>
  <c r="AQ475" i="7"/>
  <c r="AQ476" i="7"/>
  <c r="AQ477" i="7"/>
  <c r="AQ478" i="7"/>
  <c r="AQ479" i="7"/>
  <c r="AQ480" i="7"/>
  <c r="AQ481" i="7"/>
  <c r="AQ482" i="7"/>
  <c r="AQ483" i="7"/>
  <c r="AQ484" i="7"/>
  <c r="AQ485" i="7"/>
  <c r="AQ486" i="7"/>
  <c r="AQ487" i="7"/>
  <c r="AQ488" i="7"/>
  <c r="AQ489" i="7"/>
  <c r="AQ490" i="7"/>
  <c r="AQ491" i="7"/>
  <c r="AQ492" i="7"/>
  <c r="AQ493" i="7"/>
  <c r="AQ494" i="7"/>
  <c r="AQ495" i="7"/>
  <c r="AQ496" i="7"/>
  <c r="AQ497" i="7"/>
  <c r="AQ498" i="7"/>
  <c r="AQ499" i="7"/>
  <c r="AQ500" i="7"/>
  <c r="AQ501" i="7"/>
  <c r="AQ502" i="7"/>
  <c r="AQ503" i="7"/>
  <c r="AQ504" i="7"/>
  <c r="AQ505" i="7"/>
  <c r="AQ506" i="7"/>
  <c r="AQ507" i="7"/>
  <c r="AQ508" i="7"/>
  <c r="AQ509" i="7"/>
  <c r="AQ510" i="7"/>
  <c r="AQ511" i="7"/>
  <c r="AQ512" i="7"/>
  <c r="AQ513" i="7"/>
  <c r="AQ514" i="7"/>
  <c r="AQ515" i="7"/>
  <c r="AQ516" i="7"/>
  <c r="AQ517" i="7"/>
  <c r="AQ518" i="7"/>
  <c r="AQ519" i="7"/>
  <c r="AQ520" i="7"/>
  <c r="AQ521" i="7"/>
  <c r="AQ522" i="7"/>
  <c r="AQ523" i="7"/>
  <c r="AQ524" i="7"/>
  <c r="AQ525" i="7"/>
  <c r="AQ526" i="7"/>
  <c r="AQ527" i="7"/>
  <c r="AQ528" i="7"/>
  <c r="AQ529" i="7"/>
  <c r="AQ530" i="7"/>
  <c r="AQ531" i="7"/>
  <c r="AQ532" i="7"/>
  <c r="AQ533" i="7"/>
  <c r="AQ534" i="7"/>
  <c r="AQ535" i="7"/>
  <c r="AQ536" i="7"/>
  <c r="AQ537" i="7"/>
  <c r="AQ538" i="7"/>
  <c r="AQ539" i="7"/>
  <c r="AQ540" i="7"/>
  <c r="AQ541" i="7"/>
  <c r="AQ542" i="7"/>
  <c r="AQ543" i="7"/>
  <c r="AQ544" i="7"/>
  <c r="AQ545" i="7"/>
  <c r="AQ546" i="7"/>
  <c r="AQ547" i="7"/>
  <c r="AQ548" i="7"/>
  <c r="AQ549" i="7"/>
  <c r="AQ550" i="7"/>
  <c r="AQ551" i="7"/>
  <c r="AQ552" i="7"/>
  <c r="AQ553" i="7"/>
  <c r="AQ554" i="7"/>
  <c r="AQ555" i="7"/>
  <c r="AQ556" i="7"/>
  <c r="AQ557" i="7"/>
  <c r="AQ558" i="7"/>
  <c r="AQ559" i="7"/>
  <c r="AQ560" i="7"/>
  <c r="AQ561" i="7"/>
  <c r="AQ562" i="7"/>
  <c r="AQ563" i="7"/>
  <c r="AQ564" i="7"/>
  <c r="AQ565" i="7"/>
  <c r="AQ566" i="7"/>
  <c r="AQ567" i="7"/>
  <c r="AQ568" i="7"/>
  <c r="AQ569" i="7"/>
  <c r="AQ570" i="7"/>
  <c r="AQ571" i="7"/>
  <c r="AQ572" i="7"/>
  <c r="AQ573" i="7"/>
  <c r="AQ574" i="7"/>
  <c r="AQ575" i="7"/>
  <c r="AQ576" i="7"/>
  <c r="AQ577" i="7"/>
  <c r="AQ578" i="7"/>
  <c r="AQ579" i="7"/>
  <c r="AQ580" i="7"/>
  <c r="AQ581" i="7"/>
  <c r="AQ582" i="7"/>
  <c r="AQ583" i="7"/>
  <c r="AQ584" i="7"/>
  <c r="AQ585" i="7"/>
  <c r="AQ586" i="7"/>
  <c r="AQ587" i="7"/>
  <c r="AQ588" i="7"/>
  <c r="AQ589" i="7"/>
  <c r="AQ590" i="7"/>
  <c r="AQ591" i="7"/>
  <c r="AQ592" i="7"/>
  <c r="AQ593" i="7"/>
  <c r="AQ594" i="7"/>
  <c r="AQ595" i="7"/>
  <c r="AQ596" i="7"/>
  <c r="AQ597" i="7"/>
  <c r="AQ598" i="7"/>
  <c r="AQ599" i="7"/>
  <c r="AQ600" i="7"/>
  <c r="AQ601" i="7"/>
  <c r="AQ602" i="7"/>
  <c r="AQ603" i="7"/>
  <c r="AQ604" i="7"/>
  <c r="AQ605" i="7"/>
  <c r="AQ606" i="7"/>
  <c r="AQ607" i="7"/>
  <c r="AQ608" i="7"/>
  <c r="AQ609" i="7"/>
  <c r="AQ610" i="7"/>
  <c r="AQ611" i="7"/>
  <c r="AQ612" i="7"/>
  <c r="AQ613" i="7"/>
  <c r="AQ614" i="7"/>
  <c r="AQ615" i="7"/>
  <c r="AQ616" i="7"/>
  <c r="AQ617" i="7"/>
  <c r="AQ618" i="7"/>
  <c r="AQ619" i="7"/>
  <c r="AQ620" i="7"/>
  <c r="AQ621" i="7"/>
  <c r="AQ622" i="7"/>
  <c r="AQ623" i="7"/>
  <c r="AQ624" i="7"/>
  <c r="AQ625" i="7"/>
  <c r="AQ626" i="7"/>
  <c r="AQ627" i="7"/>
  <c r="AQ628" i="7"/>
  <c r="AQ629" i="7"/>
  <c r="AQ630" i="7"/>
  <c r="AQ631" i="7"/>
  <c r="AQ632" i="7"/>
  <c r="AQ633" i="7"/>
  <c r="AQ634" i="7"/>
  <c r="AQ635" i="7"/>
  <c r="AQ636" i="7"/>
  <c r="AQ637" i="7"/>
  <c r="AQ638" i="7"/>
  <c r="AQ639" i="7"/>
  <c r="AQ640" i="7"/>
  <c r="AQ641" i="7"/>
  <c r="AQ642" i="7"/>
  <c r="AQ643" i="7"/>
  <c r="AQ644" i="7"/>
  <c r="AQ645" i="7"/>
  <c r="AQ646" i="7"/>
  <c r="AQ647" i="7"/>
  <c r="AQ648" i="7"/>
  <c r="AQ649" i="7"/>
  <c r="AQ650" i="7"/>
  <c r="AQ651" i="7"/>
  <c r="AQ652" i="7"/>
  <c r="AQ653" i="7"/>
  <c r="AQ654" i="7"/>
  <c r="AQ655" i="7"/>
  <c r="AQ656" i="7"/>
  <c r="AQ657" i="7"/>
  <c r="AQ658" i="7"/>
  <c r="AQ659" i="7"/>
  <c r="AQ660" i="7"/>
  <c r="AQ661" i="7"/>
  <c r="AQ662" i="7"/>
  <c r="AQ663" i="7"/>
  <c r="AQ664" i="7"/>
  <c r="AQ665" i="7"/>
  <c r="AQ666" i="7"/>
  <c r="AQ667" i="7"/>
  <c r="AQ668" i="7"/>
  <c r="AQ669" i="7"/>
  <c r="AQ670" i="7"/>
  <c r="AQ671" i="7"/>
  <c r="AQ672" i="7"/>
  <c r="AQ673" i="7"/>
  <c r="AQ674" i="7"/>
  <c r="AQ675" i="7"/>
  <c r="AQ676" i="7"/>
  <c r="AQ677" i="7"/>
  <c r="AQ678" i="7"/>
  <c r="AQ679" i="7"/>
  <c r="AQ680" i="7"/>
  <c r="AQ681" i="7"/>
  <c r="AQ682" i="7"/>
  <c r="AQ683" i="7"/>
  <c r="AQ684" i="7"/>
  <c r="AQ685" i="7"/>
  <c r="AQ686" i="7"/>
  <c r="AQ687" i="7"/>
  <c r="AQ688" i="7"/>
  <c r="AQ689" i="7"/>
  <c r="AQ690" i="7"/>
  <c r="AQ691" i="7"/>
  <c r="AQ692" i="7"/>
  <c r="AQ693" i="7"/>
  <c r="AQ694" i="7"/>
  <c r="AQ695" i="7"/>
  <c r="AQ696" i="7"/>
  <c r="AQ697" i="7"/>
  <c r="AQ698" i="7"/>
  <c r="AQ699" i="7"/>
  <c r="AQ700" i="7"/>
  <c r="AQ701" i="7"/>
  <c r="AQ702" i="7"/>
  <c r="AQ703" i="7"/>
  <c r="AQ704" i="7"/>
  <c r="AQ705" i="7"/>
  <c r="AQ706" i="7"/>
  <c r="AQ707" i="7"/>
  <c r="AQ708" i="7"/>
  <c r="AQ709" i="7"/>
  <c r="AQ710" i="7"/>
  <c r="AQ711" i="7"/>
  <c r="AQ712" i="7"/>
  <c r="AQ713" i="7"/>
  <c r="AQ714" i="7"/>
  <c r="AQ715" i="7"/>
  <c r="AQ716" i="7"/>
  <c r="AQ717" i="7"/>
  <c r="AQ718" i="7"/>
  <c r="AQ719" i="7"/>
  <c r="AQ720" i="7"/>
  <c r="AQ721" i="7"/>
  <c r="AQ722" i="7"/>
  <c r="AQ723" i="7"/>
  <c r="AQ724" i="7"/>
  <c r="AQ725" i="7"/>
  <c r="AQ726" i="7"/>
  <c r="AQ727" i="7"/>
  <c r="AQ728" i="7"/>
  <c r="AQ729" i="7"/>
  <c r="AQ730" i="7"/>
  <c r="AQ731" i="7"/>
  <c r="AQ732" i="7"/>
  <c r="AQ733" i="7"/>
  <c r="AQ734" i="7"/>
  <c r="AQ735" i="7"/>
  <c r="AQ736" i="7"/>
  <c r="AQ737" i="7"/>
  <c r="AQ738" i="7"/>
  <c r="AQ739" i="7"/>
  <c r="AQ740" i="7"/>
  <c r="AQ741" i="7"/>
  <c r="AQ742" i="7"/>
  <c r="AQ743" i="7"/>
  <c r="AQ744" i="7"/>
  <c r="AQ745" i="7"/>
  <c r="AQ746" i="7"/>
  <c r="AQ747" i="7"/>
  <c r="AQ748" i="7"/>
  <c r="AQ749" i="7"/>
  <c r="AQ750" i="7"/>
  <c r="AQ751" i="7"/>
  <c r="AQ752" i="7"/>
  <c r="AQ753" i="7"/>
  <c r="AQ754" i="7"/>
  <c r="AQ755" i="7"/>
  <c r="AQ756" i="7"/>
  <c r="AQ757" i="7"/>
  <c r="AQ758" i="7"/>
  <c r="AQ759" i="7"/>
  <c r="G15" i="5" l="1"/>
  <c r="G28" i="5" s="1"/>
  <c r="H28" i="5"/>
  <c r="C15" i="5"/>
  <c r="C28" i="5" s="1"/>
  <c r="B15" i="5"/>
  <c r="J15" i="5"/>
  <c r="K18" i="5"/>
  <c r="K12" i="5"/>
  <c r="K5" i="5"/>
  <c r="AR2" i="7"/>
  <c r="AR3" i="7"/>
  <c r="AR4" i="7"/>
  <c r="AR5" i="7"/>
  <c r="AR6" i="7"/>
  <c r="AR7" i="7"/>
  <c r="AR8" i="7"/>
  <c r="AR9" i="7"/>
  <c r="AR10" i="7"/>
  <c r="AR11" i="7"/>
  <c r="AR12" i="7"/>
  <c r="AR13" i="7"/>
  <c r="AR14" i="7"/>
  <c r="AR15" i="7"/>
  <c r="AR16" i="7"/>
  <c r="AR17" i="7"/>
  <c r="AR18" i="7"/>
  <c r="AR19" i="7"/>
  <c r="AR20" i="7"/>
  <c r="AR21" i="7"/>
  <c r="AR22" i="7"/>
  <c r="AR23" i="7"/>
  <c r="AR24" i="7"/>
  <c r="AR25" i="7"/>
  <c r="AR26" i="7"/>
  <c r="AR27" i="7"/>
  <c r="AR28" i="7"/>
  <c r="AR29" i="7"/>
  <c r="AR30" i="7"/>
  <c r="AR31" i="7"/>
  <c r="AR32" i="7"/>
  <c r="AR33" i="7"/>
  <c r="AR34" i="7"/>
  <c r="AR35" i="7"/>
  <c r="AR36" i="7"/>
  <c r="AR37" i="7"/>
  <c r="AR38" i="7"/>
  <c r="AR39" i="7"/>
  <c r="AR40" i="7"/>
  <c r="AR41" i="7"/>
  <c r="AR42" i="7"/>
  <c r="AR43" i="7"/>
  <c r="AR44" i="7"/>
  <c r="AR45" i="7"/>
  <c r="AR46" i="7"/>
  <c r="AR47" i="7"/>
  <c r="AR48" i="7"/>
  <c r="AR49" i="7"/>
  <c r="AR50" i="7"/>
  <c r="AR51" i="7"/>
  <c r="AR52" i="7"/>
  <c r="AR53" i="7"/>
  <c r="AR54" i="7"/>
  <c r="AR55" i="7"/>
  <c r="AR56" i="7"/>
  <c r="AR57" i="7"/>
  <c r="AR58" i="7"/>
  <c r="AR59" i="7"/>
  <c r="AR60" i="7"/>
  <c r="AR61" i="7"/>
  <c r="AR62" i="7"/>
  <c r="AR63" i="7"/>
  <c r="AR64" i="7"/>
  <c r="AR65" i="7"/>
  <c r="AR66" i="7"/>
  <c r="AR67" i="7"/>
  <c r="AR68" i="7"/>
  <c r="AR69" i="7"/>
  <c r="AR70" i="7"/>
  <c r="AR71" i="7"/>
  <c r="AR72" i="7"/>
  <c r="AR73" i="7"/>
  <c r="AR74" i="7"/>
  <c r="AR75" i="7"/>
  <c r="AR76" i="7"/>
  <c r="AR77" i="7"/>
  <c r="AR78" i="7"/>
  <c r="AR79" i="7"/>
  <c r="AR80" i="7"/>
  <c r="AR81" i="7"/>
  <c r="AR82" i="7"/>
  <c r="AR83" i="7"/>
  <c r="AR84" i="7"/>
  <c r="AR85" i="7"/>
  <c r="AR86" i="7"/>
  <c r="AR87" i="7"/>
  <c r="AR88" i="7"/>
  <c r="AR89" i="7"/>
  <c r="AR90" i="7"/>
  <c r="AR91" i="7"/>
  <c r="AR92" i="7"/>
  <c r="AR93" i="7"/>
  <c r="AR94" i="7"/>
  <c r="AR95" i="7"/>
  <c r="AR96" i="7"/>
  <c r="AR97" i="7"/>
  <c r="AR98" i="7"/>
  <c r="AR99" i="7"/>
  <c r="AR100" i="7"/>
  <c r="AR101" i="7"/>
  <c r="AR102" i="7"/>
  <c r="AR103" i="7"/>
  <c r="AR104" i="7"/>
  <c r="AR105" i="7"/>
  <c r="AR106" i="7"/>
  <c r="AR107" i="7"/>
  <c r="AR108" i="7"/>
  <c r="AR109" i="7"/>
  <c r="AR110" i="7"/>
  <c r="AR111" i="7"/>
  <c r="AR112" i="7"/>
  <c r="AR113" i="7"/>
  <c r="AR114" i="7"/>
  <c r="AR115" i="7"/>
  <c r="AR116" i="7"/>
  <c r="AR117" i="7"/>
  <c r="AR118" i="7"/>
  <c r="AR119" i="7"/>
  <c r="AR120" i="7"/>
  <c r="AR121" i="7"/>
  <c r="AR122" i="7"/>
  <c r="AR123" i="7"/>
  <c r="AR124" i="7"/>
  <c r="AR125" i="7"/>
  <c r="AR126" i="7"/>
  <c r="AR127" i="7"/>
  <c r="AR128" i="7"/>
  <c r="AR129" i="7"/>
  <c r="AR130" i="7"/>
  <c r="AR131" i="7"/>
  <c r="AR132" i="7"/>
  <c r="AR133" i="7"/>
  <c r="AR134" i="7"/>
  <c r="AR135" i="7"/>
  <c r="AR136" i="7"/>
  <c r="AR137" i="7"/>
  <c r="AR138" i="7"/>
  <c r="AR139" i="7"/>
  <c r="AR140" i="7"/>
  <c r="AR141" i="7"/>
  <c r="AR142" i="7"/>
  <c r="AR143" i="7"/>
  <c r="AR144" i="7"/>
  <c r="AR145" i="7"/>
  <c r="AR146" i="7"/>
  <c r="AR147" i="7"/>
  <c r="AR148" i="7"/>
  <c r="AR149" i="7"/>
  <c r="AR150" i="7"/>
  <c r="AR151" i="7"/>
  <c r="AR152" i="7"/>
  <c r="AR153" i="7"/>
  <c r="AR154" i="7"/>
  <c r="AR155" i="7"/>
  <c r="AR156" i="7"/>
  <c r="AR157" i="7"/>
  <c r="AR158" i="7"/>
  <c r="AR159" i="7"/>
  <c r="AR160" i="7"/>
  <c r="AR161" i="7"/>
  <c r="AR162" i="7"/>
  <c r="AR163" i="7"/>
  <c r="AR164" i="7"/>
  <c r="AR165" i="7"/>
  <c r="AR166" i="7"/>
  <c r="AR167" i="7"/>
  <c r="AR168" i="7"/>
  <c r="AR169" i="7"/>
  <c r="AR170" i="7"/>
  <c r="AR171" i="7"/>
  <c r="AR172" i="7"/>
  <c r="AR173" i="7"/>
  <c r="AR174" i="7"/>
  <c r="AR175" i="7"/>
  <c r="AR176" i="7"/>
  <c r="AR177" i="7"/>
  <c r="AR178" i="7"/>
  <c r="AR179" i="7"/>
  <c r="AR180" i="7"/>
  <c r="AR181" i="7"/>
  <c r="AR182" i="7"/>
  <c r="AR183" i="7"/>
  <c r="AR184" i="7"/>
  <c r="AR185" i="7"/>
  <c r="AR186" i="7"/>
  <c r="AR187" i="7"/>
  <c r="AR188" i="7"/>
  <c r="AR189" i="7"/>
  <c r="AR190" i="7"/>
  <c r="AR191" i="7"/>
  <c r="AR192" i="7"/>
  <c r="AR193" i="7"/>
  <c r="AR194" i="7"/>
  <c r="AR195" i="7"/>
  <c r="AR196" i="7"/>
  <c r="AR197" i="7"/>
  <c r="AR198" i="7"/>
  <c r="AR199" i="7"/>
  <c r="AR200" i="7"/>
  <c r="AR201" i="7"/>
  <c r="AR202" i="7"/>
  <c r="AR203" i="7"/>
  <c r="AR204" i="7"/>
  <c r="AR205" i="7"/>
  <c r="AR206" i="7"/>
  <c r="AR207" i="7"/>
  <c r="AR208" i="7"/>
  <c r="AR209" i="7"/>
  <c r="AR210" i="7"/>
  <c r="AR211" i="7"/>
  <c r="AR212" i="7"/>
  <c r="AR213" i="7"/>
  <c r="AR214" i="7"/>
  <c r="AR215" i="7"/>
  <c r="AR216" i="7"/>
  <c r="AR217" i="7"/>
  <c r="AR218" i="7"/>
  <c r="AR219" i="7"/>
  <c r="AR220" i="7"/>
  <c r="AR221" i="7"/>
  <c r="AR222" i="7"/>
  <c r="AR223" i="7"/>
  <c r="AR224" i="7"/>
  <c r="AR225" i="7"/>
  <c r="AR226" i="7"/>
  <c r="AR227" i="7"/>
  <c r="AR228" i="7"/>
  <c r="AR229" i="7"/>
  <c r="AR230" i="7"/>
  <c r="AR231" i="7"/>
  <c r="AR232" i="7"/>
  <c r="AR233" i="7"/>
  <c r="AR234" i="7"/>
  <c r="AR235" i="7"/>
  <c r="AR236" i="7"/>
  <c r="AR237" i="7"/>
  <c r="AR238" i="7"/>
  <c r="AR239" i="7"/>
  <c r="AR240" i="7"/>
  <c r="AR241" i="7"/>
  <c r="AR242" i="7"/>
  <c r="AR243" i="7"/>
  <c r="AR244" i="7"/>
  <c r="AR245" i="7"/>
  <c r="AR246" i="7"/>
  <c r="AR247" i="7"/>
  <c r="AR248" i="7"/>
  <c r="AR249" i="7"/>
  <c r="AR250" i="7"/>
  <c r="AR251" i="7"/>
  <c r="AR252" i="7"/>
  <c r="AR253" i="7"/>
  <c r="AR254" i="7"/>
  <c r="AR255" i="7"/>
  <c r="AR256" i="7"/>
  <c r="AR257" i="7"/>
  <c r="AR258" i="7"/>
  <c r="AR259" i="7"/>
  <c r="AR260" i="7"/>
  <c r="AR261" i="7"/>
  <c r="AR262" i="7"/>
  <c r="AR263" i="7"/>
  <c r="AR264" i="7"/>
  <c r="AR265" i="7"/>
  <c r="AR266" i="7"/>
  <c r="AR267" i="7"/>
  <c r="AR268" i="7"/>
  <c r="AR269" i="7"/>
  <c r="AR270" i="7"/>
  <c r="AR271" i="7"/>
  <c r="AR272" i="7"/>
  <c r="AR273" i="7"/>
  <c r="AR274" i="7"/>
  <c r="AR275" i="7"/>
  <c r="AR276" i="7"/>
  <c r="AR277" i="7"/>
  <c r="AR278" i="7"/>
  <c r="AR279" i="7"/>
  <c r="AR280" i="7"/>
  <c r="AR281" i="7"/>
  <c r="AR282" i="7"/>
  <c r="AR283" i="7"/>
  <c r="AR284" i="7"/>
  <c r="AR285" i="7"/>
  <c r="AR286" i="7"/>
  <c r="AR287" i="7"/>
  <c r="AR288" i="7"/>
  <c r="AR289" i="7"/>
  <c r="AR290" i="7"/>
  <c r="AR291" i="7"/>
  <c r="AR292" i="7"/>
  <c r="AR293" i="7"/>
  <c r="AR294" i="7"/>
  <c r="AR295" i="7"/>
  <c r="AR296" i="7"/>
  <c r="AR297" i="7"/>
  <c r="AR298" i="7"/>
  <c r="AR299" i="7"/>
  <c r="AR300" i="7"/>
  <c r="AR301" i="7"/>
  <c r="AR302" i="7"/>
  <c r="AR303" i="7"/>
  <c r="AR304" i="7"/>
  <c r="AR305" i="7"/>
  <c r="AR306" i="7"/>
  <c r="AR307" i="7"/>
  <c r="AR308" i="7"/>
  <c r="AR309" i="7"/>
  <c r="AR310" i="7"/>
  <c r="AR311" i="7"/>
  <c r="AR312" i="7"/>
  <c r="AR313" i="7"/>
  <c r="AR314" i="7"/>
  <c r="AR315" i="7"/>
  <c r="AR316" i="7"/>
  <c r="AR317" i="7"/>
  <c r="AR318" i="7"/>
  <c r="AR319" i="7"/>
  <c r="AR320" i="7"/>
  <c r="AR321" i="7"/>
  <c r="AR322" i="7"/>
  <c r="AR323" i="7"/>
  <c r="AR324" i="7"/>
  <c r="AR325" i="7"/>
  <c r="AR326" i="7"/>
  <c r="AR327" i="7"/>
  <c r="AR328" i="7"/>
  <c r="AR329" i="7"/>
  <c r="AR330" i="7"/>
  <c r="AR331" i="7"/>
  <c r="AR332" i="7"/>
  <c r="AR333" i="7"/>
  <c r="AR334" i="7"/>
  <c r="AR335" i="7"/>
  <c r="AR336" i="7"/>
  <c r="AR337" i="7"/>
  <c r="AR338" i="7"/>
  <c r="AR339" i="7"/>
  <c r="AR340" i="7"/>
  <c r="AR341" i="7"/>
  <c r="AR342" i="7"/>
  <c r="AR343" i="7"/>
  <c r="AR344" i="7"/>
  <c r="AR345" i="7"/>
  <c r="AR346" i="7"/>
  <c r="AR347" i="7"/>
  <c r="AR348" i="7"/>
  <c r="AR349" i="7"/>
  <c r="AR350" i="7"/>
  <c r="AR351" i="7"/>
  <c r="AR352" i="7"/>
  <c r="AR353" i="7"/>
  <c r="AR354" i="7"/>
  <c r="AR355" i="7"/>
  <c r="AR356" i="7"/>
  <c r="AR357" i="7"/>
  <c r="AR358" i="7"/>
  <c r="AR359" i="7"/>
  <c r="AR360" i="7"/>
  <c r="AR361" i="7"/>
  <c r="AR362" i="7"/>
  <c r="AR363" i="7"/>
  <c r="AR364" i="7"/>
  <c r="AR365" i="7"/>
  <c r="AR366" i="7"/>
  <c r="AR367" i="7"/>
  <c r="AR368" i="7"/>
  <c r="AR369" i="7"/>
  <c r="AR370" i="7"/>
  <c r="AR371" i="7"/>
  <c r="AR372" i="7"/>
  <c r="AR373" i="7"/>
  <c r="AR374" i="7"/>
  <c r="AR375" i="7"/>
  <c r="AR376" i="7"/>
  <c r="AR377" i="7"/>
  <c r="AR378" i="7"/>
  <c r="AR379" i="7"/>
  <c r="AR380" i="7"/>
  <c r="AR381" i="7"/>
  <c r="AR382" i="7"/>
  <c r="AR383" i="7"/>
  <c r="AR384" i="7"/>
  <c r="AR385" i="7"/>
  <c r="AR386" i="7"/>
  <c r="AR387" i="7"/>
  <c r="AR388" i="7"/>
  <c r="AR389" i="7"/>
  <c r="AR390" i="7"/>
  <c r="AR391" i="7"/>
  <c r="AR392" i="7"/>
  <c r="AR393" i="7"/>
  <c r="AR394" i="7"/>
  <c r="AR395" i="7"/>
  <c r="AR396" i="7"/>
  <c r="AR397" i="7"/>
  <c r="AR398" i="7"/>
  <c r="AR399" i="7"/>
  <c r="AR400" i="7"/>
  <c r="AR401" i="7"/>
  <c r="AR402" i="7"/>
  <c r="AR403" i="7"/>
  <c r="AR404" i="7"/>
  <c r="AR405" i="7"/>
  <c r="AR406" i="7"/>
  <c r="AR407" i="7"/>
  <c r="AR408" i="7"/>
  <c r="AR409" i="7"/>
  <c r="AR410" i="7"/>
  <c r="AR411" i="7"/>
  <c r="AR412" i="7"/>
  <c r="AR413" i="7"/>
  <c r="AR414" i="7"/>
  <c r="AR415" i="7"/>
  <c r="AR416" i="7"/>
  <c r="AR417" i="7"/>
  <c r="AR418" i="7"/>
  <c r="AR419" i="7"/>
  <c r="AR420" i="7"/>
  <c r="AR421" i="7"/>
  <c r="AR422" i="7"/>
  <c r="AR423" i="7"/>
  <c r="AR424" i="7"/>
  <c r="AR425" i="7"/>
  <c r="AR426" i="7"/>
  <c r="AR427" i="7"/>
  <c r="AR428" i="7"/>
  <c r="AR429" i="7"/>
  <c r="AR430" i="7"/>
  <c r="AR431" i="7"/>
  <c r="AR432" i="7"/>
  <c r="AR433" i="7"/>
  <c r="AR434" i="7"/>
  <c r="AR435" i="7"/>
  <c r="AR436" i="7"/>
  <c r="AR437" i="7"/>
  <c r="AR438" i="7"/>
  <c r="AR439" i="7"/>
  <c r="AR440" i="7"/>
  <c r="AR441" i="7"/>
  <c r="AR442" i="7"/>
  <c r="AR443" i="7"/>
  <c r="AR444" i="7"/>
  <c r="AR445" i="7"/>
  <c r="AR446" i="7"/>
  <c r="AR447" i="7"/>
  <c r="AR448" i="7"/>
  <c r="AR449" i="7"/>
  <c r="AR450" i="7"/>
  <c r="AR451" i="7"/>
  <c r="AR452" i="7"/>
  <c r="AR453" i="7"/>
  <c r="AR454" i="7"/>
  <c r="AR455" i="7"/>
  <c r="AR456" i="7"/>
  <c r="AR457" i="7"/>
  <c r="AR458" i="7"/>
  <c r="AR459" i="7"/>
  <c r="AR460" i="7"/>
  <c r="AR461" i="7"/>
  <c r="AR462" i="7"/>
  <c r="AR463" i="7"/>
  <c r="AR464" i="7"/>
  <c r="AR465" i="7"/>
  <c r="AR466" i="7"/>
  <c r="AR467" i="7"/>
  <c r="AR468" i="7"/>
  <c r="AR469" i="7"/>
  <c r="AR470" i="7"/>
  <c r="AR471" i="7"/>
  <c r="AR472" i="7"/>
  <c r="AR473" i="7"/>
  <c r="AR474" i="7"/>
  <c r="AR475" i="7"/>
  <c r="AR476" i="7"/>
  <c r="AR477" i="7"/>
  <c r="AR478" i="7"/>
  <c r="AR479" i="7"/>
  <c r="AR480" i="7"/>
  <c r="AR481" i="7"/>
  <c r="AR482" i="7"/>
  <c r="AR483" i="7"/>
  <c r="AR484" i="7"/>
  <c r="AR485" i="7"/>
  <c r="AR486" i="7"/>
  <c r="AR487" i="7"/>
  <c r="AR488" i="7"/>
  <c r="AR489" i="7"/>
  <c r="AR490" i="7"/>
  <c r="AR491" i="7"/>
  <c r="AR492" i="7"/>
  <c r="AR493" i="7"/>
  <c r="AR494" i="7"/>
  <c r="AR495" i="7"/>
  <c r="AR496" i="7"/>
  <c r="AR497" i="7"/>
  <c r="AR498" i="7"/>
  <c r="AR499" i="7"/>
  <c r="AR500" i="7"/>
  <c r="AR501" i="7"/>
  <c r="AR502" i="7"/>
  <c r="AR503" i="7"/>
  <c r="AR504" i="7"/>
  <c r="AR505" i="7"/>
  <c r="AR506" i="7"/>
  <c r="AR507" i="7"/>
  <c r="AR508" i="7"/>
  <c r="AR509" i="7"/>
  <c r="AR510" i="7"/>
  <c r="AR511" i="7"/>
  <c r="AR512" i="7"/>
  <c r="AR513" i="7"/>
  <c r="AR514" i="7"/>
  <c r="AR515" i="7"/>
  <c r="AR516" i="7"/>
  <c r="AR517" i="7"/>
  <c r="AR518" i="7"/>
  <c r="AR519" i="7"/>
  <c r="AR520" i="7"/>
  <c r="AR521" i="7"/>
  <c r="AR522" i="7"/>
  <c r="AR523" i="7"/>
  <c r="AR524" i="7"/>
  <c r="AR525" i="7"/>
  <c r="AR526" i="7"/>
  <c r="AR527" i="7"/>
  <c r="AR528" i="7"/>
  <c r="AR529" i="7"/>
  <c r="AR530" i="7"/>
  <c r="AR531" i="7"/>
  <c r="AR532" i="7"/>
  <c r="AR533" i="7"/>
  <c r="AR534" i="7"/>
  <c r="AR535" i="7"/>
  <c r="AR536" i="7"/>
  <c r="AR537" i="7"/>
  <c r="AR538" i="7"/>
  <c r="AR539" i="7"/>
  <c r="AR540" i="7"/>
  <c r="AR541" i="7"/>
  <c r="AR542" i="7"/>
  <c r="AR543" i="7"/>
  <c r="AR544" i="7"/>
  <c r="AR545" i="7"/>
  <c r="AR546" i="7"/>
  <c r="AR547" i="7"/>
  <c r="AR548" i="7"/>
  <c r="AR549" i="7"/>
  <c r="AR550" i="7"/>
  <c r="AR551" i="7"/>
  <c r="AR552" i="7"/>
  <c r="AR553" i="7"/>
  <c r="AR554" i="7"/>
  <c r="AR555" i="7"/>
  <c r="AR556" i="7"/>
  <c r="AR557" i="7"/>
  <c r="AR558" i="7"/>
  <c r="AR559" i="7"/>
  <c r="AR560" i="7"/>
  <c r="AR561" i="7"/>
  <c r="AR562" i="7"/>
  <c r="AR563" i="7"/>
  <c r="AR564" i="7"/>
  <c r="AR565" i="7"/>
  <c r="AR566" i="7"/>
  <c r="AR567" i="7"/>
  <c r="AR568" i="7"/>
  <c r="AR569" i="7"/>
  <c r="AR570" i="7"/>
  <c r="AR571" i="7"/>
  <c r="AR572" i="7"/>
  <c r="AR573" i="7"/>
  <c r="AR574" i="7"/>
  <c r="AR575" i="7"/>
  <c r="AR576" i="7"/>
  <c r="AR577" i="7"/>
  <c r="AR578" i="7"/>
  <c r="AR579" i="7"/>
  <c r="AR580" i="7"/>
  <c r="AR581" i="7"/>
  <c r="AR582" i="7"/>
  <c r="AR583" i="7"/>
  <c r="AR584" i="7"/>
  <c r="AR585" i="7"/>
  <c r="AR586" i="7"/>
  <c r="AR587" i="7"/>
  <c r="AR588" i="7"/>
  <c r="AR589" i="7"/>
  <c r="AR590" i="7"/>
  <c r="AR591" i="7"/>
  <c r="AR592" i="7"/>
  <c r="AR593" i="7"/>
  <c r="AR594" i="7"/>
  <c r="AR595" i="7"/>
  <c r="AR596" i="7"/>
  <c r="AR597" i="7"/>
  <c r="AR598" i="7"/>
  <c r="AR599" i="7"/>
  <c r="AR600" i="7"/>
  <c r="AR601" i="7"/>
  <c r="AR602" i="7"/>
  <c r="AR603" i="7"/>
  <c r="AR604" i="7"/>
  <c r="AR605" i="7"/>
  <c r="AR606" i="7"/>
  <c r="AR607" i="7"/>
  <c r="AR608" i="7"/>
  <c r="AR609" i="7"/>
  <c r="AR610" i="7"/>
  <c r="AR611" i="7"/>
  <c r="AR612" i="7"/>
  <c r="AR613" i="7"/>
  <c r="AR614" i="7"/>
  <c r="AR615" i="7"/>
  <c r="AR616" i="7"/>
  <c r="AR617" i="7"/>
  <c r="AR618" i="7"/>
  <c r="AR619" i="7"/>
  <c r="AR620" i="7"/>
  <c r="AR621" i="7"/>
  <c r="AR622" i="7"/>
  <c r="AR623" i="7"/>
  <c r="AR624" i="7"/>
  <c r="AR625" i="7"/>
  <c r="AR626" i="7"/>
  <c r="AR627" i="7"/>
  <c r="AR628" i="7"/>
  <c r="AR629" i="7"/>
  <c r="AR630" i="7"/>
  <c r="AR631" i="7"/>
  <c r="AR632" i="7"/>
  <c r="AR633" i="7"/>
  <c r="AR634" i="7"/>
  <c r="AR635" i="7"/>
  <c r="AR636" i="7"/>
  <c r="AR637" i="7"/>
  <c r="AR638" i="7"/>
  <c r="AR639" i="7"/>
  <c r="AR640" i="7"/>
  <c r="AR641" i="7"/>
  <c r="AR642" i="7"/>
  <c r="AR643" i="7"/>
  <c r="AR644" i="7"/>
  <c r="AR645" i="7"/>
  <c r="AR646" i="7"/>
  <c r="AR647" i="7"/>
  <c r="AR648" i="7"/>
  <c r="AR649" i="7"/>
  <c r="AR650" i="7"/>
  <c r="AR651" i="7"/>
  <c r="AR652" i="7"/>
  <c r="AR653" i="7"/>
  <c r="AR654" i="7"/>
  <c r="AR655" i="7"/>
  <c r="AR656" i="7"/>
  <c r="AR657" i="7"/>
  <c r="AR658" i="7"/>
  <c r="AR659" i="7"/>
  <c r="AR660" i="7"/>
  <c r="AR661" i="7"/>
  <c r="AR662" i="7"/>
  <c r="AR663" i="7"/>
  <c r="AR664" i="7"/>
  <c r="AR665" i="7"/>
  <c r="AR666" i="7"/>
  <c r="AR667" i="7"/>
  <c r="AR668" i="7"/>
  <c r="AR669" i="7"/>
  <c r="AR670" i="7"/>
  <c r="AR671" i="7"/>
  <c r="AR672" i="7"/>
  <c r="AR673" i="7"/>
  <c r="AR674" i="7"/>
  <c r="AR675" i="7"/>
  <c r="AR676" i="7"/>
  <c r="AR677" i="7"/>
  <c r="AR678" i="7"/>
  <c r="AR679" i="7"/>
  <c r="AR680" i="7"/>
  <c r="AR681" i="7"/>
  <c r="AR682" i="7"/>
  <c r="AR683" i="7"/>
  <c r="AR684" i="7"/>
  <c r="AR685" i="7"/>
  <c r="AR686" i="7"/>
  <c r="AR687" i="7"/>
  <c r="AR688" i="7"/>
  <c r="AR689" i="7"/>
  <c r="AR690" i="7"/>
  <c r="AR691" i="7"/>
  <c r="AR692" i="7"/>
  <c r="AR693" i="7"/>
  <c r="AR694" i="7"/>
  <c r="AR695" i="7"/>
  <c r="AR696" i="7"/>
  <c r="AR697" i="7"/>
  <c r="AR698" i="7"/>
  <c r="AR699" i="7"/>
  <c r="AR700" i="7"/>
  <c r="AR701" i="7"/>
  <c r="AR702" i="7"/>
  <c r="AR703" i="7"/>
  <c r="AR704" i="7"/>
  <c r="AR705" i="7"/>
  <c r="AR706" i="7"/>
  <c r="AR707" i="7"/>
  <c r="AR708" i="7"/>
  <c r="AR709" i="7"/>
  <c r="AR710" i="7"/>
  <c r="AR711" i="7"/>
  <c r="AR712" i="7"/>
  <c r="AR713" i="7"/>
  <c r="AR714" i="7"/>
  <c r="AR715" i="7"/>
  <c r="AR716" i="7"/>
  <c r="AR717" i="7"/>
  <c r="AR718" i="7"/>
  <c r="AR719" i="7"/>
  <c r="AR720" i="7"/>
  <c r="AR721" i="7"/>
  <c r="AR722" i="7"/>
  <c r="AR723" i="7"/>
  <c r="AR724" i="7"/>
  <c r="AR725" i="7"/>
  <c r="AR726" i="7"/>
  <c r="AR727" i="7"/>
  <c r="AR728" i="7"/>
  <c r="AR729" i="7"/>
  <c r="AR730" i="7"/>
  <c r="AR731" i="7"/>
  <c r="AR732" i="7"/>
  <c r="AR733" i="7"/>
  <c r="AR734" i="7"/>
  <c r="AR735" i="7"/>
  <c r="AR736" i="7"/>
  <c r="AR737" i="7"/>
  <c r="AR738" i="7"/>
  <c r="AR739" i="7"/>
  <c r="AR740" i="7"/>
  <c r="AR741" i="7"/>
  <c r="AR742" i="7"/>
  <c r="AR743" i="7"/>
  <c r="AR744" i="7"/>
  <c r="AR745" i="7"/>
  <c r="AR746" i="7"/>
  <c r="AR747" i="7"/>
  <c r="AR748" i="7"/>
  <c r="AR749" i="7"/>
  <c r="AR750" i="7"/>
  <c r="AR751" i="7"/>
  <c r="AR752" i="7"/>
  <c r="AR753" i="7"/>
  <c r="AR754" i="7"/>
  <c r="AR755" i="7"/>
  <c r="AR756" i="7"/>
  <c r="K13" i="5" s="1"/>
  <c r="AR757" i="7"/>
  <c r="AR758" i="7"/>
  <c r="K10" i="5" s="1"/>
  <c r="AR759" i="7"/>
  <c r="K11" i="5" s="1"/>
  <c r="K7" i="5" l="1"/>
  <c r="K19" i="5"/>
  <c r="K17" i="5"/>
  <c r="K21" i="5"/>
  <c r="K6" i="5"/>
  <c r="K8" i="5"/>
  <c r="K4" i="5"/>
  <c r="K9" i="5"/>
  <c r="K20" i="5"/>
  <c r="H18" i="5"/>
  <c r="H12" i="5"/>
  <c r="H5" i="5"/>
  <c r="K15" i="5" l="1"/>
  <c r="K28" i="5" s="1"/>
  <c r="D18" i="5"/>
  <c r="D12" i="5"/>
  <c r="D5" i="5"/>
  <c r="V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01" i="7"/>
  <c r="V502" i="7"/>
  <c r="V503" i="7"/>
  <c r="V504" i="7"/>
  <c r="V505" i="7"/>
  <c r="V506" i="7"/>
  <c r="V507" i="7"/>
  <c r="V508" i="7"/>
  <c r="V509" i="7"/>
  <c r="V510" i="7"/>
  <c r="V511" i="7"/>
  <c r="V512" i="7"/>
  <c r="V513" i="7"/>
  <c r="V514" i="7"/>
  <c r="V515" i="7"/>
  <c r="V516" i="7"/>
  <c r="V517" i="7"/>
  <c r="V518" i="7"/>
  <c r="V519" i="7"/>
  <c r="V520" i="7"/>
  <c r="V521" i="7"/>
  <c r="V522" i="7"/>
  <c r="V523" i="7"/>
  <c r="V524" i="7"/>
  <c r="V525" i="7"/>
  <c r="V526" i="7"/>
  <c r="V527" i="7"/>
  <c r="V528" i="7"/>
  <c r="V529" i="7"/>
  <c r="V530" i="7"/>
  <c r="V531" i="7"/>
  <c r="V532" i="7"/>
  <c r="V533" i="7"/>
  <c r="V534" i="7"/>
  <c r="V535" i="7"/>
  <c r="V536" i="7"/>
  <c r="V537" i="7"/>
  <c r="V538" i="7"/>
  <c r="V539" i="7"/>
  <c r="V540" i="7"/>
  <c r="V541" i="7"/>
  <c r="V542" i="7"/>
  <c r="V543" i="7"/>
  <c r="V544" i="7"/>
  <c r="V545" i="7"/>
  <c r="V546" i="7"/>
  <c r="V547" i="7"/>
  <c r="V548" i="7"/>
  <c r="V549" i="7"/>
  <c r="V550" i="7"/>
  <c r="V551" i="7"/>
  <c r="V552" i="7"/>
  <c r="V553" i="7"/>
  <c r="V554" i="7"/>
  <c r="V555" i="7"/>
  <c r="V556" i="7"/>
  <c r="V557" i="7"/>
  <c r="V558" i="7"/>
  <c r="V559" i="7"/>
  <c r="V560" i="7"/>
  <c r="V561" i="7"/>
  <c r="V562" i="7"/>
  <c r="V563" i="7"/>
  <c r="V564" i="7"/>
  <c r="V565" i="7"/>
  <c r="V566" i="7"/>
  <c r="V567" i="7"/>
  <c r="V568" i="7"/>
  <c r="V569" i="7"/>
  <c r="V570" i="7"/>
  <c r="V571" i="7"/>
  <c r="V572" i="7"/>
  <c r="V573" i="7"/>
  <c r="V574" i="7"/>
  <c r="V575" i="7"/>
  <c r="V576" i="7"/>
  <c r="V577" i="7"/>
  <c r="V578" i="7"/>
  <c r="V579" i="7"/>
  <c r="V580" i="7"/>
  <c r="V581" i="7"/>
  <c r="V582" i="7"/>
  <c r="V583" i="7"/>
  <c r="V584" i="7"/>
  <c r="V585" i="7"/>
  <c r="V586" i="7"/>
  <c r="V587" i="7"/>
  <c r="V588" i="7"/>
  <c r="V589" i="7"/>
  <c r="V590" i="7"/>
  <c r="V591" i="7"/>
  <c r="V592" i="7"/>
  <c r="V593" i="7"/>
  <c r="V594" i="7"/>
  <c r="V595" i="7"/>
  <c r="V596" i="7"/>
  <c r="V597" i="7"/>
  <c r="V598" i="7"/>
  <c r="V599" i="7"/>
  <c r="V600" i="7"/>
  <c r="V601" i="7"/>
  <c r="V602" i="7"/>
  <c r="V603" i="7"/>
  <c r="V604" i="7"/>
  <c r="V605" i="7"/>
  <c r="V606" i="7"/>
  <c r="V607" i="7"/>
  <c r="V608" i="7"/>
  <c r="V609" i="7"/>
  <c r="V610" i="7"/>
  <c r="V611" i="7"/>
  <c r="V612" i="7"/>
  <c r="V613" i="7"/>
  <c r="V614" i="7"/>
  <c r="V615" i="7"/>
  <c r="V616" i="7"/>
  <c r="V617" i="7"/>
  <c r="V618" i="7"/>
  <c r="V619" i="7"/>
  <c r="V620" i="7"/>
  <c r="V621" i="7"/>
  <c r="V622" i="7"/>
  <c r="V623" i="7"/>
  <c r="V624" i="7"/>
  <c r="V625" i="7"/>
  <c r="V626" i="7"/>
  <c r="V627" i="7"/>
  <c r="V628" i="7"/>
  <c r="V629" i="7"/>
  <c r="V630" i="7"/>
  <c r="V631" i="7"/>
  <c r="V632" i="7"/>
  <c r="V633" i="7"/>
  <c r="V634" i="7"/>
  <c r="V635" i="7"/>
  <c r="V636" i="7"/>
  <c r="V637" i="7"/>
  <c r="V638" i="7"/>
  <c r="V639" i="7"/>
  <c r="V640" i="7"/>
  <c r="V641" i="7"/>
  <c r="V642" i="7"/>
  <c r="V643" i="7"/>
  <c r="V644" i="7"/>
  <c r="V645" i="7"/>
  <c r="V646" i="7"/>
  <c r="V647" i="7"/>
  <c r="V648" i="7"/>
  <c r="V649" i="7"/>
  <c r="V650" i="7"/>
  <c r="V651" i="7"/>
  <c r="V652" i="7"/>
  <c r="V653" i="7"/>
  <c r="V654" i="7"/>
  <c r="V655" i="7"/>
  <c r="V656" i="7"/>
  <c r="V657" i="7"/>
  <c r="V658" i="7"/>
  <c r="V659" i="7"/>
  <c r="V660" i="7"/>
  <c r="V661" i="7"/>
  <c r="V662" i="7"/>
  <c r="V663" i="7"/>
  <c r="V664" i="7"/>
  <c r="V665" i="7"/>
  <c r="V666" i="7"/>
  <c r="V667" i="7"/>
  <c r="V668" i="7"/>
  <c r="V669" i="7"/>
  <c r="V670" i="7"/>
  <c r="V671" i="7"/>
  <c r="V672" i="7"/>
  <c r="V673" i="7"/>
  <c r="V674" i="7"/>
  <c r="V675" i="7"/>
  <c r="V676" i="7"/>
  <c r="V677" i="7"/>
  <c r="V678" i="7"/>
  <c r="V679" i="7"/>
  <c r="V680" i="7"/>
  <c r="V681" i="7"/>
  <c r="V682" i="7"/>
  <c r="V683" i="7"/>
  <c r="V684" i="7"/>
  <c r="V685" i="7"/>
  <c r="V686" i="7"/>
  <c r="V687" i="7"/>
  <c r="V688" i="7"/>
  <c r="V689" i="7"/>
  <c r="V690" i="7"/>
  <c r="V691" i="7"/>
  <c r="V692" i="7"/>
  <c r="V693" i="7"/>
  <c r="V694" i="7"/>
  <c r="V695" i="7"/>
  <c r="V696" i="7"/>
  <c r="V697" i="7"/>
  <c r="V698" i="7"/>
  <c r="V699" i="7"/>
  <c r="V700" i="7"/>
  <c r="V701" i="7"/>
  <c r="V702" i="7"/>
  <c r="V703" i="7"/>
  <c r="V704" i="7"/>
  <c r="V705" i="7"/>
  <c r="V706" i="7"/>
  <c r="V707" i="7"/>
  <c r="V708" i="7"/>
  <c r="V709" i="7"/>
  <c r="V710" i="7"/>
  <c r="V711" i="7"/>
  <c r="V712" i="7"/>
  <c r="V713" i="7"/>
  <c r="V714" i="7"/>
  <c r="V715" i="7"/>
  <c r="V716" i="7"/>
  <c r="V717" i="7"/>
  <c r="V718" i="7"/>
  <c r="V719" i="7"/>
  <c r="V720" i="7"/>
  <c r="V721" i="7"/>
  <c r="V722" i="7"/>
  <c r="V723" i="7"/>
  <c r="V724" i="7"/>
  <c r="V725" i="7"/>
  <c r="V726" i="7"/>
  <c r="V727" i="7"/>
  <c r="V728" i="7"/>
  <c r="V729" i="7"/>
  <c r="V730" i="7"/>
  <c r="V731" i="7"/>
  <c r="V732" i="7"/>
  <c r="V733" i="7"/>
  <c r="V734" i="7"/>
  <c r="V735" i="7"/>
  <c r="V736" i="7"/>
  <c r="V737" i="7"/>
  <c r="V738" i="7"/>
  <c r="V739" i="7"/>
  <c r="V740" i="7"/>
  <c r="V741" i="7"/>
  <c r="V742" i="7"/>
  <c r="V743" i="7"/>
  <c r="V744" i="7"/>
  <c r="V745" i="7"/>
  <c r="V746" i="7"/>
  <c r="V747" i="7"/>
  <c r="V748" i="7"/>
  <c r="V749" i="7"/>
  <c r="V750" i="7"/>
  <c r="V751" i="7"/>
  <c r="V752" i="7"/>
  <c r="V753" i="7"/>
  <c r="V754" i="7"/>
  <c r="V755" i="7"/>
  <c r="V756" i="7"/>
  <c r="V757" i="7"/>
  <c r="V758" i="7"/>
  <c r="V759" i="7"/>
  <c r="W2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502" i="7"/>
  <c r="W503" i="7"/>
  <c r="W504" i="7"/>
  <c r="W505" i="7"/>
  <c r="W506" i="7"/>
  <c r="W507" i="7"/>
  <c r="W508" i="7"/>
  <c r="W509" i="7"/>
  <c r="W510" i="7"/>
  <c r="W511" i="7"/>
  <c r="W512" i="7"/>
  <c r="W513" i="7"/>
  <c r="W514" i="7"/>
  <c r="W515" i="7"/>
  <c r="W516" i="7"/>
  <c r="W517" i="7"/>
  <c r="W518" i="7"/>
  <c r="W519" i="7"/>
  <c r="W520" i="7"/>
  <c r="W521" i="7"/>
  <c r="W522" i="7"/>
  <c r="W523" i="7"/>
  <c r="W524" i="7"/>
  <c r="W525" i="7"/>
  <c r="W526" i="7"/>
  <c r="W527" i="7"/>
  <c r="W528" i="7"/>
  <c r="W529" i="7"/>
  <c r="W530" i="7"/>
  <c r="W531" i="7"/>
  <c r="W532" i="7"/>
  <c r="W533" i="7"/>
  <c r="W534" i="7"/>
  <c r="W535" i="7"/>
  <c r="W536" i="7"/>
  <c r="W537" i="7"/>
  <c r="W538" i="7"/>
  <c r="W539" i="7"/>
  <c r="W540" i="7"/>
  <c r="W541" i="7"/>
  <c r="W542" i="7"/>
  <c r="W543" i="7"/>
  <c r="W544" i="7"/>
  <c r="W545" i="7"/>
  <c r="W546" i="7"/>
  <c r="W547" i="7"/>
  <c r="W548" i="7"/>
  <c r="W549" i="7"/>
  <c r="W550" i="7"/>
  <c r="W551" i="7"/>
  <c r="W552" i="7"/>
  <c r="W553" i="7"/>
  <c r="W554" i="7"/>
  <c r="W555" i="7"/>
  <c r="W556" i="7"/>
  <c r="W557" i="7"/>
  <c r="W558" i="7"/>
  <c r="W559" i="7"/>
  <c r="W560" i="7"/>
  <c r="W561" i="7"/>
  <c r="W562" i="7"/>
  <c r="W563" i="7"/>
  <c r="W564" i="7"/>
  <c r="W565" i="7"/>
  <c r="W566" i="7"/>
  <c r="W567" i="7"/>
  <c r="W568" i="7"/>
  <c r="W569" i="7"/>
  <c r="W570" i="7"/>
  <c r="W571" i="7"/>
  <c r="W572" i="7"/>
  <c r="W573" i="7"/>
  <c r="W574" i="7"/>
  <c r="W575" i="7"/>
  <c r="W576" i="7"/>
  <c r="W577" i="7"/>
  <c r="W578" i="7"/>
  <c r="W579" i="7"/>
  <c r="W580" i="7"/>
  <c r="W581" i="7"/>
  <c r="W582" i="7"/>
  <c r="W583" i="7"/>
  <c r="W584" i="7"/>
  <c r="W585" i="7"/>
  <c r="W586" i="7"/>
  <c r="W587" i="7"/>
  <c r="W588" i="7"/>
  <c r="W589" i="7"/>
  <c r="W590" i="7"/>
  <c r="W591" i="7"/>
  <c r="W592" i="7"/>
  <c r="W593" i="7"/>
  <c r="W594" i="7"/>
  <c r="W595" i="7"/>
  <c r="W596" i="7"/>
  <c r="W597" i="7"/>
  <c r="W598" i="7"/>
  <c r="W599" i="7"/>
  <c r="W600" i="7"/>
  <c r="W601" i="7"/>
  <c r="W602" i="7"/>
  <c r="W603" i="7"/>
  <c r="W604" i="7"/>
  <c r="W605" i="7"/>
  <c r="W606" i="7"/>
  <c r="W607" i="7"/>
  <c r="W608" i="7"/>
  <c r="W609" i="7"/>
  <c r="W610" i="7"/>
  <c r="W611" i="7"/>
  <c r="W612" i="7"/>
  <c r="W613" i="7"/>
  <c r="W614" i="7"/>
  <c r="W615" i="7"/>
  <c r="W616" i="7"/>
  <c r="W617" i="7"/>
  <c r="W618" i="7"/>
  <c r="W619" i="7"/>
  <c r="W620" i="7"/>
  <c r="W621" i="7"/>
  <c r="W622" i="7"/>
  <c r="W623" i="7"/>
  <c r="W624" i="7"/>
  <c r="W625" i="7"/>
  <c r="W626" i="7"/>
  <c r="W627" i="7"/>
  <c r="W628" i="7"/>
  <c r="W629" i="7"/>
  <c r="W630" i="7"/>
  <c r="W631" i="7"/>
  <c r="W632" i="7"/>
  <c r="W633" i="7"/>
  <c r="W634" i="7"/>
  <c r="W635" i="7"/>
  <c r="W636" i="7"/>
  <c r="W637" i="7"/>
  <c r="W638" i="7"/>
  <c r="W639" i="7"/>
  <c r="W640" i="7"/>
  <c r="W641" i="7"/>
  <c r="W642" i="7"/>
  <c r="W643" i="7"/>
  <c r="W644" i="7"/>
  <c r="W645" i="7"/>
  <c r="W646" i="7"/>
  <c r="W647" i="7"/>
  <c r="W648" i="7"/>
  <c r="W649" i="7"/>
  <c r="W650" i="7"/>
  <c r="W651" i="7"/>
  <c r="W652" i="7"/>
  <c r="W653" i="7"/>
  <c r="W654" i="7"/>
  <c r="W655" i="7"/>
  <c r="W656" i="7"/>
  <c r="W657" i="7"/>
  <c r="W658" i="7"/>
  <c r="W659" i="7"/>
  <c r="W660" i="7"/>
  <c r="W661" i="7"/>
  <c r="W662" i="7"/>
  <c r="W663" i="7"/>
  <c r="W664" i="7"/>
  <c r="W665" i="7"/>
  <c r="W666" i="7"/>
  <c r="W667" i="7"/>
  <c r="W668" i="7"/>
  <c r="W669" i="7"/>
  <c r="W670" i="7"/>
  <c r="W671" i="7"/>
  <c r="W672" i="7"/>
  <c r="W673" i="7"/>
  <c r="W674" i="7"/>
  <c r="W675" i="7"/>
  <c r="W676" i="7"/>
  <c r="W677" i="7"/>
  <c r="W678" i="7"/>
  <c r="W679" i="7"/>
  <c r="W680" i="7"/>
  <c r="W681" i="7"/>
  <c r="W682" i="7"/>
  <c r="W683" i="7"/>
  <c r="W684" i="7"/>
  <c r="W685" i="7"/>
  <c r="W686" i="7"/>
  <c r="W687" i="7"/>
  <c r="W688" i="7"/>
  <c r="W689" i="7"/>
  <c r="W690" i="7"/>
  <c r="W691" i="7"/>
  <c r="W692" i="7"/>
  <c r="W693" i="7"/>
  <c r="W694" i="7"/>
  <c r="W695" i="7"/>
  <c r="W696" i="7"/>
  <c r="W697" i="7"/>
  <c r="W698" i="7"/>
  <c r="W699" i="7"/>
  <c r="W700" i="7"/>
  <c r="W701" i="7"/>
  <c r="W702" i="7"/>
  <c r="W703" i="7"/>
  <c r="W704" i="7"/>
  <c r="W705" i="7"/>
  <c r="W706" i="7"/>
  <c r="W707" i="7"/>
  <c r="W708" i="7"/>
  <c r="W709" i="7"/>
  <c r="W710" i="7"/>
  <c r="W711" i="7"/>
  <c r="W712" i="7"/>
  <c r="W713" i="7"/>
  <c r="W714" i="7"/>
  <c r="W715" i="7"/>
  <c r="W716" i="7"/>
  <c r="W717" i="7"/>
  <c r="W718" i="7"/>
  <c r="W719" i="7"/>
  <c r="W720" i="7"/>
  <c r="W721" i="7"/>
  <c r="W722" i="7"/>
  <c r="W723" i="7"/>
  <c r="W724" i="7"/>
  <c r="W725" i="7"/>
  <c r="W726" i="7"/>
  <c r="W727" i="7"/>
  <c r="W728" i="7"/>
  <c r="W729" i="7"/>
  <c r="W730" i="7"/>
  <c r="W731" i="7"/>
  <c r="W732" i="7"/>
  <c r="W733" i="7"/>
  <c r="W734" i="7"/>
  <c r="W735" i="7"/>
  <c r="W736" i="7"/>
  <c r="W737" i="7"/>
  <c r="W738" i="7"/>
  <c r="W739" i="7"/>
  <c r="W740" i="7"/>
  <c r="W741" i="7"/>
  <c r="W742" i="7"/>
  <c r="W743" i="7"/>
  <c r="W744" i="7"/>
  <c r="W745" i="7"/>
  <c r="W746" i="7"/>
  <c r="W747" i="7"/>
  <c r="W748" i="7"/>
  <c r="W749" i="7"/>
  <c r="W750" i="7"/>
  <c r="W751" i="7"/>
  <c r="W752" i="7"/>
  <c r="W753" i="7"/>
  <c r="W754" i="7"/>
  <c r="W755" i="7"/>
  <c r="W756" i="7"/>
  <c r="W757" i="7"/>
  <c r="W758" i="7"/>
  <c r="W759" i="7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X603" i="7"/>
  <c r="X604" i="7"/>
  <c r="X605" i="7"/>
  <c r="X606" i="7"/>
  <c r="X607" i="7"/>
  <c r="X608" i="7"/>
  <c r="X609" i="7"/>
  <c r="X610" i="7"/>
  <c r="X611" i="7"/>
  <c r="X612" i="7"/>
  <c r="X613" i="7"/>
  <c r="X614" i="7"/>
  <c r="X615" i="7"/>
  <c r="X616" i="7"/>
  <c r="X617" i="7"/>
  <c r="X618" i="7"/>
  <c r="X619" i="7"/>
  <c r="X620" i="7"/>
  <c r="X621" i="7"/>
  <c r="X622" i="7"/>
  <c r="X623" i="7"/>
  <c r="X624" i="7"/>
  <c r="X625" i="7"/>
  <c r="X626" i="7"/>
  <c r="X627" i="7"/>
  <c r="X628" i="7"/>
  <c r="X629" i="7"/>
  <c r="X630" i="7"/>
  <c r="X631" i="7"/>
  <c r="X632" i="7"/>
  <c r="X633" i="7"/>
  <c r="X634" i="7"/>
  <c r="X635" i="7"/>
  <c r="X636" i="7"/>
  <c r="X637" i="7"/>
  <c r="X638" i="7"/>
  <c r="X639" i="7"/>
  <c r="X640" i="7"/>
  <c r="X641" i="7"/>
  <c r="X642" i="7"/>
  <c r="X643" i="7"/>
  <c r="X644" i="7"/>
  <c r="X645" i="7"/>
  <c r="X646" i="7"/>
  <c r="X647" i="7"/>
  <c r="X648" i="7"/>
  <c r="X649" i="7"/>
  <c r="X650" i="7"/>
  <c r="X651" i="7"/>
  <c r="X652" i="7"/>
  <c r="X653" i="7"/>
  <c r="X654" i="7"/>
  <c r="X655" i="7"/>
  <c r="X656" i="7"/>
  <c r="X657" i="7"/>
  <c r="X658" i="7"/>
  <c r="X659" i="7"/>
  <c r="X660" i="7"/>
  <c r="X661" i="7"/>
  <c r="X662" i="7"/>
  <c r="X663" i="7"/>
  <c r="X664" i="7"/>
  <c r="X665" i="7"/>
  <c r="X666" i="7"/>
  <c r="X667" i="7"/>
  <c r="X668" i="7"/>
  <c r="X669" i="7"/>
  <c r="X670" i="7"/>
  <c r="X671" i="7"/>
  <c r="X672" i="7"/>
  <c r="X673" i="7"/>
  <c r="X674" i="7"/>
  <c r="X675" i="7"/>
  <c r="X676" i="7"/>
  <c r="X677" i="7"/>
  <c r="X678" i="7"/>
  <c r="X679" i="7"/>
  <c r="X680" i="7"/>
  <c r="X681" i="7"/>
  <c r="X682" i="7"/>
  <c r="X683" i="7"/>
  <c r="X684" i="7"/>
  <c r="X685" i="7"/>
  <c r="X686" i="7"/>
  <c r="X687" i="7"/>
  <c r="X688" i="7"/>
  <c r="X689" i="7"/>
  <c r="X690" i="7"/>
  <c r="X691" i="7"/>
  <c r="X692" i="7"/>
  <c r="X693" i="7"/>
  <c r="X694" i="7"/>
  <c r="X695" i="7"/>
  <c r="X696" i="7"/>
  <c r="X697" i="7"/>
  <c r="X698" i="7"/>
  <c r="X699" i="7"/>
  <c r="X700" i="7"/>
  <c r="X701" i="7"/>
  <c r="X702" i="7"/>
  <c r="X703" i="7"/>
  <c r="X704" i="7"/>
  <c r="X705" i="7"/>
  <c r="X706" i="7"/>
  <c r="X707" i="7"/>
  <c r="X708" i="7"/>
  <c r="X709" i="7"/>
  <c r="X710" i="7"/>
  <c r="X711" i="7"/>
  <c r="X712" i="7"/>
  <c r="X713" i="7"/>
  <c r="X714" i="7"/>
  <c r="X715" i="7"/>
  <c r="X716" i="7"/>
  <c r="X717" i="7"/>
  <c r="X718" i="7"/>
  <c r="X719" i="7"/>
  <c r="X720" i="7"/>
  <c r="X721" i="7"/>
  <c r="X722" i="7"/>
  <c r="X723" i="7"/>
  <c r="X724" i="7"/>
  <c r="X725" i="7"/>
  <c r="X726" i="7"/>
  <c r="X727" i="7"/>
  <c r="X728" i="7"/>
  <c r="X729" i="7"/>
  <c r="X730" i="7"/>
  <c r="X731" i="7"/>
  <c r="X732" i="7"/>
  <c r="X733" i="7"/>
  <c r="X734" i="7"/>
  <c r="X735" i="7"/>
  <c r="X736" i="7"/>
  <c r="X737" i="7"/>
  <c r="X738" i="7"/>
  <c r="X739" i="7"/>
  <c r="X740" i="7"/>
  <c r="X741" i="7"/>
  <c r="X742" i="7"/>
  <c r="X743" i="7"/>
  <c r="X744" i="7"/>
  <c r="X745" i="7"/>
  <c r="X746" i="7"/>
  <c r="X747" i="7"/>
  <c r="X748" i="7"/>
  <c r="X749" i="7"/>
  <c r="X750" i="7"/>
  <c r="X751" i="7"/>
  <c r="X752" i="7"/>
  <c r="X753" i="7"/>
  <c r="X754" i="7"/>
  <c r="X755" i="7"/>
  <c r="X756" i="7"/>
  <c r="X757" i="7"/>
  <c r="X758" i="7"/>
  <c r="X759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Y502" i="7"/>
  <c r="Y503" i="7"/>
  <c r="Y504" i="7"/>
  <c r="Y505" i="7"/>
  <c r="Y506" i="7"/>
  <c r="Y507" i="7"/>
  <c r="Y508" i="7"/>
  <c r="Y509" i="7"/>
  <c r="Y510" i="7"/>
  <c r="Y511" i="7"/>
  <c r="Y512" i="7"/>
  <c r="Y513" i="7"/>
  <c r="Y514" i="7"/>
  <c r="Y515" i="7"/>
  <c r="Y516" i="7"/>
  <c r="Y517" i="7"/>
  <c r="Y518" i="7"/>
  <c r="Y519" i="7"/>
  <c r="Y520" i="7"/>
  <c r="Y521" i="7"/>
  <c r="Y522" i="7"/>
  <c r="Y523" i="7"/>
  <c r="Y524" i="7"/>
  <c r="Y525" i="7"/>
  <c r="Y526" i="7"/>
  <c r="Y527" i="7"/>
  <c r="Y528" i="7"/>
  <c r="Y529" i="7"/>
  <c r="Y530" i="7"/>
  <c r="Y531" i="7"/>
  <c r="Y532" i="7"/>
  <c r="Y533" i="7"/>
  <c r="Y534" i="7"/>
  <c r="Y535" i="7"/>
  <c r="Y536" i="7"/>
  <c r="Y537" i="7"/>
  <c r="Y538" i="7"/>
  <c r="Y539" i="7"/>
  <c r="Y540" i="7"/>
  <c r="Y541" i="7"/>
  <c r="Y542" i="7"/>
  <c r="Y543" i="7"/>
  <c r="Y544" i="7"/>
  <c r="Y545" i="7"/>
  <c r="Y546" i="7"/>
  <c r="Y547" i="7"/>
  <c r="Y548" i="7"/>
  <c r="Y549" i="7"/>
  <c r="Y550" i="7"/>
  <c r="Y551" i="7"/>
  <c r="Y552" i="7"/>
  <c r="Y553" i="7"/>
  <c r="Y554" i="7"/>
  <c r="Y555" i="7"/>
  <c r="Y556" i="7"/>
  <c r="Y557" i="7"/>
  <c r="Y558" i="7"/>
  <c r="Y559" i="7"/>
  <c r="Y560" i="7"/>
  <c r="Y561" i="7"/>
  <c r="Y562" i="7"/>
  <c r="Y563" i="7"/>
  <c r="Y564" i="7"/>
  <c r="Y565" i="7"/>
  <c r="Y566" i="7"/>
  <c r="Y567" i="7"/>
  <c r="Y568" i="7"/>
  <c r="Y569" i="7"/>
  <c r="Y570" i="7"/>
  <c r="Y571" i="7"/>
  <c r="Y572" i="7"/>
  <c r="Y573" i="7"/>
  <c r="Y574" i="7"/>
  <c r="Y575" i="7"/>
  <c r="Y576" i="7"/>
  <c r="Y577" i="7"/>
  <c r="Y578" i="7"/>
  <c r="Y579" i="7"/>
  <c r="Y580" i="7"/>
  <c r="Y581" i="7"/>
  <c r="Y582" i="7"/>
  <c r="Y583" i="7"/>
  <c r="Y584" i="7"/>
  <c r="Y585" i="7"/>
  <c r="Y586" i="7"/>
  <c r="Y587" i="7"/>
  <c r="Y588" i="7"/>
  <c r="Y589" i="7"/>
  <c r="Y590" i="7"/>
  <c r="Y591" i="7"/>
  <c r="Y592" i="7"/>
  <c r="Y593" i="7"/>
  <c r="Y594" i="7"/>
  <c r="Y595" i="7"/>
  <c r="Y596" i="7"/>
  <c r="Y597" i="7"/>
  <c r="Y598" i="7"/>
  <c r="Y599" i="7"/>
  <c r="Y600" i="7"/>
  <c r="Y601" i="7"/>
  <c r="Y602" i="7"/>
  <c r="Y603" i="7"/>
  <c r="Y604" i="7"/>
  <c r="Y605" i="7"/>
  <c r="Y606" i="7"/>
  <c r="Y607" i="7"/>
  <c r="Y608" i="7"/>
  <c r="Y609" i="7"/>
  <c r="Y610" i="7"/>
  <c r="Y611" i="7"/>
  <c r="Y612" i="7"/>
  <c r="Y613" i="7"/>
  <c r="Y614" i="7"/>
  <c r="Y615" i="7"/>
  <c r="Y616" i="7"/>
  <c r="Y617" i="7"/>
  <c r="Y618" i="7"/>
  <c r="Y619" i="7"/>
  <c r="Y620" i="7"/>
  <c r="Y621" i="7"/>
  <c r="Y622" i="7"/>
  <c r="Y623" i="7"/>
  <c r="Y624" i="7"/>
  <c r="Y625" i="7"/>
  <c r="Y626" i="7"/>
  <c r="Y627" i="7"/>
  <c r="Y628" i="7"/>
  <c r="Y629" i="7"/>
  <c r="Y630" i="7"/>
  <c r="Y631" i="7"/>
  <c r="Y632" i="7"/>
  <c r="Y633" i="7"/>
  <c r="Y634" i="7"/>
  <c r="Y635" i="7"/>
  <c r="Y636" i="7"/>
  <c r="Y637" i="7"/>
  <c r="Y638" i="7"/>
  <c r="Y639" i="7"/>
  <c r="Y640" i="7"/>
  <c r="Y641" i="7"/>
  <c r="Y642" i="7"/>
  <c r="Y643" i="7"/>
  <c r="Y644" i="7"/>
  <c r="Y645" i="7"/>
  <c r="Y646" i="7"/>
  <c r="Y647" i="7"/>
  <c r="Y648" i="7"/>
  <c r="Y649" i="7"/>
  <c r="Y650" i="7"/>
  <c r="Y651" i="7"/>
  <c r="Y652" i="7"/>
  <c r="Y653" i="7"/>
  <c r="Y654" i="7"/>
  <c r="Y655" i="7"/>
  <c r="Y656" i="7"/>
  <c r="Y657" i="7"/>
  <c r="Y658" i="7"/>
  <c r="Y659" i="7"/>
  <c r="Y660" i="7"/>
  <c r="Y661" i="7"/>
  <c r="Y662" i="7"/>
  <c r="Y663" i="7"/>
  <c r="Y664" i="7"/>
  <c r="Y665" i="7"/>
  <c r="Y666" i="7"/>
  <c r="Y667" i="7"/>
  <c r="Y668" i="7"/>
  <c r="Y669" i="7"/>
  <c r="Y670" i="7"/>
  <c r="Y671" i="7"/>
  <c r="Y672" i="7"/>
  <c r="Y673" i="7"/>
  <c r="Y674" i="7"/>
  <c r="Y675" i="7"/>
  <c r="Y676" i="7"/>
  <c r="Y677" i="7"/>
  <c r="Y678" i="7"/>
  <c r="Y679" i="7"/>
  <c r="Y680" i="7"/>
  <c r="Y681" i="7"/>
  <c r="Y682" i="7"/>
  <c r="Y683" i="7"/>
  <c r="Y684" i="7"/>
  <c r="Y685" i="7"/>
  <c r="Y686" i="7"/>
  <c r="Y687" i="7"/>
  <c r="Y688" i="7"/>
  <c r="Y689" i="7"/>
  <c r="Y690" i="7"/>
  <c r="Y691" i="7"/>
  <c r="Y692" i="7"/>
  <c r="Y693" i="7"/>
  <c r="Y694" i="7"/>
  <c r="Y695" i="7"/>
  <c r="Y696" i="7"/>
  <c r="Y697" i="7"/>
  <c r="Y698" i="7"/>
  <c r="Y699" i="7"/>
  <c r="Y700" i="7"/>
  <c r="Y701" i="7"/>
  <c r="Y702" i="7"/>
  <c r="Y703" i="7"/>
  <c r="Y704" i="7"/>
  <c r="Y705" i="7"/>
  <c r="Y706" i="7"/>
  <c r="Y707" i="7"/>
  <c r="Y708" i="7"/>
  <c r="Y709" i="7"/>
  <c r="Y710" i="7"/>
  <c r="Y711" i="7"/>
  <c r="Y712" i="7"/>
  <c r="Y713" i="7"/>
  <c r="Y714" i="7"/>
  <c r="Y715" i="7"/>
  <c r="Y716" i="7"/>
  <c r="Y717" i="7"/>
  <c r="Y718" i="7"/>
  <c r="Y719" i="7"/>
  <c r="Y720" i="7"/>
  <c r="Y721" i="7"/>
  <c r="Y722" i="7"/>
  <c r="Y723" i="7"/>
  <c r="Y724" i="7"/>
  <c r="Y725" i="7"/>
  <c r="Y726" i="7"/>
  <c r="Y727" i="7"/>
  <c r="Y728" i="7"/>
  <c r="Y729" i="7"/>
  <c r="Y730" i="7"/>
  <c r="Y731" i="7"/>
  <c r="Y732" i="7"/>
  <c r="Y733" i="7"/>
  <c r="Y734" i="7"/>
  <c r="Y735" i="7"/>
  <c r="Y736" i="7"/>
  <c r="Y737" i="7"/>
  <c r="Y738" i="7"/>
  <c r="Y739" i="7"/>
  <c r="Y740" i="7"/>
  <c r="Y741" i="7"/>
  <c r="Y742" i="7"/>
  <c r="Y743" i="7"/>
  <c r="Y744" i="7"/>
  <c r="Y745" i="7"/>
  <c r="Y746" i="7"/>
  <c r="Y747" i="7"/>
  <c r="Y748" i="7"/>
  <c r="Y749" i="7"/>
  <c r="Y750" i="7"/>
  <c r="Y751" i="7"/>
  <c r="Y752" i="7"/>
  <c r="Y753" i="7"/>
  <c r="Y754" i="7"/>
  <c r="Y755" i="7"/>
  <c r="Y756" i="7"/>
  <c r="Y757" i="7"/>
  <c r="Y758" i="7"/>
  <c r="Y759" i="7"/>
  <c r="Z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518" i="7"/>
  <c r="Z519" i="7"/>
  <c r="Z520" i="7"/>
  <c r="Z521" i="7"/>
  <c r="Z522" i="7"/>
  <c r="Z523" i="7"/>
  <c r="Z524" i="7"/>
  <c r="Z525" i="7"/>
  <c r="Z526" i="7"/>
  <c r="Z527" i="7"/>
  <c r="Z528" i="7"/>
  <c r="Z529" i="7"/>
  <c r="Z530" i="7"/>
  <c r="Z531" i="7"/>
  <c r="Z532" i="7"/>
  <c r="Z533" i="7"/>
  <c r="Z534" i="7"/>
  <c r="Z535" i="7"/>
  <c r="Z536" i="7"/>
  <c r="Z537" i="7"/>
  <c r="Z538" i="7"/>
  <c r="Z539" i="7"/>
  <c r="Z540" i="7"/>
  <c r="Z541" i="7"/>
  <c r="Z542" i="7"/>
  <c r="Z543" i="7"/>
  <c r="Z544" i="7"/>
  <c r="Z545" i="7"/>
  <c r="Z546" i="7"/>
  <c r="Z547" i="7"/>
  <c r="Z548" i="7"/>
  <c r="Z549" i="7"/>
  <c r="Z550" i="7"/>
  <c r="Z551" i="7"/>
  <c r="Z552" i="7"/>
  <c r="Z553" i="7"/>
  <c r="Z554" i="7"/>
  <c r="Z555" i="7"/>
  <c r="Z556" i="7"/>
  <c r="Z557" i="7"/>
  <c r="Z558" i="7"/>
  <c r="Z559" i="7"/>
  <c r="Z560" i="7"/>
  <c r="Z561" i="7"/>
  <c r="Z562" i="7"/>
  <c r="Z563" i="7"/>
  <c r="Z564" i="7"/>
  <c r="Z565" i="7"/>
  <c r="Z566" i="7"/>
  <c r="Z567" i="7"/>
  <c r="Z568" i="7"/>
  <c r="Z569" i="7"/>
  <c r="Z570" i="7"/>
  <c r="Z571" i="7"/>
  <c r="Z572" i="7"/>
  <c r="Z573" i="7"/>
  <c r="Z574" i="7"/>
  <c r="Z575" i="7"/>
  <c r="Z576" i="7"/>
  <c r="Z577" i="7"/>
  <c r="Z578" i="7"/>
  <c r="Z579" i="7"/>
  <c r="Z580" i="7"/>
  <c r="Z581" i="7"/>
  <c r="Z582" i="7"/>
  <c r="Z583" i="7"/>
  <c r="Z584" i="7"/>
  <c r="Z585" i="7"/>
  <c r="Z586" i="7"/>
  <c r="Z587" i="7"/>
  <c r="Z588" i="7"/>
  <c r="Z589" i="7"/>
  <c r="Z590" i="7"/>
  <c r="Z591" i="7"/>
  <c r="Z592" i="7"/>
  <c r="Z593" i="7"/>
  <c r="Z594" i="7"/>
  <c r="Z595" i="7"/>
  <c r="Z596" i="7"/>
  <c r="Z597" i="7"/>
  <c r="Z598" i="7"/>
  <c r="Z599" i="7"/>
  <c r="Z600" i="7"/>
  <c r="Z601" i="7"/>
  <c r="Z602" i="7"/>
  <c r="Z603" i="7"/>
  <c r="Z604" i="7"/>
  <c r="Z605" i="7"/>
  <c r="Z606" i="7"/>
  <c r="Z607" i="7"/>
  <c r="Z608" i="7"/>
  <c r="Z609" i="7"/>
  <c r="Z610" i="7"/>
  <c r="Z611" i="7"/>
  <c r="Z612" i="7"/>
  <c r="Z613" i="7"/>
  <c r="Z614" i="7"/>
  <c r="Z615" i="7"/>
  <c r="Z616" i="7"/>
  <c r="Z617" i="7"/>
  <c r="Z618" i="7"/>
  <c r="Z619" i="7"/>
  <c r="Z620" i="7"/>
  <c r="Z621" i="7"/>
  <c r="Z622" i="7"/>
  <c r="Z623" i="7"/>
  <c r="Z624" i="7"/>
  <c r="Z625" i="7"/>
  <c r="Z626" i="7"/>
  <c r="Z627" i="7"/>
  <c r="Z628" i="7"/>
  <c r="Z629" i="7"/>
  <c r="Z630" i="7"/>
  <c r="Z631" i="7"/>
  <c r="Z632" i="7"/>
  <c r="Z633" i="7"/>
  <c r="Z634" i="7"/>
  <c r="Z635" i="7"/>
  <c r="Z636" i="7"/>
  <c r="Z637" i="7"/>
  <c r="Z638" i="7"/>
  <c r="Z639" i="7"/>
  <c r="Z640" i="7"/>
  <c r="Z641" i="7"/>
  <c r="Z642" i="7"/>
  <c r="Z643" i="7"/>
  <c r="Z644" i="7"/>
  <c r="Z645" i="7"/>
  <c r="Z646" i="7"/>
  <c r="Z647" i="7"/>
  <c r="Z648" i="7"/>
  <c r="Z649" i="7"/>
  <c r="Z650" i="7"/>
  <c r="Z651" i="7"/>
  <c r="Z652" i="7"/>
  <c r="Z653" i="7"/>
  <c r="Z654" i="7"/>
  <c r="Z655" i="7"/>
  <c r="Z656" i="7"/>
  <c r="Z657" i="7"/>
  <c r="Z658" i="7"/>
  <c r="Z659" i="7"/>
  <c r="Z660" i="7"/>
  <c r="Z661" i="7"/>
  <c r="Z662" i="7"/>
  <c r="Z663" i="7"/>
  <c r="Z664" i="7"/>
  <c r="Z665" i="7"/>
  <c r="Z666" i="7"/>
  <c r="Z667" i="7"/>
  <c r="Z668" i="7"/>
  <c r="Z669" i="7"/>
  <c r="Z670" i="7"/>
  <c r="Z671" i="7"/>
  <c r="Z672" i="7"/>
  <c r="Z673" i="7"/>
  <c r="Z674" i="7"/>
  <c r="Z675" i="7"/>
  <c r="Z676" i="7"/>
  <c r="Z677" i="7"/>
  <c r="Z678" i="7"/>
  <c r="Z679" i="7"/>
  <c r="Z680" i="7"/>
  <c r="Z681" i="7"/>
  <c r="Z682" i="7"/>
  <c r="Z683" i="7"/>
  <c r="Z684" i="7"/>
  <c r="Z685" i="7"/>
  <c r="Z686" i="7"/>
  <c r="Z687" i="7"/>
  <c r="Z688" i="7"/>
  <c r="Z689" i="7"/>
  <c r="Z690" i="7"/>
  <c r="Z691" i="7"/>
  <c r="Z692" i="7"/>
  <c r="Z693" i="7"/>
  <c r="Z694" i="7"/>
  <c r="Z695" i="7"/>
  <c r="Z696" i="7"/>
  <c r="Z697" i="7"/>
  <c r="Z698" i="7"/>
  <c r="Z699" i="7"/>
  <c r="Z700" i="7"/>
  <c r="Z701" i="7"/>
  <c r="Z702" i="7"/>
  <c r="Z703" i="7"/>
  <c r="Z704" i="7"/>
  <c r="Z705" i="7"/>
  <c r="Z706" i="7"/>
  <c r="Z707" i="7"/>
  <c r="Z708" i="7"/>
  <c r="Z709" i="7"/>
  <c r="Z710" i="7"/>
  <c r="Z711" i="7"/>
  <c r="Z712" i="7"/>
  <c r="Z713" i="7"/>
  <c r="Z714" i="7"/>
  <c r="Z715" i="7"/>
  <c r="Z716" i="7"/>
  <c r="Z717" i="7"/>
  <c r="Z718" i="7"/>
  <c r="Z719" i="7"/>
  <c r="Z720" i="7"/>
  <c r="Z721" i="7"/>
  <c r="Z722" i="7"/>
  <c r="Z723" i="7"/>
  <c r="Z724" i="7"/>
  <c r="Z725" i="7"/>
  <c r="Z726" i="7"/>
  <c r="Z727" i="7"/>
  <c r="Z728" i="7"/>
  <c r="Z729" i="7"/>
  <c r="Z730" i="7"/>
  <c r="Z731" i="7"/>
  <c r="Z732" i="7"/>
  <c r="Z733" i="7"/>
  <c r="Z734" i="7"/>
  <c r="Z735" i="7"/>
  <c r="Z736" i="7"/>
  <c r="Z737" i="7"/>
  <c r="Z738" i="7"/>
  <c r="Z739" i="7"/>
  <c r="Z740" i="7"/>
  <c r="Z741" i="7"/>
  <c r="Z742" i="7"/>
  <c r="Z743" i="7"/>
  <c r="Z744" i="7"/>
  <c r="Z745" i="7"/>
  <c r="Z746" i="7"/>
  <c r="Z747" i="7"/>
  <c r="Z748" i="7"/>
  <c r="Z749" i="7"/>
  <c r="Z750" i="7"/>
  <c r="Z751" i="7"/>
  <c r="Z752" i="7"/>
  <c r="Z753" i="7"/>
  <c r="Z754" i="7"/>
  <c r="Z755" i="7"/>
  <c r="Z756" i="7"/>
  <c r="Z757" i="7"/>
  <c r="Z758" i="7"/>
  <c r="Z759" i="7"/>
  <c r="AA2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2" i="7"/>
  <c r="AA363" i="7"/>
  <c r="AA364" i="7"/>
  <c r="AA365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A422" i="7"/>
  <c r="AA423" i="7"/>
  <c r="AA424" i="7"/>
  <c r="AA425" i="7"/>
  <c r="AA426" i="7"/>
  <c r="AA427" i="7"/>
  <c r="AA428" i="7"/>
  <c r="AA429" i="7"/>
  <c r="AA430" i="7"/>
  <c r="AA431" i="7"/>
  <c r="AA432" i="7"/>
  <c r="AA433" i="7"/>
  <c r="AA434" i="7"/>
  <c r="AA435" i="7"/>
  <c r="AA436" i="7"/>
  <c r="AA437" i="7"/>
  <c r="AA438" i="7"/>
  <c r="AA439" i="7"/>
  <c r="AA440" i="7"/>
  <c r="AA441" i="7"/>
  <c r="AA442" i="7"/>
  <c r="AA443" i="7"/>
  <c r="AA444" i="7"/>
  <c r="AA445" i="7"/>
  <c r="AA446" i="7"/>
  <c r="AA447" i="7"/>
  <c r="AA448" i="7"/>
  <c r="AA449" i="7"/>
  <c r="AA450" i="7"/>
  <c r="AA451" i="7"/>
  <c r="AA452" i="7"/>
  <c r="AA453" i="7"/>
  <c r="AA454" i="7"/>
  <c r="AA455" i="7"/>
  <c r="AA456" i="7"/>
  <c r="AA457" i="7"/>
  <c r="AA458" i="7"/>
  <c r="AA459" i="7"/>
  <c r="AA460" i="7"/>
  <c r="AA461" i="7"/>
  <c r="AA462" i="7"/>
  <c r="AA463" i="7"/>
  <c r="AA464" i="7"/>
  <c r="AA465" i="7"/>
  <c r="AA466" i="7"/>
  <c r="AA467" i="7"/>
  <c r="AA468" i="7"/>
  <c r="AA469" i="7"/>
  <c r="AA470" i="7"/>
  <c r="AA471" i="7"/>
  <c r="AA472" i="7"/>
  <c r="AA473" i="7"/>
  <c r="AA474" i="7"/>
  <c r="AA475" i="7"/>
  <c r="AA476" i="7"/>
  <c r="AA477" i="7"/>
  <c r="AA478" i="7"/>
  <c r="AA479" i="7"/>
  <c r="AA480" i="7"/>
  <c r="AA481" i="7"/>
  <c r="AA482" i="7"/>
  <c r="AA483" i="7"/>
  <c r="AA484" i="7"/>
  <c r="AA485" i="7"/>
  <c r="AA486" i="7"/>
  <c r="AA487" i="7"/>
  <c r="AA488" i="7"/>
  <c r="AA489" i="7"/>
  <c r="AA490" i="7"/>
  <c r="AA491" i="7"/>
  <c r="AA492" i="7"/>
  <c r="AA493" i="7"/>
  <c r="AA494" i="7"/>
  <c r="AA495" i="7"/>
  <c r="AA496" i="7"/>
  <c r="AA497" i="7"/>
  <c r="AA498" i="7"/>
  <c r="AA499" i="7"/>
  <c r="AA500" i="7"/>
  <c r="AA501" i="7"/>
  <c r="AA502" i="7"/>
  <c r="AA503" i="7"/>
  <c r="AA504" i="7"/>
  <c r="AA505" i="7"/>
  <c r="AA506" i="7"/>
  <c r="AA507" i="7"/>
  <c r="AA508" i="7"/>
  <c r="AA509" i="7"/>
  <c r="AA510" i="7"/>
  <c r="AA511" i="7"/>
  <c r="AA512" i="7"/>
  <c r="AA513" i="7"/>
  <c r="AA514" i="7"/>
  <c r="AA515" i="7"/>
  <c r="AA516" i="7"/>
  <c r="AA517" i="7"/>
  <c r="AA518" i="7"/>
  <c r="AA519" i="7"/>
  <c r="AA520" i="7"/>
  <c r="AA521" i="7"/>
  <c r="AA522" i="7"/>
  <c r="AA523" i="7"/>
  <c r="AA524" i="7"/>
  <c r="AA525" i="7"/>
  <c r="AA526" i="7"/>
  <c r="AA527" i="7"/>
  <c r="AA528" i="7"/>
  <c r="AA529" i="7"/>
  <c r="AA530" i="7"/>
  <c r="AA531" i="7"/>
  <c r="AA532" i="7"/>
  <c r="AA533" i="7"/>
  <c r="AA534" i="7"/>
  <c r="AA535" i="7"/>
  <c r="AA536" i="7"/>
  <c r="AA537" i="7"/>
  <c r="AA538" i="7"/>
  <c r="AA539" i="7"/>
  <c r="AA540" i="7"/>
  <c r="AA541" i="7"/>
  <c r="AA542" i="7"/>
  <c r="AA543" i="7"/>
  <c r="AA544" i="7"/>
  <c r="AA545" i="7"/>
  <c r="AA546" i="7"/>
  <c r="AA547" i="7"/>
  <c r="AA548" i="7"/>
  <c r="AA549" i="7"/>
  <c r="AA550" i="7"/>
  <c r="AA551" i="7"/>
  <c r="AA552" i="7"/>
  <c r="AA553" i="7"/>
  <c r="AA554" i="7"/>
  <c r="AA555" i="7"/>
  <c r="AA556" i="7"/>
  <c r="AA557" i="7"/>
  <c r="AA558" i="7"/>
  <c r="AA559" i="7"/>
  <c r="AA560" i="7"/>
  <c r="AA561" i="7"/>
  <c r="AA562" i="7"/>
  <c r="AA563" i="7"/>
  <c r="AA564" i="7"/>
  <c r="AA565" i="7"/>
  <c r="AA566" i="7"/>
  <c r="AA567" i="7"/>
  <c r="AA568" i="7"/>
  <c r="AA569" i="7"/>
  <c r="AA570" i="7"/>
  <c r="AA571" i="7"/>
  <c r="AA572" i="7"/>
  <c r="AA573" i="7"/>
  <c r="AA574" i="7"/>
  <c r="AA575" i="7"/>
  <c r="AA576" i="7"/>
  <c r="AA577" i="7"/>
  <c r="AA578" i="7"/>
  <c r="AA579" i="7"/>
  <c r="AA580" i="7"/>
  <c r="AA581" i="7"/>
  <c r="AA582" i="7"/>
  <c r="AA583" i="7"/>
  <c r="AA584" i="7"/>
  <c r="AA585" i="7"/>
  <c r="AA586" i="7"/>
  <c r="AA587" i="7"/>
  <c r="AA588" i="7"/>
  <c r="AA589" i="7"/>
  <c r="AA590" i="7"/>
  <c r="AA591" i="7"/>
  <c r="AA592" i="7"/>
  <c r="AA593" i="7"/>
  <c r="AA594" i="7"/>
  <c r="AA595" i="7"/>
  <c r="AA596" i="7"/>
  <c r="AA597" i="7"/>
  <c r="AA598" i="7"/>
  <c r="AA599" i="7"/>
  <c r="AA600" i="7"/>
  <c r="AA601" i="7"/>
  <c r="AA602" i="7"/>
  <c r="AA603" i="7"/>
  <c r="AA604" i="7"/>
  <c r="AA605" i="7"/>
  <c r="AA606" i="7"/>
  <c r="AA607" i="7"/>
  <c r="AA608" i="7"/>
  <c r="AA609" i="7"/>
  <c r="AA610" i="7"/>
  <c r="AA611" i="7"/>
  <c r="AA612" i="7"/>
  <c r="AA613" i="7"/>
  <c r="AA614" i="7"/>
  <c r="AA615" i="7"/>
  <c r="AA616" i="7"/>
  <c r="AA617" i="7"/>
  <c r="AA618" i="7"/>
  <c r="AA619" i="7"/>
  <c r="AA620" i="7"/>
  <c r="AA621" i="7"/>
  <c r="AA622" i="7"/>
  <c r="AA623" i="7"/>
  <c r="AA624" i="7"/>
  <c r="AA625" i="7"/>
  <c r="AA626" i="7"/>
  <c r="AA627" i="7"/>
  <c r="AA628" i="7"/>
  <c r="AA629" i="7"/>
  <c r="AA630" i="7"/>
  <c r="AA631" i="7"/>
  <c r="AA632" i="7"/>
  <c r="AA633" i="7"/>
  <c r="AA634" i="7"/>
  <c r="AA635" i="7"/>
  <c r="AA636" i="7"/>
  <c r="AA637" i="7"/>
  <c r="AA638" i="7"/>
  <c r="AA639" i="7"/>
  <c r="AA640" i="7"/>
  <c r="AA641" i="7"/>
  <c r="AA642" i="7"/>
  <c r="AA643" i="7"/>
  <c r="AA644" i="7"/>
  <c r="AA645" i="7"/>
  <c r="AA646" i="7"/>
  <c r="AA647" i="7"/>
  <c r="AA648" i="7"/>
  <c r="AA649" i="7"/>
  <c r="AA650" i="7"/>
  <c r="AA651" i="7"/>
  <c r="AA652" i="7"/>
  <c r="AA653" i="7"/>
  <c r="AA654" i="7"/>
  <c r="AA655" i="7"/>
  <c r="AA656" i="7"/>
  <c r="AA657" i="7"/>
  <c r="AA658" i="7"/>
  <c r="AA659" i="7"/>
  <c r="AA660" i="7"/>
  <c r="AA661" i="7"/>
  <c r="AA662" i="7"/>
  <c r="AA663" i="7"/>
  <c r="AA664" i="7"/>
  <c r="AA665" i="7"/>
  <c r="AA666" i="7"/>
  <c r="AA667" i="7"/>
  <c r="AA668" i="7"/>
  <c r="AA669" i="7"/>
  <c r="AA670" i="7"/>
  <c r="AA671" i="7"/>
  <c r="AA672" i="7"/>
  <c r="AA673" i="7"/>
  <c r="AA674" i="7"/>
  <c r="AA675" i="7"/>
  <c r="AA676" i="7"/>
  <c r="AA677" i="7"/>
  <c r="AA678" i="7"/>
  <c r="AA679" i="7"/>
  <c r="AA680" i="7"/>
  <c r="AA681" i="7"/>
  <c r="AA682" i="7"/>
  <c r="AA683" i="7"/>
  <c r="AA684" i="7"/>
  <c r="AA685" i="7"/>
  <c r="AA686" i="7"/>
  <c r="AA687" i="7"/>
  <c r="AA688" i="7"/>
  <c r="AA689" i="7"/>
  <c r="AA690" i="7"/>
  <c r="AA691" i="7"/>
  <c r="AA692" i="7"/>
  <c r="AA693" i="7"/>
  <c r="AA694" i="7"/>
  <c r="AA695" i="7"/>
  <c r="AA696" i="7"/>
  <c r="AA697" i="7"/>
  <c r="AA698" i="7"/>
  <c r="AA699" i="7"/>
  <c r="AA700" i="7"/>
  <c r="AA701" i="7"/>
  <c r="AA702" i="7"/>
  <c r="AA703" i="7"/>
  <c r="AA704" i="7"/>
  <c r="AA705" i="7"/>
  <c r="AA706" i="7"/>
  <c r="AA707" i="7"/>
  <c r="AA708" i="7"/>
  <c r="AA709" i="7"/>
  <c r="AA710" i="7"/>
  <c r="AA711" i="7"/>
  <c r="AA712" i="7"/>
  <c r="AA713" i="7"/>
  <c r="AA714" i="7"/>
  <c r="AA715" i="7"/>
  <c r="AA716" i="7"/>
  <c r="AA717" i="7"/>
  <c r="AA718" i="7"/>
  <c r="AA719" i="7"/>
  <c r="AA720" i="7"/>
  <c r="AA721" i="7"/>
  <c r="AA722" i="7"/>
  <c r="AA723" i="7"/>
  <c r="AA724" i="7"/>
  <c r="AA725" i="7"/>
  <c r="AA726" i="7"/>
  <c r="AA727" i="7"/>
  <c r="AA728" i="7"/>
  <c r="AA729" i="7"/>
  <c r="AA730" i="7"/>
  <c r="AA731" i="7"/>
  <c r="AA732" i="7"/>
  <c r="AA733" i="7"/>
  <c r="AA734" i="7"/>
  <c r="AA735" i="7"/>
  <c r="AA736" i="7"/>
  <c r="AA737" i="7"/>
  <c r="AA738" i="7"/>
  <c r="AA739" i="7"/>
  <c r="AA740" i="7"/>
  <c r="AA741" i="7"/>
  <c r="AA742" i="7"/>
  <c r="AA743" i="7"/>
  <c r="AA744" i="7"/>
  <c r="AA745" i="7"/>
  <c r="AA746" i="7"/>
  <c r="AA747" i="7"/>
  <c r="AA748" i="7"/>
  <c r="AA749" i="7"/>
  <c r="AA750" i="7"/>
  <c r="AA751" i="7"/>
  <c r="AA752" i="7"/>
  <c r="AA753" i="7"/>
  <c r="AA754" i="7"/>
  <c r="AA755" i="7"/>
  <c r="AA756" i="7"/>
  <c r="AA757" i="7"/>
  <c r="AA758" i="7"/>
  <c r="AA759" i="7"/>
  <c r="AB2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B301" i="7"/>
  <c r="AB302" i="7"/>
  <c r="AB303" i="7"/>
  <c r="AB304" i="7"/>
  <c r="AB305" i="7"/>
  <c r="AB306" i="7"/>
  <c r="AB307" i="7"/>
  <c r="AB308" i="7"/>
  <c r="AB309" i="7"/>
  <c r="AB310" i="7"/>
  <c r="AB311" i="7"/>
  <c r="AB312" i="7"/>
  <c r="AB313" i="7"/>
  <c r="AB314" i="7"/>
  <c r="AB315" i="7"/>
  <c r="AB316" i="7"/>
  <c r="AB317" i="7"/>
  <c r="AB318" i="7"/>
  <c r="AB319" i="7"/>
  <c r="AB320" i="7"/>
  <c r="AB321" i="7"/>
  <c r="AB322" i="7"/>
  <c r="AB323" i="7"/>
  <c r="AB324" i="7"/>
  <c r="AB325" i="7"/>
  <c r="AB326" i="7"/>
  <c r="AB327" i="7"/>
  <c r="AB328" i="7"/>
  <c r="AB329" i="7"/>
  <c r="AB330" i="7"/>
  <c r="AB331" i="7"/>
  <c r="AB332" i="7"/>
  <c r="AB333" i="7"/>
  <c r="AB334" i="7"/>
  <c r="AB335" i="7"/>
  <c r="AB336" i="7"/>
  <c r="AB337" i="7"/>
  <c r="AB338" i="7"/>
  <c r="AB339" i="7"/>
  <c r="AB340" i="7"/>
  <c r="AB341" i="7"/>
  <c r="AB342" i="7"/>
  <c r="AB343" i="7"/>
  <c r="AB344" i="7"/>
  <c r="AB345" i="7"/>
  <c r="AB346" i="7"/>
  <c r="AB347" i="7"/>
  <c r="AB348" i="7"/>
  <c r="AB349" i="7"/>
  <c r="AB350" i="7"/>
  <c r="AB351" i="7"/>
  <c r="AB352" i="7"/>
  <c r="AB353" i="7"/>
  <c r="AB354" i="7"/>
  <c r="AB355" i="7"/>
  <c r="AB356" i="7"/>
  <c r="AB357" i="7"/>
  <c r="AB358" i="7"/>
  <c r="AB359" i="7"/>
  <c r="AB360" i="7"/>
  <c r="AB361" i="7"/>
  <c r="AB362" i="7"/>
  <c r="AB363" i="7"/>
  <c r="AB364" i="7"/>
  <c r="AB365" i="7"/>
  <c r="AB366" i="7"/>
  <c r="AB367" i="7"/>
  <c r="AB368" i="7"/>
  <c r="AB369" i="7"/>
  <c r="AB370" i="7"/>
  <c r="AB371" i="7"/>
  <c r="AB372" i="7"/>
  <c r="AB373" i="7"/>
  <c r="AB374" i="7"/>
  <c r="AB375" i="7"/>
  <c r="AB376" i="7"/>
  <c r="AB377" i="7"/>
  <c r="AB378" i="7"/>
  <c r="AB379" i="7"/>
  <c r="AB380" i="7"/>
  <c r="AB381" i="7"/>
  <c r="AB382" i="7"/>
  <c r="AB383" i="7"/>
  <c r="AB384" i="7"/>
  <c r="AB385" i="7"/>
  <c r="AB386" i="7"/>
  <c r="AB387" i="7"/>
  <c r="AB388" i="7"/>
  <c r="AB389" i="7"/>
  <c r="AB390" i="7"/>
  <c r="AB391" i="7"/>
  <c r="AB392" i="7"/>
  <c r="AB393" i="7"/>
  <c r="AB394" i="7"/>
  <c r="AB395" i="7"/>
  <c r="AB396" i="7"/>
  <c r="AB397" i="7"/>
  <c r="AB398" i="7"/>
  <c r="AB399" i="7"/>
  <c r="AB400" i="7"/>
  <c r="AB401" i="7"/>
  <c r="AB402" i="7"/>
  <c r="AB403" i="7"/>
  <c r="AB404" i="7"/>
  <c r="AB405" i="7"/>
  <c r="AB406" i="7"/>
  <c r="AB407" i="7"/>
  <c r="AB408" i="7"/>
  <c r="AB409" i="7"/>
  <c r="AB410" i="7"/>
  <c r="AB411" i="7"/>
  <c r="AB412" i="7"/>
  <c r="AB413" i="7"/>
  <c r="AB414" i="7"/>
  <c r="AB415" i="7"/>
  <c r="AB416" i="7"/>
  <c r="AB417" i="7"/>
  <c r="AB418" i="7"/>
  <c r="AB419" i="7"/>
  <c r="AB420" i="7"/>
  <c r="AB421" i="7"/>
  <c r="AB422" i="7"/>
  <c r="AB423" i="7"/>
  <c r="AB424" i="7"/>
  <c r="AB425" i="7"/>
  <c r="AB426" i="7"/>
  <c r="AB427" i="7"/>
  <c r="AB428" i="7"/>
  <c r="AB429" i="7"/>
  <c r="AB430" i="7"/>
  <c r="AB431" i="7"/>
  <c r="AB432" i="7"/>
  <c r="AB433" i="7"/>
  <c r="AB434" i="7"/>
  <c r="AB435" i="7"/>
  <c r="AB436" i="7"/>
  <c r="AB437" i="7"/>
  <c r="AB438" i="7"/>
  <c r="AB439" i="7"/>
  <c r="AB440" i="7"/>
  <c r="AB441" i="7"/>
  <c r="AB442" i="7"/>
  <c r="AB443" i="7"/>
  <c r="AB444" i="7"/>
  <c r="AB445" i="7"/>
  <c r="AB446" i="7"/>
  <c r="AB447" i="7"/>
  <c r="AB448" i="7"/>
  <c r="AB449" i="7"/>
  <c r="AB450" i="7"/>
  <c r="AB451" i="7"/>
  <c r="AB452" i="7"/>
  <c r="AB453" i="7"/>
  <c r="AB454" i="7"/>
  <c r="AB455" i="7"/>
  <c r="AB456" i="7"/>
  <c r="AB457" i="7"/>
  <c r="AB458" i="7"/>
  <c r="AB459" i="7"/>
  <c r="AB460" i="7"/>
  <c r="AB461" i="7"/>
  <c r="AB462" i="7"/>
  <c r="AB463" i="7"/>
  <c r="AB464" i="7"/>
  <c r="AB465" i="7"/>
  <c r="AB466" i="7"/>
  <c r="AB467" i="7"/>
  <c r="AB468" i="7"/>
  <c r="AB469" i="7"/>
  <c r="AB470" i="7"/>
  <c r="AB471" i="7"/>
  <c r="AB472" i="7"/>
  <c r="AB473" i="7"/>
  <c r="AB474" i="7"/>
  <c r="AB475" i="7"/>
  <c r="AB476" i="7"/>
  <c r="AB477" i="7"/>
  <c r="AB478" i="7"/>
  <c r="AB479" i="7"/>
  <c r="AB480" i="7"/>
  <c r="AB481" i="7"/>
  <c r="AB482" i="7"/>
  <c r="AB483" i="7"/>
  <c r="AB484" i="7"/>
  <c r="AB485" i="7"/>
  <c r="AB486" i="7"/>
  <c r="AB487" i="7"/>
  <c r="AB488" i="7"/>
  <c r="AB489" i="7"/>
  <c r="AB490" i="7"/>
  <c r="AB491" i="7"/>
  <c r="AB492" i="7"/>
  <c r="AB493" i="7"/>
  <c r="AB494" i="7"/>
  <c r="AB495" i="7"/>
  <c r="AB496" i="7"/>
  <c r="AB497" i="7"/>
  <c r="AB498" i="7"/>
  <c r="AB499" i="7"/>
  <c r="AB500" i="7"/>
  <c r="AB501" i="7"/>
  <c r="AB502" i="7"/>
  <c r="AB503" i="7"/>
  <c r="AB504" i="7"/>
  <c r="AB505" i="7"/>
  <c r="AB506" i="7"/>
  <c r="AB507" i="7"/>
  <c r="AB508" i="7"/>
  <c r="AB509" i="7"/>
  <c r="AB510" i="7"/>
  <c r="AB511" i="7"/>
  <c r="AB512" i="7"/>
  <c r="AB513" i="7"/>
  <c r="AB514" i="7"/>
  <c r="AB515" i="7"/>
  <c r="AB516" i="7"/>
  <c r="AB517" i="7"/>
  <c r="AB518" i="7"/>
  <c r="AB519" i="7"/>
  <c r="AB520" i="7"/>
  <c r="AB521" i="7"/>
  <c r="AB522" i="7"/>
  <c r="AB523" i="7"/>
  <c r="AB524" i="7"/>
  <c r="AB525" i="7"/>
  <c r="AB526" i="7"/>
  <c r="AB527" i="7"/>
  <c r="AB528" i="7"/>
  <c r="AB529" i="7"/>
  <c r="AB530" i="7"/>
  <c r="AB531" i="7"/>
  <c r="AB532" i="7"/>
  <c r="AB533" i="7"/>
  <c r="AB534" i="7"/>
  <c r="AB535" i="7"/>
  <c r="AB536" i="7"/>
  <c r="AB537" i="7"/>
  <c r="AB538" i="7"/>
  <c r="AB539" i="7"/>
  <c r="AB540" i="7"/>
  <c r="AB541" i="7"/>
  <c r="AB542" i="7"/>
  <c r="AB543" i="7"/>
  <c r="AB544" i="7"/>
  <c r="AB545" i="7"/>
  <c r="AB546" i="7"/>
  <c r="AB547" i="7"/>
  <c r="AB548" i="7"/>
  <c r="AB549" i="7"/>
  <c r="AB550" i="7"/>
  <c r="AB551" i="7"/>
  <c r="AB552" i="7"/>
  <c r="AB553" i="7"/>
  <c r="AB554" i="7"/>
  <c r="AB555" i="7"/>
  <c r="AB556" i="7"/>
  <c r="AB557" i="7"/>
  <c r="AB558" i="7"/>
  <c r="AB559" i="7"/>
  <c r="AB560" i="7"/>
  <c r="AB561" i="7"/>
  <c r="AB562" i="7"/>
  <c r="AB563" i="7"/>
  <c r="AB564" i="7"/>
  <c r="AB565" i="7"/>
  <c r="AB566" i="7"/>
  <c r="AB567" i="7"/>
  <c r="AB568" i="7"/>
  <c r="AB569" i="7"/>
  <c r="AB570" i="7"/>
  <c r="AB571" i="7"/>
  <c r="AB572" i="7"/>
  <c r="AB573" i="7"/>
  <c r="AB574" i="7"/>
  <c r="AB575" i="7"/>
  <c r="AB576" i="7"/>
  <c r="AB577" i="7"/>
  <c r="AB578" i="7"/>
  <c r="AB579" i="7"/>
  <c r="AB580" i="7"/>
  <c r="AB581" i="7"/>
  <c r="AB582" i="7"/>
  <c r="AB583" i="7"/>
  <c r="AB584" i="7"/>
  <c r="AB585" i="7"/>
  <c r="AB586" i="7"/>
  <c r="AB587" i="7"/>
  <c r="AB588" i="7"/>
  <c r="AB589" i="7"/>
  <c r="AB590" i="7"/>
  <c r="AB591" i="7"/>
  <c r="AB592" i="7"/>
  <c r="AB593" i="7"/>
  <c r="AB594" i="7"/>
  <c r="AB595" i="7"/>
  <c r="AB596" i="7"/>
  <c r="AB597" i="7"/>
  <c r="AB598" i="7"/>
  <c r="AB599" i="7"/>
  <c r="AB600" i="7"/>
  <c r="AB601" i="7"/>
  <c r="AB602" i="7"/>
  <c r="AB603" i="7"/>
  <c r="AB604" i="7"/>
  <c r="AB605" i="7"/>
  <c r="AB606" i="7"/>
  <c r="AB607" i="7"/>
  <c r="AB608" i="7"/>
  <c r="AB609" i="7"/>
  <c r="AB610" i="7"/>
  <c r="AB611" i="7"/>
  <c r="AB612" i="7"/>
  <c r="AB613" i="7"/>
  <c r="AB614" i="7"/>
  <c r="AB615" i="7"/>
  <c r="AB616" i="7"/>
  <c r="AB617" i="7"/>
  <c r="AB618" i="7"/>
  <c r="AB619" i="7"/>
  <c r="AB620" i="7"/>
  <c r="AB621" i="7"/>
  <c r="AB622" i="7"/>
  <c r="AB623" i="7"/>
  <c r="AB624" i="7"/>
  <c r="AB625" i="7"/>
  <c r="AB626" i="7"/>
  <c r="AB627" i="7"/>
  <c r="AB628" i="7"/>
  <c r="AB629" i="7"/>
  <c r="AB630" i="7"/>
  <c r="AB631" i="7"/>
  <c r="AB632" i="7"/>
  <c r="AB633" i="7"/>
  <c r="AB634" i="7"/>
  <c r="AB635" i="7"/>
  <c r="AB636" i="7"/>
  <c r="AB637" i="7"/>
  <c r="AB638" i="7"/>
  <c r="AB639" i="7"/>
  <c r="AB640" i="7"/>
  <c r="AB641" i="7"/>
  <c r="AB642" i="7"/>
  <c r="AB643" i="7"/>
  <c r="AB644" i="7"/>
  <c r="AB645" i="7"/>
  <c r="AB646" i="7"/>
  <c r="AB647" i="7"/>
  <c r="AB648" i="7"/>
  <c r="AB649" i="7"/>
  <c r="AB650" i="7"/>
  <c r="AB651" i="7"/>
  <c r="AB652" i="7"/>
  <c r="AB653" i="7"/>
  <c r="AB654" i="7"/>
  <c r="AB655" i="7"/>
  <c r="AB656" i="7"/>
  <c r="AB657" i="7"/>
  <c r="AB658" i="7"/>
  <c r="AB659" i="7"/>
  <c r="AB660" i="7"/>
  <c r="AB661" i="7"/>
  <c r="AB662" i="7"/>
  <c r="AB663" i="7"/>
  <c r="AB664" i="7"/>
  <c r="AB665" i="7"/>
  <c r="AB666" i="7"/>
  <c r="AB667" i="7"/>
  <c r="AB668" i="7"/>
  <c r="AB669" i="7"/>
  <c r="AB670" i="7"/>
  <c r="AB671" i="7"/>
  <c r="AB672" i="7"/>
  <c r="AB673" i="7"/>
  <c r="AB674" i="7"/>
  <c r="AB675" i="7"/>
  <c r="AB676" i="7"/>
  <c r="AB677" i="7"/>
  <c r="AB678" i="7"/>
  <c r="AB679" i="7"/>
  <c r="AB680" i="7"/>
  <c r="AB681" i="7"/>
  <c r="AB682" i="7"/>
  <c r="AB683" i="7"/>
  <c r="AB684" i="7"/>
  <c r="AB685" i="7"/>
  <c r="AB686" i="7"/>
  <c r="AB687" i="7"/>
  <c r="AB688" i="7"/>
  <c r="AB689" i="7"/>
  <c r="AB690" i="7"/>
  <c r="AB691" i="7"/>
  <c r="AB692" i="7"/>
  <c r="AB693" i="7"/>
  <c r="AB694" i="7"/>
  <c r="AB695" i="7"/>
  <c r="AB696" i="7"/>
  <c r="AB697" i="7"/>
  <c r="AB698" i="7"/>
  <c r="AB699" i="7"/>
  <c r="AB700" i="7"/>
  <c r="AB701" i="7"/>
  <c r="AB702" i="7"/>
  <c r="AB703" i="7"/>
  <c r="AB704" i="7"/>
  <c r="AB705" i="7"/>
  <c r="AB706" i="7"/>
  <c r="AB707" i="7"/>
  <c r="AB708" i="7"/>
  <c r="AB709" i="7"/>
  <c r="AB710" i="7"/>
  <c r="AB711" i="7"/>
  <c r="AB712" i="7"/>
  <c r="AB713" i="7"/>
  <c r="AB714" i="7"/>
  <c r="AB715" i="7"/>
  <c r="AB716" i="7"/>
  <c r="AB717" i="7"/>
  <c r="AB718" i="7"/>
  <c r="AB719" i="7"/>
  <c r="AB720" i="7"/>
  <c r="AB721" i="7"/>
  <c r="AB722" i="7"/>
  <c r="AB723" i="7"/>
  <c r="AB724" i="7"/>
  <c r="AB725" i="7"/>
  <c r="AB726" i="7"/>
  <c r="AB727" i="7"/>
  <c r="AB728" i="7"/>
  <c r="AB729" i="7"/>
  <c r="AB730" i="7"/>
  <c r="AB731" i="7"/>
  <c r="AB732" i="7"/>
  <c r="AB733" i="7"/>
  <c r="AB734" i="7"/>
  <c r="AB735" i="7"/>
  <c r="AB736" i="7"/>
  <c r="AB737" i="7"/>
  <c r="AB738" i="7"/>
  <c r="AB739" i="7"/>
  <c r="AB740" i="7"/>
  <c r="AB741" i="7"/>
  <c r="AB742" i="7"/>
  <c r="AB743" i="7"/>
  <c r="AB744" i="7"/>
  <c r="AB745" i="7"/>
  <c r="AB746" i="7"/>
  <c r="AB747" i="7"/>
  <c r="AB748" i="7"/>
  <c r="AB749" i="7"/>
  <c r="AB750" i="7"/>
  <c r="AB751" i="7"/>
  <c r="AB752" i="7"/>
  <c r="AB753" i="7"/>
  <c r="AB754" i="7"/>
  <c r="AB755" i="7"/>
  <c r="AB756" i="7"/>
  <c r="AB757" i="7"/>
  <c r="AB758" i="7"/>
  <c r="AB759" i="7"/>
  <c r="AC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C502" i="7"/>
  <c r="AC503" i="7"/>
  <c r="AC504" i="7"/>
  <c r="AC505" i="7"/>
  <c r="AC506" i="7"/>
  <c r="AC507" i="7"/>
  <c r="AC508" i="7"/>
  <c r="AC509" i="7"/>
  <c r="AC510" i="7"/>
  <c r="AC511" i="7"/>
  <c r="AC512" i="7"/>
  <c r="AC513" i="7"/>
  <c r="AC514" i="7"/>
  <c r="AC515" i="7"/>
  <c r="AC516" i="7"/>
  <c r="AC517" i="7"/>
  <c r="AC518" i="7"/>
  <c r="AC519" i="7"/>
  <c r="AC520" i="7"/>
  <c r="AC521" i="7"/>
  <c r="AC522" i="7"/>
  <c r="AC523" i="7"/>
  <c r="AC524" i="7"/>
  <c r="AC525" i="7"/>
  <c r="AC526" i="7"/>
  <c r="AC527" i="7"/>
  <c r="AC528" i="7"/>
  <c r="AC529" i="7"/>
  <c r="AC530" i="7"/>
  <c r="AC531" i="7"/>
  <c r="AC532" i="7"/>
  <c r="AC533" i="7"/>
  <c r="AC534" i="7"/>
  <c r="AC535" i="7"/>
  <c r="AC536" i="7"/>
  <c r="AC537" i="7"/>
  <c r="AC538" i="7"/>
  <c r="AC539" i="7"/>
  <c r="AC540" i="7"/>
  <c r="AC541" i="7"/>
  <c r="AC542" i="7"/>
  <c r="AC543" i="7"/>
  <c r="AC544" i="7"/>
  <c r="AC545" i="7"/>
  <c r="AC546" i="7"/>
  <c r="AC547" i="7"/>
  <c r="AC548" i="7"/>
  <c r="AC549" i="7"/>
  <c r="AC550" i="7"/>
  <c r="AC551" i="7"/>
  <c r="AC552" i="7"/>
  <c r="AC553" i="7"/>
  <c r="AC554" i="7"/>
  <c r="AC555" i="7"/>
  <c r="AC556" i="7"/>
  <c r="AC557" i="7"/>
  <c r="AC558" i="7"/>
  <c r="AC559" i="7"/>
  <c r="AC560" i="7"/>
  <c r="AC561" i="7"/>
  <c r="AC562" i="7"/>
  <c r="AC563" i="7"/>
  <c r="AC564" i="7"/>
  <c r="AC565" i="7"/>
  <c r="AC566" i="7"/>
  <c r="AC567" i="7"/>
  <c r="AC568" i="7"/>
  <c r="AC569" i="7"/>
  <c r="AC570" i="7"/>
  <c r="AC571" i="7"/>
  <c r="AC572" i="7"/>
  <c r="AC573" i="7"/>
  <c r="AC574" i="7"/>
  <c r="AC575" i="7"/>
  <c r="AC576" i="7"/>
  <c r="AC577" i="7"/>
  <c r="AC578" i="7"/>
  <c r="AC579" i="7"/>
  <c r="AC580" i="7"/>
  <c r="AC581" i="7"/>
  <c r="AC582" i="7"/>
  <c r="AC583" i="7"/>
  <c r="AC584" i="7"/>
  <c r="AC585" i="7"/>
  <c r="AC586" i="7"/>
  <c r="AC587" i="7"/>
  <c r="AC588" i="7"/>
  <c r="AC589" i="7"/>
  <c r="AC590" i="7"/>
  <c r="AC591" i="7"/>
  <c r="AC592" i="7"/>
  <c r="AC593" i="7"/>
  <c r="AC594" i="7"/>
  <c r="AC595" i="7"/>
  <c r="AC596" i="7"/>
  <c r="AC597" i="7"/>
  <c r="AC598" i="7"/>
  <c r="AC599" i="7"/>
  <c r="AC600" i="7"/>
  <c r="AC601" i="7"/>
  <c r="AC602" i="7"/>
  <c r="AC603" i="7"/>
  <c r="AC604" i="7"/>
  <c r="AC605" i="7"/>
  <c r="AC606" i="7"/>
  <c r="AC607" i="7"/>
  <c r="AC608" i="7"/>
  <c r="AC609" i="7"/>
  <c r="AC610" i="7"/>
  <c r="AC611" i="7"/>
  <c r="AC612" i="7"/>
  <c r="AC613" i="7"/>
  <c r="AC614" i="7"/>
  <c r="AC615" i="7"/>
  <c r="AC616" i="7"/>
  <c r="AC617" i="7"/>
  <c r="AC618" i="7"/>
  <c r="AC619" i="7"/>
  <c r="AC620" i="7"/>
  <c r="AC621" i="7"/>
  <c r="AC622" i="7"/>
  <c r="AC623" i="7"/>
  <c r="AC624" i="7"/>
  <c r="AC625" i="7"/>
  <c r="AC626" i="7"/>
  <c r="AC627" i="7"/>
  <c r="AC628" i="7"/>
  <c r="AC629" i="7"/>
  <c r="AC630" i="7"/>
  <c r="AC631" i="7"/>
  <c r="AC632" i="7"/>
  <c r="AC633" i="7"/>
  <c r="AC634" i="7"/>
  <c r="AC635" i="7"/>
  <c r="AC636" i="7"/>
  <c r="AC637" i="7"/>
  <c r="AC638" i="7"/>
  <c r="AC639" i="7"/>
  <c r="AC640" i="7"/>
  <c r="AC641" i="7"/>
  <c r="AC642" i="7"/>
  <c r="AC643" i="7"/>
  <c r="AC644" i="7"/>
  <c r="AC645" i="7"/>
  <c r="AC646" i="7"/>
  <c r="AC647" i="7"/>
  <c r="AC648" i="7"/>
  <c r="AC649" i="7"/>
  <c r="AC650" i="7"/>
  <c r="AC651" i="7"/>
  <c r="AC652" i="7"/>
  <c r="AC653" i="7"/>
  <c r="AC654" i="7"/>
  <c r="AC655" i="7"/>
  <c r="AC656" i="7"/>
  <c r="AC657" i="7"/>
  <c r="AC658" i="7"/>
  <c r="AC659" i="7"/>
  <c r="AC660" i="7"/>
  <c r="AC661" i="7"/>
  <c r="AC662" i="7"/>
  <c r="AC663" i="7"/>
  <c r="AC664" i="7"/>
  <c r="AC665" i="7"/>
  <c r="AC666" i="7"/>
  <c r="AC667" i="7"/>
  <c r="AC668" i="7"/>
  <c r="AC669" i="7"/>
  <c r="AC670" i="7"/>
  <c r="AC671" i="7"/>
  <c r="AC672" i="7"/>
  <c r="AC673" i="7"/>
  <c r="AC674" i="7"/>
  <c r="AC675" i="7"/>
  <c r="AC676" i="7"/>
  <c r="AC677" i="7"/>
  <c r="AC678" i="7"/>
  <c r="AC679" i="7"/>
  <c r="AC680" i="7"/>
  <c r="AC681" i="7"/>
  <c r="AC682" i="7"/>
  <c r="AC683" i="7"/>
  <c r="AC684" i="7"/>
  <c r="AC685" i="7"/>
  <c r="AC686" i="7"/>
  <c r="AC687" i="7"/>
  <c r="AC688" i="7"/>
  <c r="AC689" i="7"/>
  <c r="AC690" i="7"/>
  <c r="AC691" i="7"/>
  <c r="AC692" i="7"/>
  <c r="AC693" i="7"/>
  <c r="AC694" i="7"/>
  <c r="AC695" i="7"/>
  <c r="AC696" i="7"/>
  <c r="AC697" i="7"/>
  <c r="AC698" i="7"/>
  <c r="AC699" i="7"/>
  <c r="AC700" i="7"/>
  <c r="AC701" i="7"/>
  <c r="AC702" i="7"/>
  <c r="AC703" i="7"/>
  <c r="AC704" i="7"/>
  <c r="AC705" i="7"/>
  <c r="AC706" i="7"/>
  <c r="AC707" i="7"/>
  <c r="AC708" i="7"/>
  <c r="AC709" i="7"/>
  <c r="AC710" i="7"/>
  <c r="AC711" i="7"/>
  <c r="AC712" i="7"/>
  <c r="AC713" i="7"/>
  <c r="AC714" i="7"/>
  <c r="AC715" i="7"/>
  <c r="AC716" i="7"/>
  <c r="AC717" i="7"/>
  <c r="AC718" i="7"/>
  <c r="AC719" i="7"/>
  <c r="AC720" i="7"/>
  <c r="AC721" i="7"/>
  <c r="AC722" i="7"/>
  <c r="AC723" i="7"/>
  <c r="AC724" i="7"/>
  <c r="AC725" i="7"/>
  <c r="AC726" i="7"/>
  <c r="AC727" i="7"/>
  <c r="AC728" i="7"/>
  <c r="AC729" i="7"/>
  <c r="AC730" i="7"/>
  <c r="AC731" i="7"/>
  <c r="AC732" i="7"/>
  <c r="AC733" i="7"/>
  <c r="AC734" i="7"/>
  <c r="AC735" i="7"/>
  <c r="AC736" i="7"/>
  <c r="AC737" i="7"/>
  <c r="AC738" i="7"/>
  <c r="AC739" i="7"/>
  <c r="AC740" i="7"/>
  <c r="AC741" i="7"/>
  <c r="AC742" i="7"/>
  <c r="AC743" i="7"/>
  <c r="AC744" i="7"/>
  <c r="AC745" i="7"/>
  <c r="AC746" i="7"/>
  <c r="AC747" i="7"/>
  <c r="AC748" i="7"/>
  <c r="AC749" i="7"/>
  <c r="AC750" i="7"/>
  <c r="AC751" i="7"/>
  <c r="AC752" i="7"/>
  <c r="AC753" i="7"/>
  <c r="AC754" i="7"/>
  <c r="AC755" i="7"/>
  <c r="AC756" i="7"/>
  <c r="AC757" i="7"/>
  <c r="AC758" i="7"/>
  <c r="AC759" i="7"/>
  <c r="AD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39" i="7"/>
  <c r="AP339" i="7" s="1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8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P411" i="7" s="1"/>
  <c r="AD412" i="7"/>
  <c r="AD413" i="7"/>
  <c r="AD414" i="7"/>
  <c r="AD415" i="7"/>
  <c r="AD416" i="7"/>
  <c r="AD417" i="7"/>
  <c r="AD418" i="7"/>
  <c r="AD419" i="7"/>
  <c r="AD420" i="7"/>
  <c r="AD421" i="7"/>
  <c r="AD422" i="7"/>
  <c r="AD423" i="7"/>
  <c r="AD424" i="7"/>
  <c r="AD425" i="7"/>
  <c r="AD426" i="7"/>
  <c r="AD427" i="7"/>
  <c r="AD428" i="7"/>
  <c r="AD429" i="7"/>
  <c r="AD430" i="7"/>
  <c r="AD431" i="7"/>
  <c r="AD432" i="7"/>
  <c r="AD433" i="7"/>
  <c r="AD434" i="7"/>
  <c r="AD435" i="7"/>
  <c r="AP435" i="7" s="1"/>
  <c r="AD436" i="7"/>
  <c r="AD437" i="7"/>
  <c r="AD438" i="7"/>
  <c r="AD439" i="7"/>
  <c r="AD440" i="7"/>
  <c r="AD441" i="7"/>
  <c r="AD442" i="7"/>
  <c r="AD443" i="7"/>
  <c r="AD444" i="7"/>
  <c r="AD445" i="7"/>
  <c r="AD446" i="7"/>
  <c r="AD447" i="7"/>
  <c r="AD448" i="7"/>
  <c r="AD449" i="7"/>
  <c r="AD450" i="7"/>
  <c r="AD451" i="7"/>
  <c r="AD452" i="7"/>
  <c r="AD453" i="7"/>
  <c r="AD454" i="7"/>
  <c r="AD455" i="7"/>
  <c r="AD456" i="7"/>
  <c r="AD457" i="7"/>
  <c r="AD458" i="7"/>
  <c r="AD459" i="7"/>
  <c r="AD460" i="7"/>
  <c r="AD461" i="7"/>
  <c r="AD462" i="7"/>
  <c r="AD463" i="7"/>
  <c r="AD464" i="7"/>
  <c r="AD465" i="7"/>
  <c r="AD466" i="7"/>
  <c r="AD467" i="7"/>
  <c r="AD468" i="7"/>
  <c r="AD469" i="7"/>
  <c r="AD470" i="7"/>
  <c r="AD471" i="7"/>
  <c r="AD472" i="7"/>
  <c r="AD473" i="7"/>
  <c r="AD474" i="7"/>
  <c r="AD475" i="7"/>
  <c r="AD476" i="7"/>
  <c r="AD477" i="7"/>
  <c r="AD478" i="7"/>
  <c r="AD479" i="7"/>
  <c r="AD480" i="7"/>
  <c r="AD481" i="7"/>
  <c r="AD482" i="7"/>
  <c r="AD483" i="7"/>
  <c r="AD484" i="7"/>
  <c r="AD485" i="7"/>
  <c r="AD486" i="7"/>
  <c r="AD487" i="7"/>
  <c r="AD488" i="7"/>
  <c r="AD489" i="7"/>
  <c r="AD490" i="7"/>
  <c r="AD491" i="7"/>
  <c r="AP491" i="7" s="1"/>
  <c r="AD492" i="7"/>
  <c r="AD493" i="7"/>
  <c r="AD494" i="7"/>
  <c r="AD495" i="7"/>
  <c r="AD496" i="7"/>
  <c r="AD497" i="7"/>
  <c r="AD498" i="7"/>
  <c r="AD499" i="7"/>
  <c r="AD500" i="7"/>
  <c r="AD501" i="7"/>
  <c r="AD502" i="7"/>
  <c r="AD503" i="7"/>
  <c r="AD504" i="7"/>
  <c r="AD505" i="7"/>
  <c r="AD506" i="7"/>
  <c r="AD507" i="7"/>
  <c r="AD508" i="7"/>
  <c r="AD509" i="7"/>
  <c r="AD510" i="7"/>
  <c r="AD511" i="7"/>
  <c r="AD512" i="7"/>
  <c r="AD513" i="7"/>
  <c r="AD514" i="7"/>
  <c r="AD515" i="7"/>
  <c r="AP515" i="7" s="1"/>
  <c r="AD516" i="7"/>
  <c r="AD517" i="7"/>
  <c r="AD518" i="7"/>
  <c r="AD519" i="7"/>
  <c r="AD520" i="7"/>
  <c r="AD521" i="7"/>
  <c r="AD522" i="7"/>
  <c r="AD523" i="7"/>
  <c r="AD524" i="7"/>
  <c r="AD525" i="7"/>
  <c r="AD526" i="7"/>
  <c r="AD527" i="7"/>
  <c r="AD528" i="7"/>
  <c r="AD529" i="7"/>
  <c r="AD530" i="7"/>
  <c r="AD531" i="7"/>
  <c r="AD532" i="7"/>
  <c r="AD533" i="7"/>
  <c r="AD534" i="7"/>
  <c r="AD535" i="7"/>
  <c r="AD536" i="7"/>
  <c r="AD537" i="7"/>
  <c r="AD538" i="7"/>
  <c r="AD539" i="7"/>
  <c r="AP539" i="7" s="1"/>
  <c r="AD540" i="7"/>
  <c r="AD541" i="7"/>
  <c r="AD542" i="7"/>
  <c r="AD543" i="7"/>
  <c r="AD544" i="7"/>
  <c r="AD545" i="7"/>
  <c r="AD546" i="7"/>
  <c r="AD547" i="7"/>
  <c r="AD548" i="7"/>
  <c r="AD549" i="7"/>
  <c r="AD550" i="7"/>
  <c r="AD551" i="7"/>
  <c r="AD552" i="7"/>
  <c r="AD553" i="7"/>
  <c r="AD554" i="7"/>
  <c r="AD555" i="7"/>
  <c r="AD556" i="7"/>
  <c r="AD557" i="7"/>
  <c r="AD558" i="7"/>
  <c r="AD559" i="7"/>
  <c r="AD560" i="7"/>
  <c r="AD561" i="7"/>
  <c r="AD562" i="7"/>
  <c r="AD563" i="7"/>
  <c r="AD564" i="7"/>
  <c r="AD565" i="7"/>
  <c r="AD566" i="7"/>
  <c r="AD567" i="7"/>
  <c r="AD568" i="7"/>
  <c r="AD569" i="7"/>
  <c r="AD570" i="7"/>
  <c r="AD571" i="7"/>
  <c r="AD572" i="7"/>
  <c r="AD573" i="7"/>
  <c r="AD574" i="7"/>
  <c r="AD575" i="7"/>
  <c r="AD576" i="7"/>
  <c r="AD577" i="7"/>
  <c r="AD578" i="7"/>
  <c r="AD579" i="7"/>
  <c r="AD580" i="7"/>
  <c r="AD581" i="7"/>
  <c r="AD582" i="7"/>
  <c r="AD583" i="7"/>
  <c r="AD584" i="7"/>
  <c r="AD585" i="7"/>
  <c r="AD586" i="7"/>
  <c r="AD587" i="7"/>
  <c r="AP587" i="7" s="1"/>
  <c r="AD588" i="7"/>
  <c r="AD589" i="7"/>
  <c r="AD590" i="7"/>
  <c r="AD591" i="7"/>
  <c r="AD592" i="7"/>
  <c r="AD593" i="7"/>
  <c r="AD594" i="7"/>
  <c r="AD595" i="7"/>
  <c r="AD596" i="7"/>
  <c r="AD597" i="7"/>
  <c r="AD598" i="7"/>
  <c r="AD599" i="7"/>
  <c r="AD600" i="7"/>
  <c r="AD601" i="7"/>
  <c r="AD602" i="7"/>
  <c r="AD603" i="7"/>
  <c r="AP603" i="7" s="1"/>
  <c r="AD604" i="7"/>
  <c r="AD605" i="7"/>
  <c r="AD606" i="7"/>
  <c r="AD607" i="7"/>
  <c r="AD608" i="7"/>
  <c r="AD609" i="7"/>
  <c r="AD610" i="7"/>
  <c r="AD611" i="7"/>
  <c r="AD612" i="7"/>
  <c r="AD613" i="7"/>
  <c r="AD614" i="7"/>
  <c r="AD615" i="7"/>
  <c r="AD616" i="7"/>
  <c r="AD617" i="7"/>
  <c r="AD618" i="7"/>
  <c r="AD619" i="7"/>
  <c r="AD620" i="7"/>
  <c r="AD621" i="7"/>
  <c r="AD622" i="7"/>
  <c r="AD623" i="7"/>
  <c r="AD624" i="7"/>
  <c r="AD625" i="7"/>
  <c r="AD626" i="7"/>
  <c r="AD627" i="7"/>
  <c r="AD628" i="7"/>
  <c r="AD629" i="7"/>
  <c r="AD630" i="7"/>
  <c r="AD631" i="7"/>
  <c r="AD632" i="7"/>
  <c r="AD633" i="7"/>
  <c r="AD634" i="7"/>
  <c r="AD635" i="7"/>
  <c r="AD636" i="7"/>
  <c r="AD637" i="7"/>
  <c r="AD638" i="7"/>
  <c r="AD639" i="7"/>
  <c r="AD640" i="7"/>
  <c r="AD641" i="7"/>
  <c r="AD642" i="7"/>
  <c r="AD643" i="7"/>
  <c r="AD644" i="7"/>
  <c r="AD645" i="7"/>
  <c r="AD646" i="7"/>
  <c r="AD647" i="7"/>
  <c r="AD648" i="7"/>
  <c r="AD649" i="7"/>
  <c r="AD650" i="7"/>
  <c r="AD651" i="7"/>
  <c r="AD652" i="7"/>
  <c r="AD653" i="7"/>
  <c r="AD654" i="7"/>
  <c r="AD655" i="7"/>
  <c r="AD656" i="7"/>
  <c r="AD657" i="7"/>
  <c r="AD658" i="7"/>
  <c r="AD659" i="7"/>
  <c r="AD660" i="7"/>
  <c r="AD661" i="7"/>
  <c r="AD662" i="7"/>
  <c r="AD663" i="7"/>
  <c r="AD664" i="7"/>
  <c r="AD665" i="7"/>
  <c r="AD666" i="7"/>
  <c r="AD667" i="7"/>
  <c r="AD668" i="7"/>
  <c r="AD669" i="7"/>
  <c r="AD670" i="7"/>
  <c r="AD671" i="7"/>
  <c r="AD672" i="7"/>
  <c r="AD673" i="7"/>
  <c r="AD674" i="7"/>
  <c r="AD675" i="7"/>
  <c r="AD676" i="7"/>
  <c r="AD677" i="7"/>
  <c r="AD678" i="7"/>
  <c r="AD679" i="7"/>
  <c r="AD680" i="7"/>
  <c r="AD681" i="7"/>
  <c r="AD682" i="7"/>
  <c r="AD683" i="7"/>
  <c r="AP683" i="7" s="1"/>
  <c r="AD684" i="7"/>
  <c r="AD685" i="7"/>
  <c r="AD686" i="7"/>
  <c r="AD687" i="7"/>
  <c r="AD688" i="7"/>
  <c r="AD689" i="7"/>
  <c r="AD690" i="7"/>
  <c r="AD691" i="7"/>
  <c r="AD692" i="7"/>
  <c r="AD693" i="7"/>
  <c r="AD694" i="7"/>
  <c r="AD695" i="7"/>
  <c r="AD696" i="7"/>
  <c r="AD697" i="7"/>
  <c r="AD698" i="7"/>
  <c r="AD699" i="7"/>
  <c r="AD700" i="7"/>
  <c r="AD701" i="7"/>
  <c r="AD702" i="7"/>
  <c r="AD703" i="7"/>
  <c r="AD704" i="7"/>
  <c r="AD705" i="7"/>
  <c r="AD706" i="7"/>
  <c r="AD707" i="7"/>
  <c r="AD708" i="7"/>
  <c r="AD709" i="7"/>
  <c r="AD710" i="7"/>
  <c r="AD711" i="7"/>
  <c r="AD712" i="7"/>
  <c r="AD713" i="7"/>
  <c r="AD714" i="7"/>
  <c r="AD715" i="7"/>
  <c r="AD716" i="7"/>
  <c r="AD717" i="7"/>
  <c r="AD718" i="7"/>
  <c r="AD719" i="7"/>
  <c r="AD720" i="7"/>
  <c r="AD721" i="7"/>
  <c r="AD722" i="7"/>
  <c r="AD723" i="7"/>
  <c r="AD724" i="7"/>
  <c r="AD725" i="7"/>
  <c r="AD726" i="7"/>
  <c r="AD727" i="7"/>
  <c r="AD728" i="7"/>
  <c r="AD729" i="7"/>
  <c r="AD730" i="7"/>
  <c r="AD731" i="7"/>
  <c r="AD732" i="7"/>
  <c r="AD733" i="7"/>
  <c r="AD734" i="7"/>
  <c r="AD735" i="7"/>
  <c r="AD736" i="7"/>
  <c r="AD737" i="7"/>
  <c r="AD738" i="7"/>
  <c r="AD739" i="7"/>
  <c r="AD740" i="7"/>
  <c r="AD741" i="7"/>
  <c r="AD742" i="7"/>
  <c r="AD743" i="7"/>
  <c r="AD744" i="7"/>
  <c r="AD745" i="7"/>
  <c r="AD746" i="7"/>
  <c r="AD747" i="7"/>
  <c r="AD748" i="7"/>
  <c r="AD749" i="7"/>
  <c r="AD750" i="7"/>
  <c r="AD751" i="7"/>
  <c r="AD752" i="7"/>
  <c r="AD753" i="7"/>
  <c r="AD754" i="7"/>
  <c r="AD755" i="7"/>
  <c r="AD756" i="7"/>
  <c r="AD757" i="7"/>
  <c r="AD758" i="7"/>
  <c r="AD759" i="7"/>
  <c r="AE2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86" i="7"/>
  <c r="AE87" i="7"/>
  <c r="AE88" i="7"/>
  <c r="AE89" i="7"/>
  <c r="AE90" i="7"/>
  <c r="AE91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7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E301" i="7"/>
  <c r="AE302" i="7"/>
  <c r="AE303" i="7"/>
  <c r="AE304" i="7"/>
  <c r="AE305" i="7"/>
  <c r="AE306" i="7"/>
  <c r="AE307" i="7"/>
  <c r="AE308" i="7"/>
  <c r="AE309" i="7"/>
  <c r="AE310" i="7"/>
  <c r="AE311" i="7"/>
  <c r="AE312" i="7"/>
  <c r="AE313" i="7"/>
  <c r="AE314" i="7"/>
  <c r="AE315" i="7"/>
  <c r="AE316" i="7"/>
  <c r="AE317" i="7"/>
  <c r="AE318" i="7"/>
  <c r="AE319" i="7"/>
  <c r="AE320" i="7"/>
  <c r="AE321" i="7"/>
  <c r="AE322" i="7"/>
  <c r="AE323" i="7"/>
  <c r="AE324" i="7"/>
  <c r="AE325" i="7"/>
  <c r="AE326" i="7"/>
  <c r="AE327" i="7"/>
  <c r="AE328" i="7"/>
  <c r="AE329" i="7"/>
  <c r="AE330" i="7"/>
  <c r="AE331" i="7"/>
  <c r="AE332" i="7"/>
  <c r="AE333" i="7"/>
  <c r="AE334" i="7"/>
  <c r="AE335" i="7"/>
  <c r="AE336" i="7"/>
  <c r="AE337" i="7"/>
  <c r="AE338" i="7"/>
  <c r="AE339" i="7"/>
  <c r="AE340" i="7"/>
  <c r="AE341" i="7"/>
  <c r="AE342" i="7"/>
  <c r="AE343" i="7"/>
  <c r="AE344" i="7"/>
  <c r="AE345" i="7"/>
  <c r="AE346" i="7"/>
  <c r="AE347" i="7"/>
  <c r="AE348" i="7"/>
  <c r="AE349" i="7"/>
  <c r="AE350" i="7"/>
  <c r="AE351" i="7"/>
  <c r="AE352" i="7"/>
  <c r="AE353" i="7"/>
  <c r="AE354" i="7"/>
  <c r="AE355" i="7"/>
  <c r="AE356" i="7"/>
  <c r="AE357" i="7"/>
  <c r="AE358" i="7"/>
  <c r="AE359" i="7"/>
  <c r="AE360" i="7"/>
  <c r="AE361" i="7"/>
  <c r="AE362" i="7"/>
  <c r="AE363" i="7"/>
  <c r="AE364" i="7"/>
  <c r="AE365" i="7"/>
  <c r="AE366" i="7"/>
  <c r="AE367" i="7"/>
  <c r="AE368" i="7"/>
  <c r="AE369" i="7"/>
  <c r="AE370" i="7"/>
  <c r="AE371" i="7"/>
  <c r="AE372" i="7"/>
  <c r="AE373" i="7"/>
  <c r="AE374" i="7"/>
  <c r="AE375" i="7"/>
  <c r="AE376" i="7"/>
  <c r="AE377" i="7"/>
  <c r="AE378" i="7"/>
  <c r="AE379" i="7"/>
  <c r="AE380" i="7"/>
  <c r="AE381" i="7"/>
  <c r="AE382" i="7"/>
  <c r="AE383" i="7"/>
  <c r="AE384" i="7"/>
  <c r="AE385" i="7"/>
  <c r="AE386" i="7"/>
  <c r="AE387" i="7"/>
  <c r="AE388" i="7"/>
  <c r="AE389" i="7"/>
  <c r="AE390" i="7"/>
  <c r="AE391" i="7"/>
  <c r="AE392" i="7"/>
  <c r="AE393" i="7"/>
  <c r="AE394" i="7"/>
  <c r="AE395" i="7"/>
  <c r="AE396" i="7"/>
  <c r="AE397" i="7"/>
  <c r="AE398" i="7"/>
  <c r="AE399" i="7"/>
  <c r="AE400" i="7"/>
  <c r="AE401" i="7"/>
  <c r="AE402" i="7"/>
  <c r="AE403" i="7"/>
  <c r="AE404" i="7"/>
  <c r="AE405" i="7"/>
  <c r="AE406" i="7"/>
  <c r="AE407" i="7"/>
  <c r="AE408" i="7"/>
  <c r="AE409" i="7"/>
  <c r="AE410" i="7"/>
  <c r="AE411" i="7"/>
  <c r="AE412" i="7"/>
  <c r="AE413" i="7"/>
  <c r="AE414" i="7"/>
  <c r="AE415" i="7"/>
  <c r="AE416" i="7"/>
  <c r="AE417" i="7"/>
  <c r="AE418" i="7"/>
  <c r="AE419" i="7"/>
  <c r="AE420" i="7"/>
  <c r="AE421" i="7"/>
  <c r="AE422" i="7"/>
  <c r="AE423" i="7"/>
  <c r="AE424" i="7"/>
  <c r="AE425" i="7"/>
  <c r="AE426" i="7"/>
  <c r="AE427" i="7"/>
  <c r="AE428" i="7"/>
  <c r="AE429" i="7"/>
  <c r="AE430" i="7"/>
  <c r="AE431" i="7"/>
  <c r="AE432" i="7"/>
  <c r="AE433" i="7"/>
  <c r="AE434" i="7"/>
  <c r="AE435" i="7"/>
  <c r="AE436" i="7"/>
  <c r="AE437" i="7"/>
  <c r="AE438" i="7"/>
  <c r="AE439" i="7"/>
  <c r="AE440" i="7"/>
  <c r="AE441" i="7"/>
  <c r="AE442" i="7"/>
  <c r="AE443" i="7"/>
  <c r="AE444" i="7"/>
  <c r="AE445" i="7"/>
  <c r="AE446" i="7"/>
  <c r="AE447" i="7"/>
  <c r="AE448" i="7"/>
  <c r="AE449" i="7"/>
  <c r="AE450" i="7"/>
  <c r="AE451" i="7"/>
  <c r="AE452" i="7"/>
  <c r="AE453" i="7"/>
  <c r="AE454" i="7"/>
  <c r="AE455" i="7"/>
  <c r="AE456" i="7"/>
  <c r="AE457" i="7"/>
  <c r="AE458" i="7"/>
  <c r="AE459" i="7"/>
  <c r="AE460" i="7"/>
  <c r="AE461" i="7"/>
  <c r="AE462" i="7"/>
  <c r="AE463" i="7"/>
  <c r="AE464" i="7"/>
  <c r="AE465" i="7"/>
  <c r="AE466" i="7"/>
  <c r="AE467" i="7"/>
  <c r="AE468" i="7"/>
  <c r="AE469" i="7"/>
  <c r="AE470" i="7"/>
  <c r="AE471" i="7"/>
  <c r="AE472" i="7"/>
  <c r="AE473" i="7"/>
  <c r="AE474" i="7"/>
  <c r="AE475" i="7"/>
  <c r="AE476" i="7"/>
  <c r="AE477" i="7"/>
  <c r="AE478" i="7"/>
  <c r="AE479" i="7"/>
  <c r="AE480" i="7"/>
  <c r="AE481" i="7"/>
  <c r="AE482" i="7"/>
  <c r="AE483" i="7"/>
  <c r="AE484" i="7"/>
  <c r="AE485" i="7"/>
  <c r="AE486" i="7"/>
  <c r="AE487" i="7"/>
  <c r="AE488" i="7"/>
  <c r="AE489" i="7"/>
  <c r="AE490" i="7"/>
  <c r="AE491" i="7"/>
  <c r="AE492" i="7"/>
  <c r="AE493" i="7"/>
  <c r="AE494" i="7"/>
  <c r="AE495" i="7"/>
  <c r="AE496" i="7"/>
  <c r="AE497" i="7"/>
  <c r="AE498" i="7"/>
  <c r="AE499" i="7"/>
  <c r="AE500" i="7"/>
  <c r="AE501" i="7"/>
  <c r="AE502" i="7"/>
  <c r="AE503" i="7"/>
  <c r="AE504" i="7"/>
  <c r="AE505" i="7"/>
  <c r="AE506" i="7"/>
  <c r="AE507" i="7"/>
  <c r="AE508" i="7"/>
  <c r="AE509" i="7"/>
  <c r="AE510" i="7"/>
  <c r="AE511" i="7"/>
  <c r="AE512" i="7"/>
  <c r="AE513" i="7"/>
  <c r="AE514" i="7"/>
  <c r="AE515" i="7"/>
  <c r="AE516" i="7"/>
  <c r="AE517" i="7"/>
  <c r="AE518" i="7"/>
  <c r="AE519" i="7"/>
  <c r="AE520" i="7"/>
  <c r="AE521" i="7"/>
  <c r="AE522" i="7"/>
  <c r="AE523" i="7"/>
  <c r="AE524" i="7"/>
  <c r="AE525" i="7"/>
  <c r="AE526" i="7"/>
  <c r="AE527" i="7"/>
  <c r="AE528" i="7"/>
  <c r="AE529" i="7"/>
  <c r="AE530" i="7"/>
  <c r="AE531" i="7"/>
  <c r="AE532" i="7"/>
  <c r="AE533" i="7"/>
  <c r="AE534" i="7"/>
  <c r="AE535" i="7"/>
  <c r="AE536" i="7"/>
  <c r="AE537" i="7"/>
  <c r="AE538" i="7"/>
  <c r="AE539" i="7"/>
  <c r="AE540" i="7"/>
  <c r="AE541" i="7"/>
  <c r="AE542" i="7"/>
  <c r="AE543" i="7"/>
  <c r="AE544" i="7"/>
  <c r="AE545" i="7"/>
  <c r="AE546" i="7"/>
  <c r="AE547" i="7"/>
  <c r="AE548" i="7"/>
  <c r="AE549" i="7"/>
  <c r="AE550" i="7"/>
  <c r="AE551" i="7"/>
  <c r="AE552" i="7"/>
  <c r="AE553" i="7"/>
  <c r="AE554" i="7"/>
  <c r="AE555" i="7"/>
  <c r="AE556" i="7"/>
  <c r="AE557" i="7"/>
  <c r="AE558" i="7"/>
  <c r="AE559" i="7"/>
  <c r="AE560" i="7"/>
  <c r="AE561" i="7"/>
  <c r="AE562" i="7"/>
  <c r="AE563" i="7"/>
  <c r="AE564" i="7"/>
  <c r="AE565" i="7"/>
  <c r="AE566" i="7"/>
  <c r="AE567" i="7"/>
  <c r="AE568" i="7"/>
  <c r="AE569" i="7"/>
  <c r="AE570" i="7"/>
  <c r="AE571" i="7"/>
  <c r="AE572" i="7"/>
  <c r="AE573" i="7"/>
  <c r="AE574" i="7"/>
  <c r="AE575" i="7"/>
  <c r="AE576" i="7"/>
  <c r="AE577" i="7"/>
  <c r="AE578" i="7"/>
  <c r="AE579" i="7"/>
  <c r="AE580" i="7"/>
  <c r="AE581" i="7"/>
  <c r="AE582" i="7"/>
  <c r="AE583" i="7"/>
  <c r="AE584" i="7"/>
  <c r="AE585" i="7"/>
  <c r="AE586" i="7"/>
  <c r="AE587" i="7"/>
  <c r="AE588" i="7"/>
  <c r="AE589" i="7"/>
  <c r="AE590" i="7"/>
  <c r="AE591" i="7"/>
  <c r="AE592" i="7"/>
  <c r="AE593" i="7"/>
  <c r="AE594" i="7"/>
  <c r="AE595" i="7"/>
  <c r="AE596" i="7"/>
  <c r="AE597" i="7"/>
  <c r="AE598" i="7"/>
  <c r="AE599" i="7"/>
  <c r="AE600" i="7"/>
  <c r="AE601" i="7"/>
  <c r="AE602" i="7"/>
  <c r="AE603" i="7"/>
  <c r="AE604" i="7"/>
  <c r="AE605" i="7"/>
  <c r="AE606" i="7"/>
  <c r="AE607" i="7"/>
  <c r="AE608" i="7"/>
  <c r="AE609" i="7"/>
  <c r="AE610" i="7"/>
  <c r="AE611" i="7"/>
  <c r="AE612" i="7"/>
  <c r="AE613" i="7"/>
  <c r="AE614" i="7"/>
  <c r="AE615" i="7"/>
  <c r="AE616" i="7"/>
  <c r="AE617" i="7"/>
  <c r="AE618" i="7"/>
  <c r="AE619" i="7"/>
  <c r="AE620" i="7"/>
  <c r="AE621" i="7"/>
  <c r="AE622" i="7"/>
  <c r="AE623" i="7"/>
  <c r="AE624" i="7"/>
  <c r="AE625" i="7"/>
  <c r="AE626" i="7"/>
  <c r="AE627" i="7"/>
  <c r="AE628" i="7"/>
  <c r="AE629" i="7"/>
  <c r="AE630" i="7"/>
  <c r="AE631" i="7"/>
  <c r="AE632" i="7"/>
  <c r="AE633" i="7"/>
  <c r="AE634" i="7"/>
  <c r="AE635" i="7"/>
  <c r="AE636" i="7"/>
  <c r="AE637" i="7"/>
  <c r="AE638" i="7"/>
  <c r="AE639" i="7"/>
  <c r="AE640" i="7"/>
  <c r="AE641" i="7"/>
  <c r="AE642" i="7"/>
  <c r="AE643" i="7"/>
  <c r="AE644" i="7"/>
  <c r="AE645" i="7"/>
  <c r="AE646" i="7"/>
  <c r="AE647" i="7"/>
  <c r="AE648" i="7"/>
  <c r="AE649" i="7"/>
  <c r="AE650" i="7"/>
  <c r="AE651" i="7"/>
  <c r="AE652" i="7"/>
  <c r="AE653" i="7"/>
  <c r="AE654" i="7"/>
  <c r="AE655" i="7"/>
  <c r="AE656" i="7"/>
  <c r="AE657" i="7"/>
  <c r="AE658" i="7"/>
  <c r="AE659" i="7"/>
  <c r="AE660" i="7"/>
  <c r="AE661" i="7"/>
  <c r="AE662" i="7"/>
  <c r="AE663" i="7"/>
  <c r="AE664" i="7"/>
  <c r="AE665" i="7"/>
  <c r="AE666" i="7"/>
  <c r="AE667" i="7"/>
  <c r="AE668" i="7"/>
  <c r="AE669" i="7"/>
  <c r="AE670" i="7"/>
  <c r="AE671" i="7"/>
  <c r="AE672" i="7"/>
  <c r="AE673" i="7"/>
  <c r="AE674" i="7"/>
  <c r="AE675" i="7"/>
  <c r="AE676" i="7"/>
  <c r="AE677" i="7"/>
  <c r="AE678" i="7"/>
  <c r="AE679" i="7"/>
  <c r="AE680" i="7"/>
  <c r="AE681" i="7"/>
  <c r="AE682" i="7"/>
  <c r="AE683" i="7"/>
  <c r="AE684" i="7"/>
  <c r="AE685" i="7"/>
  <c r="AE686" i="7"/>
  <c r="AE687" i="7"/>
  <c r="AE688" i="7"/>
  <c r="AE689" i="7"/>
  <c r="AE690" i="7"/>
  <c r="AE691" i="7"/>
  <c r="AE692" i="7"/>
  <c r="AE693" i="7"/>
  <c r="AE694" i="7"/>
  <c r="AE695" i="7"/>
  <c r="AE696" i="7"/>
  <c r="AE697" i="7"/>
  <c r="AE698" i="7"/>
  <c r="AE699" i="7"/>
  <c r="AE700" i="7"/>
  <c r="AE701" i="7"/>
  <c r="AE702" i="7"/>
  <c r="AE703" i="7"/>
  <c r="AE704" i="7"/>
  <c r="AE705" i="7"/>
  <c r="AE706" i="7"/>
  <c r="AE707" i="7"/>
  <c r="AE708" i="7"/>
  <c r="AE709" i="7"/>
  <c r="AE710" i="7"/>
  <c r="AE711" i="7"/>
  <c r="AE712" i="7"/>
  <c r="AE713" i="7"/>
  <c r="AE714" i="7"/>
  <c r="AE715" i="7"/>
  <c r="AE716" i="7"/>
  <c r="AE717" i="7"/>
  <c r="AE718" i="7"/>
  <c r="AE719" i="7"/>
  <c r="AE720" i="7"/>
  <c r="AE721" i="7"/>
  <c r="AE722" i="7"/>
  <c r="AE723" i="7"/>
  <c r="AE724" i="7"/>
  <c r="AE725" i="7"/>
  <c r="AE726" i="7"/>
  <c r="AE727" i="7"/>
  <c r="AE728" i="7"/>
  <c r="AE729" i="7"/>
  <c r="AE730" i="7"/>
  <c r="AE731" i="7"/>
  <c r="AE732" i="7"/>
  <c r="AE733" i="7"/>
  <c r="AE734" i="7"/>
  <c r="AE735" i="7"/>
  <c r="AE736" i="7"/>
  <c r="AE737" i="7"/>
  <c r="AE738" i="7"/>
  <c r="AE739" i="7"/>
  <c r="AE740" i="7"/>
  <c r="AE741" i="7"/>
  <c r="AE742" i="7"/>
  <c r="AE743" i="7"/>
  <c r="AE744" i="7"/>
  <c r="AE745" i="7"/>
  <c r="AE746" i="7"/>
  <c r="AE747" i="7"/>
  <c r="AE748" i="7"/>
  <c r="AE749" i="7"/>
  <c r="AE750" i="7"/>
  <c r="AE751" i="7"/>
  <c r="AE752" i="7"/>
  <c r="AE753" i="7"/>
  <c r="AE754" i="7"/>
  <c r="AE755" i="7"/>
  <c r="AE756" i="7"/>
  <c r="AE757" i="7"/>
  <c r="AE758" i="7"/>
  <c r="AE759" i="7"/>
  <c r="AF2" i="7"/>
  <c r="AF3" i="7"/>
  <c r="AF4" i="7"/>
  <c r="AF5" i="7"/>
  <c r="AF6" i="7"/>
  <c r="AF7" i="7"/>
  <c r="AN7" i="7" s="1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L151" i="7" s="1"/>
  <c r="AF152" i="7"/>
  <c r="AF153" i="7"/>
  <c r="AF154" i="7"/>
  <c r="AF155" i="7"/>
  <c r="AF156" i="7"/>
  <c r="AF157" i="7"/>
  <c r="AF158" i="7"/>
  <c r="AF159" i="7"/>
  <c r="AL159" i="7" s="1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L175" i="7" s="1"/>
  <c r="AF176" i="7"/>
  <c r="AF177" i="7"/>
  <c r="AF178" i="7"/>
  <c r="AF179" i="7"/>
  <c r="AF180" i="7"/>
  <c r="AF181" i="7"/>
  <c r="AF182" i="7"/>
  <c r="AF183" i="7"/>
  <c r="AL183" i="7" s="1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L215" i="7" s="1"/>
  <c r="AF216" i="7"/>
  <c r="AF217" i="7"/>
  <c r="AF218" i="7"/>
  <c r="AF219" i="7"/>
  <c r="AF220" i="7"/>
  <c r="AF221" i="7"/>
  <c r="AF222" i="7"/>
  <c r="AF223" i="7"/>
  <c r="AL223" i="7" s="1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L239" i="7" s="1"/>
  <c r="AF240" i="7"/>
  <c r="AF241" i="7"/>
  <c r="AF242" i="7"/>
  <c r="AF243" i="7"/>
  <c r="AF244" i="7"/>
  <c r="AF245" i="7"/>
  <c r="AF246" i="7"/>
  <c r="AF247" i="7"/>
  <c r="AL247" i="7" s="1"/>
  <c r="AF248" i="7"/>
  <c r="AF249" i="7"/>
  <c r="AF250" i="7"/>
  <c r="AF251" i="7"/>
  <c r="AF252" i="7"/>
  <c r="AF253" i="7"/>
  <c r="AF254" i="7"/>
  <c r="AF255" i="7"/>
  <c r="AN255" i="7" s="1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L279" i="7" s="1"/>
  <c r="AF280" i="7"/>
  <c r="AF281" i="7"/>
  <c r="AF282" i="7"/>
  <c r="AF283" i="7"/>
  <c r="AF284" i="7"/>
  <c r="AF285" i="7"/>
  <c r="AF286" i="7"/>
  <c r="AF287" i="7"/>
  <c r="AL287" i="7" s="1"/>
  <c r="AF288" i="7"/>
  <c r="AF289" i="7"/>
  <c r="AF290" i="7"/>
  <c r="AF291" i="7"/>
  <c r="F7" i="5" s="1"/>
  <c r="AF292" i="7"/>
  <c r="AF293" i="7"/>
  <c r="AF294" i="7"/>
  <c r="AF295" i="7"/>
  <c r="AF296" i="7"/>
  <c r="AF297" i="7"/>
  <c r="AF298" i="7"/>
  <c r="AF299" i="7"/>
  <c r="AF300" i="7"/>
  <c r="AF301" i="7"/>
  <c r="AF302" i="7"/>
  <c r="AF303" i="7"/>
  <c r="AL303" i="7" s="1"/>
  <c r="AF304" i="7"/>
  <c r="AF305" i="7"/>
  <c r="AF306" i="7"/>
  <c r="AF307" i="7"/>
  <c r="AF308" i="7"/>
  <c r="AF309" i="7"/>
  <c r="AF310" i="7"/>
  <c r="AF311" i="7"/>
  <c r="AL311" i="7" s="1"/>
  <c r="AF312" i="7"/>
  <c r="AF313" i="7"/>
  <c r="AF314" i="7"/>
  <c r="AF315" i="7"/>
  <c r="AF316" i="7"/>
  <c r="AF317" i="7"/>
  <c r="AF318" i="7"/>
  <c r="AF319" i="7"/>
  <c r="AF320" i="7"/>
  <c r="AF321" i="7"/>
  <c r="AF322" i="7"/>
  <c r="AF323" i="7"/>
  <c r="AF324" i="7"/>
  <c r="AF325" i="7"/>
  <c r="AF326" i="7"/>
  <c r="AF327" i="7"/>
  <c r="AN327" i="7" s="1"/>
  <c r="AF328" i="7"/>
  <c r="AF329" i="7"/>
  <c r="AF330" i="7"/>
  <c r="AF331" i="7"/>
  <c r="AF332" i="7"/>
  <c r="AF333" i="7"/>
  <c r="AF334" i="7"/>
  <c r="AF335" i="7"/>
  <c r="AF336" i="7"/>
  <c r="AF337" i="7"/>
  <c r="AF338" i="7"/>
  <c r="AF339" i="7"/>
  <c r="AF340" i="7"/>
  <c r="AF341" i="7"/>
  <c r="AF342" i="7"/>
  <c r="AF343" i="7"/>
  <c r="AL343" i="7" s="1"/>
  <c r="AF344" i="7"/>
  <c r="AF345" i="7"/>
  <c r="AF346" i="7"/>
  <c r="AF347" i="7"/>
  <c r="AF348" i="7"/>
  <c r="AF349" i="7"/>
  <c r="AF350" i="7"/>
  <c r="AF351" i="7"/>
  <c r="AL351" i="7" s="1"/>
  <c r="AF352" i="7"/>
  <c r="AF353" i="7"/>
  <c r="AF354" i="7"/>
  <c r="AF355" i="7"/>
  <c r="AF356" i="7"/>
  <c r="AF357" i="7"/>
  <c r="AF358" i="7"/>
  <c r="AF359" i="7"/>
  <c r="AF360" i="7"/>
  <c r="AF361" i="7"/>
  <c r="AF362" i="7"/>
  <c r="AF363" i="7"/>
  <c r="AF364" i="7"/>
  <c r="AF365" i="7"/>
  <c r="AF366" i="7"/>
  <c r="AF367" i="7"/>
  <c r="AL367" i="7" s="1"/>
  <c r="AF368" i="7"/>
  <c r="AF369" i="7"/>
  <c r="AF370" i="7"/>
  <c r="AF371" i="7"/>
  <c r="AF372" i="7"/>
  <c r="AF373" i="7"/>
  <c r="AF374" i="7"/>
  <c r="AF375" i="7"/>
  <c r="AL375" i="7" s="1"/>
  <c r="AF376" i="7"/>
  <c r="AF377" i="7"/>
  <c r="AF378" i="7"/>
  <c r="AF379" i="7"/>
  <c r="AF380" i="7"/>
  <c r="AF381" i="7"/>
  <c r="AF382" i="7"/>
  <c r="AF383" i="7"/>
  <c r="AF384" i="7"/>
  <c r="AF385" i="7"/>
  <c r="AF386" i="7"/>
  <c r="AF387" i="7"/>
  <c r="AF388" i="7"/>
  <c r="AF389" i="7"/>
  <c r="AF390" i="7"/>
  <c r="AF391" i="7"/>
  <c r="AF392" i="7"/>
  <c r="AF393" i="7"/>
  <c r="AF394" i="7"/>
  <c r="AF395" i="7"/>
  <c r="AF396" i="7"/>
  <c r="AF397" i="7"/>
  <c r="AF398" i="7"/>
  <c r="AF399" i="7"/>
  <c r="AF400" i="7"/>
  <c r="AF401" i="7"/>
  <c r="AF402" i="7"/>
  <c r="AF403" i="7"/>
  <c r="AF404" i="7"/>
  <c r="AF405" i="7"/>
  <c r="AF406" i="7"/>
  <c r="AF407" i="7"/>
  <c r="AL407" i="7" s="1"/>
  <c r="AF408" i="7"/>
  <c r="AF409" i="7"/>
  <c r="AF410" i="7"/>
  <c r="AF411" i="7"/>
  <c r="AF412" i="7"/>
  <c r="AF413" i="7"/>
  <c r="AF414" i="7"/>
  <c r="AF415" i="7"/>
  <c r="AL415" i="7" s="1"/>
  <c r="AF416" i="7"/>
  <c r="AF417" i="7"/>
  <c r="AF418" i="7"/>
  <c r="AF419" i="7"/>
  <c r="AF420" i="7"/>
  <c r="AF421" i="7"/>
  <c r="AF422" i="7"/>
  <c r="AF423" i="7"/>
  <c r="AF424" i="7"/>
  <c r="AF425" i="7"/>
  <c r="AF426" i="7"/>
  <c r="AF427" i="7"/>
  <c r="AF428" i="7"/>
  <c r="AF429" i="7"/>
  <c r="AF430" i="7"/>
  <c r="AF431" i="7"/>
  <c r="AL431" i="7" s="1"/>
  <c r="AF432" i="7"/>
  <c r="AF433" i="7"/>
  <c r="AF434" i="7"/>
  <c r="AF435" i="7"/>
  <c r="AF436" i="7"/>
  <c r="AF437" i="7"/>
  <c r="AF438" i="7"/>
  <c r="AF439" i="7"/>
  <c r="AL439" i="7" s="1"/>
  <c r="AF440" i="7"/>
  <c r="AF441" i="7"/>
  <c r="AF442" i="7"/>
  <c r="AF443" i="7"/>
  <c r="AF444" i="7"/>
  <c r="AF445" i="7"/>
  <c r="AF446" i="7"/>
  <c r="AF447" i="7"/>
  <c r="AF448" i="7"/>
  <c r="AF449" i="7"/>
  <c r="AF450" i="7"/>
  <c r="AF451" i="7"/>
  <c r="AF452" i="7"/>
  <c r="AF453" i="7"/>
  <c r="AF454" i="7"/>
  <c r="AF455" i="7"/>
  <c r="AN455" i="7" s="1"/>
  <c r="AF456" i="7"/>
  <c r="AF457" i="7"/>
  <c r="AF458" i="7"/>
  <c r="AF459" i="7"/>
  <c r="AF460" i="7"/>
  <c r="AF461" i="7"/>
  <c r="AF462" i="7"/>
  <c r="AF463" i="7"/>
  <c r="AF464" i="7"/>
  <c r="AF465" i="7"/>
  <c r="AF466" i="7"/>
  <c r="AF467" i="7"/>
  <c r="AF468" i="7"/>
  <c r="AF469" i="7"/>
  <c r="AF470" i="7"/>
  <c r="AF471" i="7"/>
  <c r="AL471" i="7" s="1"/>
  <c r="AF472" i="7"/>
  <c r="AF473" i="7"/>
  <c r="AF474" i="7"/>
  <c r="AF475" i="7"/>
  <c r="AF476" i="7"/>
  <c r="AF477" i="7"/>
  <c r="AF478" i="7"/>
  <c r="AF479" i="7"/>
  <c r="AL479" i="7" s="1"/>
  <c r="AF480" i="7"/>
  <c r="AF481" i="7"/>
  <c r="AF482" i="7"/>
  <c r="AF483" i="7"/>
  <c r="AF484" i="7"/>
  <c r="AF485" i="7"/>
  <c r="AF486" i="7"/>
  <c r="AF487" i="7"/>
  <c r="AF488" i="7"/>
  <c r="AF489" i="7"/>
  <c r="AF490" i="7"/>
  <c r="AF491" i="7"/>
  <c r="AF492" i="7"/>
  <c r="AF493" i="7"/>
  <c r="AF494" i="7"/>
  <c r="AF495" i="7"/>
  <c r="AL495" i="7" s="1"/>
  <c r="AF496" i="7"/>
  <c r="AF497" i="7"/>
  <c r="AF498" i="7"/>
  <c r="AF499" i="7"/>
  <c r="AF500" i="7"/>
  <c r="AF501" i="7"/>
  <c r="AF502" i="7"/>
  <c r="AF503" i="7"/>
  <c r="AL503" i="7" s="1"/>
  <c r="AF504" i="7"/>
  <c r="AF505" i="7"/>
  <c r="AF506" i="7"/>
  <c r="AF507" i="7"/>
  <c r="AF508" i="7"/>
  <c r="AF509" i="7"/>
  <c r="AF510" i="7"/>
  <c r="AF511" i="7"/>
  <c r="AF512" i="7"/>
  <c r="AF513" i="7"/>
  <c r="AF514" i="7"/>
  <c r="AF515" i="7"/>
  <c r="AF516" i="7"/>
  <c r="AF517" i="7"/>
  <c r="AF518" i="7"/>
  <c r="AF519" i="7"/>
  <c r="AF520" i="7"/>
  <c r="AF521" i="7"/>
  <c r="AF522" i="7"/>
  <c r="AF523" i="7"/>
  <c r="AF524" i="7"/>
  <c r="AF525" i="7"/>
  <c r="AF526" i="7"/>
  <c r="AF527" i="7"/>
  <c r="AF528" i="7"/>
  <c r="AF529" i="7"/>
  <c r="AF530" i="7"/>
  <c r="AF531" i="7"/>
  <c r="AF532" i="7"/>
  <c r="AF533" i="7"/>
  <c r="AF534" i="7"/>
  <c r="AF535" i="7"/>
  <c r="AL535" i="7" s="1"/>
  <c r="AF536" i="7"/>
  <c r="AF537" i="7"/>
  <c r="AF538" i="7"/>
  <c r="AF539" i="7"/>
  <c r="AF540" i="7"/>
  <c r="AF541" i="7"/>
  <c r="AF542" i="7"/>
  <c r="AF543" i="7"/>
  <c r="AL543" i="7" s="1"/>
  <c r="AF544" i="7"/>
  <c r="AF545" i="7"/>
  <c r="AF546" i="7"/>
  <c r="AF547" i="7"/>
  <c r="AF548" i="7"/>
  <c r="AF549" i="7"/>
  <c r="AF550" i="7"/>
  <c r="AF551" i="7"/>
  <c r="AF552" i="7"/>
  <c r="AF553" i="7"/>
  <c r="AF554" i="7"/>
  <c r="AF555" i="7"/>
  <c r="AF556" i="7"/>
  <c r="AF557" i="7"/>
  <c r="AF558" i="7"/>
  <c r="AF559" i="7"/>
  <c r="AL559" i="7" s="1"/>
  <c r="AF560" i="7"/>
  <c r="AF561" i="7"/>
  <c r="AF562" i="7"/>
  <c r="AF563" i="7"/>
  <c r="AF564" i="7"/>
  <c r="AF565" i="7"/>
  <c r="AF566" i="7"/>
  <c r="AF567" i="7"/>
  <c r="AL567" i="7" s="1"/>
  <c r="AF568" i="7"/>
  <c r="AF569" i="7"/>
  <c r="AF570" i="7"/>
  <c r="AF571" i="7"/>
  <c r="AF572" i="7"/>
  <c r="AF573" i="7"/>
  <c r="AF574" i="7"/>
  <c r="AF575" i="7"/>
  <c r="AN575" i="7" s="1"/>
  <c r="AF576" i="7"/>
  <c r="AF577" i="7"/>
  <c r="AF578" i="7"/>
  <c r="AF579" i="7"/>
  <c r="AF580" i="7"/>
  <c r="AF581" i="7"/>
  <c r="AF582" i="7"/>
  <c r="AF583" i="7"/>
  <c r="AF584" i="7"/>
  <c r="AF585" i="7"/>
  <c r="AF586" i="7"/>
  <c r="AF587" i="7"/>
  <c r="AF588" i="7"/>
  <c r="AF589" i="7"/>
  <c r="AF590" i="7"/>
  <c r="AF591" i="7"/>
  <c r="AF592" i="7"/>
  <c r="AF593" i="7"/>
  <c r="AF594" i="7"/>
  <c r="AF595" i="7"/>
  <c r="AF596" i="7"/>
  <c r="AF597" i="7"/>
  <c r="AF598" i="7"/>
  <c r="AF599" i="7"/>
  <c r="AL599" i="7" s="1"/>
  <c r="AF600" i="7"/>
  <c r="AF601" i="7"/>
  <c r="AF602" i="7"/>
  <c r="AF603" i="7"/>
  <c r="AF604" i="7"/>
  <c r="AF605" i="7"/>
  <c r="AF606" i="7"/>
  <c r="AF607" i="7"/>
  <c r="AL607" i="7" s="1"/>
  <c r="AF608" i="7"/>
  <c r="AF609" i="7"/>
  <c r="AF610" i="7"/>
  <c r="AF611" i="7"/>
  <c r="AF612" i="7"/>
  <c r="AF613" i="7"/>
  <c r="AF614" i="7"/>
  <c r="AF615" i="7"/>
  <c r="AF616" i="7"/>
  <c r="AF617" i="7"/>
  <c r="AF618" i="7"/>
  <c r="AF619" i="7"/>
  <c r="AF620" i="7"/>
  <c r="AF621" i="7"/>
  <c r="AF622" i="7"/>
  <c r="AF623" i="7"/>
  <c r="AF624" i="7"/>
  <c r="AF625" i="7"/>
  <c r="AF626" i="7"/>
  <c r="AF627" i="7"/>
  <c r="AF628" i="7"/>
  <c r="AF629" i="7"/>
  <c r="AF630" i="7"/>
  <c r="AF631" i="7"/>
  <c r="AF632" i="7"/>
  <c r="AF633" i="7"/>
  <c r="AF634" i="7"/>
  <c r="AF635" i="7"/>
  <c r="AF636" i="7"/>
  <c r="AF637" i="7"/>
  <c r="AF638" i="7"/>
  <c r="AF639" i="7"/>
  <c r="AN639" i="7" s="1"/>
  <c r="AF640" i="7"/>
  <c r="AF641" i="7"/>
  <c r="AF642" i="7"/>
  <c r="AF643" i="7"/>
  <c r="AF644" i="7"/>
  <c r="AF645" i="7"/>
  <c r="AF646" i="7"/>
  <c r="AF647" i="7"/>
  <c r="AF648" i="7"/>
  <c r="AF649" i="7"/>
  <c r="AF650" i="7"/>
  <c r="AF651" i="7"/>
  <c r="AF652" i="7"/>
  <c r="AF653" i="7"/>
  <c r="AF654" i="7"/>
  <c r="AF655" i="7"/>
  <c r="AF656" i="7"/>
  <c r="AF657" i="7"/>
  <c r="AF658" i="7"/>
  <c r="AF659" i="7"/>
  <c r="AF660" i="7"/>
  <c r="AF661" i="7"/>
  <c r="AF662" i="7"/>
  <c r="AF663" i="7"/>
  <c r="AF664" i="7"/>
  <c r="AF665" i="7"/>
  <c r="AF666" i="7"/>
  <c r="AF667" i="7"/>
  <c r="AF668" i="7"/>
  <c r="AF669" i="7"/>
  <c r="AF670" i="7"/>
  <c r="AF671" i="7"/>
  <c r="AF672" i="7"/>
  <c r="AF673" i="7"/>
  <c r="AF674" i="7"/>
  <c r="AF675" i="7"/>
  <c r="AF676" i="7"/>
  <c r="AF677" i="7"/>
  <c r="AF678" i="7"/>
  <c r="AF679" i="7"/>
  <c r="AF680" i="7"/>
  <c r="AF681" i="7"/>
  <c r="AF682" i="7"/>
  <c r="AF683" i="7"/>
  <c r="AF684" i="7"/>
  <c r="AF685" i="7"/>
  <c r="AF686" i="7"/>
  <c r="AF687" i="7"/>
  <c r="AF688" i="7"/>
  <c r="AF689" i="7"/>
  <c r="AF690" i="7"/>
  <c r="AF691" i="7"/>
  <c r="AF692" i="7"/>
  <c r="AF693" i="7"/>
  <c r="AF694" i="7"/>
  <c r="AF695" i="7"/>
  <c r="AF696" i="7"/>
  <c r="AF697" i="7"/>
  <c r="AF698" i="7"/>
  <c r="AF699" i="7"/>
  <c r="AF700" i="7"/>
  <c r="AF701" i="7"/>
  <c r="AF702" i="7"/>
  <c r="AF703" i="7"/>
  <c r="AF704" i="7"/>
  <c r="AF705" i="7"/>
  <c r="AF706" i="7"/>
  <c r="AF707" i="7"/>
  <c r="AF708" i="7"/>
  <c r="AF709" i="7"/>
  <c r="AF710" i="7"/>
  <c r="AF711" i="7"/>
  <c r="AF712" i="7"/>
  <c r="AF713" i="7"/>
  <c r="AF714" i="7"/>
  <c r="AF715" i="7"/>
  <c r="AF716" i="7"/>
  <c r="AF717" i="7"/>
  <c r="AF718" i="7"/>
  <c r="AF719" i="7"/>
  <c r="AF720" i="7"/>
  <c r="AF721" i="7"/>
  <c r="AF722" i="7"/>
  <c r="AF723" i="7"/>
  <c r="AF724" i="7"/>
  <c r="AF725" i="7"/>
  <c r="AF726" i="7"/>
  <c r="AF727" i="7"/>
  <c r="AF728" i="7"/>
  <c r="AF729" i="7"/>
  <c r="AF730" i="7"/>
  <c r="AF731" i="7"/>
  <c r="AF732" i="7"/>
  <c r="AF733" i="7"/>
  <c r="AF734" i="7"/>
  <c r="AF735" i="7"/>
  <c r="AF736" i="7"/>
  <c r="AF737" i="7"/>
  <c r="AF738" i="7"/>
  <c r="AF739" i="7"/>
  <c r="AF740" i="7"/>
  <c r="AF741" i="7"/>
  <c r="AF742" i="7"/>
  <c r="AF743" i="7"/>
  <c r="AF744" i="7"/>
  <c r="AF745" i="7"/>
  <c r="AF746" i="7"/>
  <c r="AF747" i="7"/>
  <c r="AF748" i="7"/>
  <c r="AF749" i="7"/>
  <c r="AF750" i="7"/>
  <c r="AF751" i="7"/>
  <c r="AF752" i="7"/>
  <c r="AF753" i="7"/>
  <c r="AF754" i="7"/>
  <c r="AF755" i="7"/>
  <c r="AF756" i="7"/>
  <c r="AF757" i="7"/>
  <c r="AF758" i="7"/>
  <c r="AF759" i="7"/>
  <c r="AG2" i="7"/>
  <c r="AG3" i="7"/>
  <c r="AG4" i="7"/>
  <c r="AG5" i="7"/>
  <c r="AG6" i="7"/>
  <c r="AG7" i="7"/>
  <c r="AP7" i="7" s="1"/>
  <c r="AG8" i="7"/>
  <c r="AG9" i="7"/>
  <c r="AG10" i="7"/>
  <c r="AG11" i="7"/>
  <c r="AG12" i="7"/>
  <c r="AG13" i="7"/>
  <c r="AG14" i="7"/>
  <c r="AG15" i="7"/>
  <c r="AP15" i="7" s="1"/>
  <c r="AG16" i="7"/>
  <c r="AG17" i="7"/>
  <c r="AG18" i="7"/>
  <c r="AG19" i="7"/>
  <c r="AG20" i="7"/>
  <c r="AG21" i="7"/>
  <c r="AG22" i="7"/>
  <c r="AG23" i="7"/>
  <c r="AP23" i="7" s="1"/>
  <c r="AG24" i="7"/>
  <c r="AG25" i="7"/>
  <c r="AG26" i="7"/>
  <c r="AG27" i="7"/>
  <c r="AG28" i="7"/>
  <c r="AG29" i="7"/>
  <c r="AG30" i="7"/>
  <c r="AG31" i="7"/>
  <c r="AP31" i="7" s="1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P47" i="7" s="1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P63" i="7" s="1"/>
  <c r="AG64" i="7"/>
  <c r="AG65" i="7"/>
  <c r="AG66" i="7"/>
  <c r="AG67" i="7"/>
  <c r="AG68" i="7"/>
  <c r="AG69" i="7"/>
  <c r="AG70" i="7"/>
  <c r="AG71" i="7"/>
  <c r="AP71" i="7" s="1"/>
  <c r="AG72" i="7"/>
  <c r="AG73" i="7"/>
  <c r="AG74" i="7"/>
  <c r="AG75" i="7"/>
  <c r="AG76" i="7"/>
  <c r="AG77" i="7"/>
  <c r="AG78" i="7"/>
  <c r="AG79" i="7"/>
  <c r="AP79" i="7" s="1"/>
  <c r="AG80" i="7"/>
  <c r="AG81" i="7"/>
  <c r="AG82" i="7"/>
  <c r="AG83" i="7"/>
  <c r="AG84" i="7"/>
  <c r="AG85" i="7"/>
  <c r="AG86" i="7"/>
  <c r="AG87" i="7"/>
  <c r="AP87" i="7" s="1"/>
  <c r="AG88" i="7"/>
  <c r="AG89" i="7"/>
  <c r="AG90" i="7"/>
  <c r="AG91" i="7"/>
  <c r="AG92" i="7"/>
  <c r="AG93" i="7"/>
  <c r="AG94" i="7"/>
  <c r="AG95" i="7"/>
  <c r="AP95" i="7" s="1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P111" i="7" s="1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P127" i="7" s="1"/>
  <c r="AG128" i="7"/>
  <c r="AG129" i="7"/>
  <c r="AG130" i="7"/>
  <c r="AG131" i="7"/>
  <c r="AG132" i="7"/>
  <c r="AG133" i="7"/>
  <c r="AG134" i="7"/>
  <c r="AG135" i="7"/>
  <c r="AP135" i="7" s="1"/>
  <c r="AG136" i="7"/>
  <c r="AG137" i="7"/>
  <c r="AG138" i="7"/>
  <c r="AG139" i="7"/>
  <c r="AG140" i="7"/>
  <c r="AG141" i="7"/>
  <c r="AG142" i="7"/>
  <c r="AG143" i="7"/>
  <c r="AP143" i="7" s="1"/>
  <c r="AG144" i="7"/>
  <c r="AG145" i="7"/>
  <c r="AG146" i="7"/>
  <c r="AG147" i="7"/>
  <c r="AG148" i="7"/>
  <c r="AG149" i="7"/>
  <c r="AG150" i="7"/>
  <c r="AG151" i="7"/>
  <c r="AP151" i="7" s="1"/>
  <c r="AG152" i="7"/>
  <c r="AG153" i="7"/>
  <c r="AG154" i="7"/>
  <c r="AG155" i="7"/>
  <c r="AG156" i="7"/>
  <c r="AG157" i="7"/>
  <c r="AG158" i="7"/>
  <c r="AG159" i="7"/>
  <c r="AP159" i="7" s="1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P175" i="7" s="1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P191" i="7" s="1"/>
  <c r="AG192" i="7"/>
  <c r="AG193" i="7"/>
  <c r="AP193" i="7" s="1"/>
  <c r="AG194" i="7"/>
  <c r="AG195" i="7"/>
  <c r="AG196" i="7"/>
  <c r="AG197" i="7"/>
  <c r="AG198" i="7"/>
  <c r="AG199" i="7"/>
  <c r="AP199" i="7" s="1"/>
  <c r="AG200" i="7"/>
  <c r="AG201" i="7"/>
  <c r="AG202" i="7"/>
  <c r="AG203" i="7"/>
  <c r="AG204" i="7"/>
  <c r="AG205" i="7"/>
  <c r="AG206" i="7"/>
  <c r="AG207" i="7"/>
  <c r="AP207" i="7" s="1"/>
  <c r="AG208" i="7"/>
  <c r="AG209" i="7"/>
  <c r="AG210" i="7"/>
  <c r="AG211" i="7"/>
  <c r="AG212" i="7"/>
  <c r="AG213" i="7"/>
  <c r="AG214" i="7"/>
  <c r="AG215" i="7"/>
  <c r="AP215" i="7" s="1"/>
  <c r="AG216" i="7"/>
  <c r="AG217" i="7"/>
  <c r="AG218" i="7"/>
  <c r="AG219" i="7"/>
  <c r="AG220" i="7"/>
  <c r="AG221" i="7"/>
  <c r="AG222" i="7"/>
  <c r="AG223" i="7"/>
  <c r="AP223" i="7" s="1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P239" i="7" s="1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P255" i="7" s="1"/>
  <c r="AG256" i="7"/>
  <c r="AG257" i="7"/>
  <c r="AP257" i="7" s="1"/>
  <c r="AG258" i="7"/>
  <c r="AG259" i="7"/>
  <c r="AG260" i="7"/>
  <c r="AG261" i="7"/>
  <c r="AG262" i="7"/>
  <c r="AG263" i="7"/>
  <c r="AP263" i="7" s="1"/>
  <c r="AG264" i="7"/>
  <c r="AG265" i="7"/>
  <c r="AG266" i="7"/>
  <c r="AG267" i="7"/>
  <c r="AG268" i="7"/>
  <c r="AG269" i="7"/>
  <c r="AG270" i="7"/>
  <c r="AG271" i="7"/>
  <c r="AP271" i="7" s="1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P287" i="7" s="1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G301" i="7"/>
  <c r="AG302" i="7"/>
  <c r="AG303" i="7"/>
  <c r="AP303" i="7" s="1"/>
  <c r="AG304" i="7"/>
  <c r="AG305" i="7"/>
  <c r="AG306" i="7"/>
  <c r="AG307" i="7"/>
  <c r="AG308" i="7"/>
  <c r="AG309" i="7"/>
  <c r="AG310" i="7"/>
  <c r="AG311" i="7"/>
  <c r="AP311" i="7" s="1"/>
  <c r="AG312" i="7"/>
  <c r="AG313" i="7"/>
  <c r="AG314" i="7"/>
  <c r="AG315" i="7"/>
  <c r="AG316" i="7"/>
  <c r="AG317" i="7"/>
  <c r="AG318" i="7"/>
  <c r="AG319" i="7"/>
  <c r="AP319" i="7" s="1"/>
  <c r="AG320" i="7"/>
  <c r="AG321" i="7"/>
  <c r="AG322" i="7"/>
  <c r="AG323" i="7"/>
  <c r="AG324" i="7"/>
  <c r="AG325" i="7"/>
  <c r="AG326" i="7"/>
  <c r="AG327" i="7"/>
  <c r="AP327" i="7" s="1"/>
  <c r="AG328" i="7"/>
  <c r="AG329" i="7"/>
  <c r="AG330" i="7"/>
  <c r="AG331" i="7"/>
  <c r="AG332" i="7"/>
  <c r="AG333" i="7"/>
  <c r="AG334" i="7"/>
  <c r="AG335" i="7"/>
  <c r="AP335" i="7" s="1"/>
  <c r="AG336" i="7"/>
  <c r="AG337" i="7"/>
  <c r="AG338" i="7"/>
  <c r="AG339" i="7"/>
  <c r="AG340" i="7"/>
  <c r="AG341" i="7"/>
  <c r="AG342" i="7"/>
  <c r="AG343" i="7"/>
  <c r="AP343" i="7" s="1"/>
  <c r="AG344" i="7"/>
  <c r="AG345" i="7"/>
  <c r="AG346" i="7"/>
  <c r="AG347" i="7"/>
  <c r="AG348" i="7"/>
  <c r="AG349" i="7"/>
  <c r="AG350" i="7"/>
  <c r="AG351" i="7"/>
  <c r="AP351" i="7" s="1"/>
  <c r="AG352" i="7"/>
  <c r="AG353" i="7"/>
  <c r="AG354" i="7"/>
  <c r="AG355" i="7"/>
  <c r="AG356" i="7"/>
  <c r="AG357" i="7"/>
  <c r="AG358" i="7"/>
  <c r="AG359" i="7"/>
  <c r="AP359" i="7" s="1"/>
  <c r="AG360" i="7"/>
  <c r="AG361" i="7"/>
  <c r="AG362" i="7"/>
  <c r="AG363" i="7"/>
  <c r="AG364" i="7"/>
  <c r="AG365" i="7"/>
  <c r="AG366" i="7"/>
  <c r="AG367" i="7"/>
  <c r="AG368" i="7"/>
  <c r="AP368" i="7" s="1"/>
  <c r="AG369" i="7"/>
  <c r="AG370" i="7"/>
  <c r="AG371" i="7"/>
  <c r="AG372" i="7"/>
  <c r="AG373" i="7"/>
  <c r="AG374" i="7"/>
  <c r="AG375" i="7"/>
  <c r="AP375" i="7" s="1"/>
  <c r="AG376" i="7"/>
  <c r="AP376" i="7" s="1"/>
  <c r="AG377" i="7"/>
  <c r="AG378" i="7"/>
  <c r="AG379" i="7"/>
  <c r="AG380" i="7"/>
  <c r="AG381" i="7"/>
  <c r="AG382" i="7"/>
  <c r="AG383" i="7"/>
  <c r="AG384" i="7"/>
  <c r="AP384" i="7" s="1"/>
  <c r="AG385" i="7"/>
  <c r="AG386" i="7"/>
  <c r="AG387" i="7"/>
  <c r="AG388" i="7"/>
  <c r="AG389" i="7"/>
  <c r="AG390" i="7"/>
  <c r="AG391" i="7"/>
  <c r="AG392" i="7"/>
  <c r="AP392" i="7" s="1"/>
  <c r="AG393" i="7"/>
  <c r="AG394" i="7"/>
  <c r="AG395" i="7"/>
  <c r="AG396" i="7"/>
  <c r="AG397" i="7"/>
  <c r="AG398" i="7"/>
  <c r="AG399" i="7"/>
  <c r="AP399" i="7" s="1"/>
  <c r="AG400" i="7"/>
  <c r="AP400" i="7" s="1"/>
  <c r="AG401" i="7"/>
  <c r="AG402" i="7"/>
  <c r="AG403" i="7"/>
  <c r="AG404" i="7"/>
  <c r="AG405" i="7"/>
  <c r="AG406" i="7"/>
  <c r="AG407" i="7"/>
  <c r="AG408" i="7"/>
  <c r="AP408" i="7" s="1"/>
  <c r="AG409" i="7"/>
  <c r="AG410" i="7"/>
  <c r="AG411" i="7"/>
  <c r="AG412" i="7"/>
  <c r="AG413" i="7"/>
  <c r="AG414" i="7"/>
  <c r="AG415" i="7"/>
  <c r="AP415" i="7" s="1"/>
  <c r="AG416" i="7"/>
  <c r="AP416" i="7" s="1"/>
  <c r="AG417" i="7"/>
  <c r="AG418" i="7"/>
  <c r="AG419" i="7"/>
  <c r="AG420" i="7"/>
  <c r="AG421" i="7"/>
  <c r="AG422" i="7"/>
  <c r="AG423" i="7"/>
  <c r="AP423" i="7" s="1"/>
  <c r="AG424" i="7"/>
  <c r="AP424" i="7" s="1"/>
  <c r="AG425" i="7"/>
  <c r="AG426" i="7"/>
  <c r="AG427" i="7"/>
  <c r="AG428" i="7"/>
  <c r="AG429" i="7"/>
  <c r="AG430" i="7"/>
  <c r="AG431" i="7"/>
  <c r="AG432" i="7"/>
  <c r="AP432" i="7" s="1"/>
  <c r="AG433" i="7"/>
  <c r="AG434" i="7"/>
  <c r="AG435" i="7"/>
  <c r="AG436" i="7"/>
  <c r="AG437" i="7"/>
  <c r="AG438" i="7"/>
  <c r="AG439" i="7"/>
  <c r="AP439" i="7" s="1"/>
  <c r="AG440" i="7"/>
  <c r="AP440" i="7" s="1"/>
  <c r="AG441" i="7"/>
  <c r="AG442" i="7"/>
  <c r="AG443" i="7"/>
  <c r="AG444" i="7"/>
  <c r="AG445" i="7"/>
  <c r="AG446" i="7"/>
  <c r="AG447" i="7"/>
  <c r="AP447" i="7" s="1"/>
  <c r="AG448" i="7"/>
  <c r="AP448" i="7" s="1"/>
  <c r="AG449" i="7"/>
  <c r="AG450" i="7"/>
  <c r="AG451" i="7"/>
  <c r="AG452" i="7"/>
  <c r="AG453" i="7"/>
  <c r="AG454" i="7"/>
  <c r="AG455" i="7"/>
  <c r="AG456" i="7"/>
  <c r="AP456" i="7" s="1"/>
  <c r="AG457" i="7"/>
  <c r="AG458" i="7"/>
  <c r="AG459" i="7"/>
  <c r="AG460" i="7"/>
  <c r="AO460" i="7" s="1"/>
  <c r="AG461" i="7"/>
  <c r="AG462" i="7"/>
  <c r="AG463" i="7"/>
  <c r="AP463" i="7" s="1"/>
  <c r="AG464" i="7"/>
  <c r="AP464" i="7" s="1"/>
  <c r="AG465" i="7"/>
  <c r="AG466" i="7"/>
  <c r="AG467" i="7"/>
  <c r="AG468" i="7"/>
  <c r="AG469" i="7"/>
  <c r="AG470" i="7"/>
  <c r="AG471" i="7"/>
  <c r="AG472" i="7"/>
  <c r="AP472" i="7" s="1"/>
  <c r="AG473" i="7"/>
  <c r="AG474" i="7"/>
  <c r="AG475" i="7"/>
  <c r="AG476" i="7"/>
  <c r="AG477" i="7"/>
  <c r="AG478" i="7"/>
  <c r="AG479" i="7"/>
  <c r="AG480" i="7"/>
  <c r="AP480" i="7" s="1"/>
  <c r="AG481" i="7"/>
  <c r="AG482" i="7"/>
  <c r="AG483" i="7"/>
  <c r="AG484" i="7"/>
  <c r="AG485" i="7"/>
  <c r="AG486" i="7"/>
  <c r="AG487" i="7"/>
  <c r="AP487" i="7" s="1"/>
  <c r="AG488" i="7"/>
  <c r="AP488" i="7" s="1"/>
  <c r="AG489" i="7"/>
  <c r="AG490" i="7"/>
  <c r="AG491" i="7"/>
  <c r="AG492" i="7"/>
  <c r="AG493" i="7"/>
  <c r="AG494" i="7"/>
  <c r="AG495" i="7"/>
  <c r="AG496" i="7"/>
  <c r="AP496" i="7" s="1"/>
  <c r="AG497" i="7"/>
  <c r="AG498" i="7"/>
  <c r="AG499" i="7"/>
  <c r="AG500" i="7"/>
  <c r="AG501" i="7"/>
  <c r="AG502" i="7"/>
  <c r="AG503" i="7"/>
  <c r="AP503" i="7" s="1"/>
  <c r="AG504" i="7"/>
  <c r="AP504" i="7" s="1"/>
  <c r="AG505" i="7"/>
  <c r="AG506" i="7"/>
  <c r="AG507" i="7"/>
  <c r="AG508" i="7"/>
  <c r="AG509" i="7"/>
  <c r="AG510" i="7"/>
  <c r="AG511" i="7"/>
  <c r="AG512" i="7"/>
  <c r="AP512" i="7" s="1"/>
  <c r="AG513" i="7"/>
  <c r="AG514" i="7"/>
  <c r="AG515" i="7"/>
  <c r="AG516" i="7"/>
  <c r="AP516" i="7" s="1"/>
  <c r="AG517" i="7"/>
  <c r="AG518" i="7"/>
  <c r="AG519" i="7"/>
  <c r="AP519" i="7" s="1"/>
  <c r="AG520" i="7"/>
  <c r="AP520" i="7" s="1"/>
  <c r="AG521" i="7"/>
  <c r="AG522" i="7"/>
  <c r="AG523" i="7"/>
  <c r="AG524" i="7"/>
  <c r="AP524" i="7" s="1"/>
  <c r="AG525" i="7"/>
  <c r="AG526" i="7"/>
  <c r="AG527" i="7"/>
  <c r="AP527" i="7" s="1"/>
  <c r="AG528" i="7"/>
  <c r="AP528" i="7" s="1"/>
  <c r="AG529" i="7"/>
  <c r="AG530" i="7"/>
  <c r="AG531" i="7"/>
  <c r="AG532" i="7"/>
  <c r="AG533" i="7"/>
  <c r="AG534" i="7"/>
  <c r="AG535" i="7"/>
  <c r="AG536" i="7"/>
  <c r="AP536" i="7" s="1"/>
  <c r="AG537" i="7"/>
  <c r="AG538" i="7"/>
  <c r="AG539" i="7"/>
  <c r="AG540" i="7"/>
  <c r="AO540" i="7" s="1"/>
  <c r="AG541" i="7"/>
  <c r="AG542" i="7"/>
  <c r="AG543" i="7"/>
  <c r="AP543" i="7" s="1"/>
  <c r="AG544" i="7"/>
  <c r="AP544" i="7" s="1"/>
  <c r="AG545" i="7"/>
  <c r="AG546" i="7"/>
  <c r="AG547" i="7"/>
  <c r="AG548" i="7"/>
  <c r="AP548" i="7" s="1"/>
  <c r="AG549" i="7"/>
  <c r="AG550" i="7"/>
  <c r="AG551" i="7"/>
  <c r="AP551" i="7" s="1"/>
  <c r="AG552" i="7"/>
  <c r="AP552" i="7" s="1"/>
  <c r="AG553" i="7"/>
  <c r="AG554" i="7"/>
  <c r="AG555" i="7"/>
  <c r="AG556" i="7"/>
  <c r="AG557" i="7"/>
  <c r="AG558" i="7"/>
  <c r="AG559" i="7"/>
  <c r="AP559" i="7" s="1"/>
  <c r="AG560" i="7"/>
  <c r="AP560" i="7" s="1"/>
  <c r="AG561" i="7"/>
  <c r="AG562" i="7"/>
  <c r="AG563" i="7"/>
  <c r="AG564" i="7"/>
  <c r="AG565" i="7"/>
  <c r="AG566" i="7"/>
  <c r="AG567" i="7"/>
  <c r="AP567" i="7" s="1"/>
  <c r="AG568" i="7"/>
  <c r="AP568" i="7" s="1"/>
  <c r="AG569" i="7"/>
  <c r="AG570" i="7"/>
  <c r="AG571" i="7"/>
  <c r="AG572" i="7"/>
  <c r="AG573" i="7"/>
  <c r="AG574" i="7"/>
  <c r="AG575" i="7"/>
  <c r="AP575" i="7" s="1"/>
  <c r="AG576" i="7"/>
  <c r="AP576" i="7" s="1"/>
  <c r="AG577" i="7"/>
  <c r="AG578" i="7"/>
  <c r="AG579" i="7"/>
  <c r="AG580" i="7"/>
  <c r="AO580" i="7" s="1"/>
  <c r="AG581" i="7"/>
  <c r="AG582" i="7"/>
  <c r="AG583" i="7"/>
  <c r="AP583" i="7" s="1"/>
  <c r="AG584" i="7"/>
  <c r="AP584" i="7" s="1"/>
  <c r="AG585" i="7"/>
  <c r="AG586" i="7"/>
  <c r="AG587" i="7"/>
  <c r="AG588" i="7"/>
  <c r="AO588" i="7" s="1"/>
  <c r="AG589" i="7"/>
  <c r="AG590" i="7"/>
  <c r="AG591" i="7"/>
  <c r="AP591" i="7" s="1"/>
  <c r="AG592" i="7"/>
  <c r="AP592" i="7" s="1"/>
  <c r="AG593" i="7"/>
  <c r="AG594" i="7"/>
  <c r="AG595" i="7"/>
  <c r="AG596" i="7"/>
  <c r="AO596" i="7" s="1"/>
  <c r="AG597" i="7"/>
  <c r="AG598" i="7"/>
  <c r="AG599" i="7"/>
  <c r="AP599" i="7" s="1"/>
  <c r="AG600" i="7"/>
  <c r="AP600" i="7" s="1"/>
  <c r="AG601" i="7"/>
  <c r="AG602" i="7"/>
  <c r="AG603" i="7"/>
  <c r="AG604" i="7"/>
  <c r="AG605" i="7"/>
  <c r="AG606" i="7"/>
  <c r="AG607" i="7"/>
  <c r="AP607" i="7" s="1"/>
  <c r="AG608" i="7"/>
  <c r="AP608" i="7" s="1"/>
  <c r="AG609" i="7"/>
  <c r="AG610" i="7"/>
  <c r="AG611" i="7"/>
  <c r="AG612" i="7"/>
  <c r="AP612" i="7" s="1"/>
  <c r="AG613" i="7"/>
  <c r="AG614" i="7"/>
  <c r="AG615" i="7"/>
  <c r="AP615" i="7" s="1"/>
  <c r="AG616" i="7"/>
  <c r="AP616" i="7" s="1"/>
  <c r="AG617" i="7"/>
  <c r="AG618" i="7"/>
  <c r="AG619" i="7"/>
  <c r="AG620" i="7"/>
  <c r="AG621" i="7"/>
  <c r="AG622" i="7"/>
  <c r="AG623" i="7"/>
  <c r="AP623" i="7" s="1"/>
  <c r="AG624" i="7"/>
  <c r="AP624" i="7" s="1"/>
  <c r="AG625" i="7"/>
  <c r="AG626" i="7"/>
  <c r="AG627" i="7"/>
  <c r="AG628" i="7"/>
  <c r="AG629" i="7"/>
  <c r="AG630" i="7"/>
  <c r="AG631" i="7"/>
  <c r="AG632" i="7"/>
  <c r="AP632" i="7" s="1"/>
  <c r="AG633" i="7"/>
  <c r="AM633" i="7" s="1"/>
  <c r="AG634" i="7"/>
  <c r="AG635" i="7"/>
  <c r="AG636" i="7"/>
  <c r="AP636" i="7" s="1"/>
  <c r="AG637" i="7"/>
  <c r="AG638" i="7"/>
  <c r="AG639" i="7"/>
  <c r="AP639" i="7" s="1"/>
  <c r="AG640" i="7"/>
  <c r="AP640" i="7" s="1"/>
  <c r="AG641" i="7"/>
  <c r="AM641" i="7" s="1"/>
  <c r="AG642" i="7"/>
  <c r="AG643" i="7"/>
  <c r="AG644" i="7"/>
  <c r="AP644" i="7" s="1"/>
  <c r="AG645" i="7"/>
  <c r="AG646" i="7"/>
  <c r="AG647" i="7"/>
  <c r="AG648" i="7"/>
  <c r="AP648" i="7" s="1"/>
  <c r="AG649" i="7"/>
  <c r="AM649" i="7" s="1"/>
  <c r="AG650" i="7"/>
  <c r="AG651" i="7"/>
  <c r="AG652" i="7"/>
  <c r="AG653" i="7"/>
  <c r="AG654" i="7"/>
  <c r="AG655" i="7"/>
  <c r="AP655" i="7" s="1"/>
  <c r="AG656" i="7"/>
  <c r="AP656" i="7" s="1"/>
  <c r="AG657" i="7"/>
  <c r="AM657" i="7" s="1"/>
  <c r="AG658" i="7"/>
  <c r="AG659" i="7"/>
  <c r="AG660" i="7"/>
  <c r="AG661" i="7"/>
  <c r="AG662" i="7"/>
  <c r="AG663" i="7"/>
  <c r="AP663" i="7" s="1"/>
  <c r="AG664" i="7"/>
  <c r="AP664" i="7" s="1"/>
  <c r="AG665" i="7"/>
  <c r="AM665" i="7" s="1"/>
  <c r="AG666" i="7"/>
  <c r="AG667" i="7"/>
  <c r="AG668" i="7"/>
  <c r="AG669" i="7"/>
  <c r="AG670" i="7"/>
  <c r="AG671" i="7"/>
  <c r="AG672" i="7"/>
  <c r="AP672" i="7" s="1"/>
  <c r="AG673" i="7"/>
  <c r="AM673" i="7" s="1"/>
  <c r="AG674" i="7"/>
  <c r="AG675" i="7"/>
  <c r="AG676" i="7"/>
  <c r="AG677" i="7"/>
  <c r="AG678" i="7"/>
  <c r="AG679" i="7"/>
  <c r="AP679" i="7" s="1"/>
  <c r="AG680" i="7"/>
  <c r="AP680" i="7" s="1"/>
  <c r="AG681" i="7"/>
  <c r="AM681" i="7" s="1"/>
  <c r="AG682" i="7"/>
  <c r="AG683" i="7"/>
  <c r="AG684" i="7"/>
  <c r="AG685" i="7"/>
  <c r="AG686" i="7"/>
  <c r="AG687" i="7"/>
  <c r="AP687" i="7" s="1"/>
  <c r="AG688" i="7"/>
  <c r="AP688" i="7" s="1"/>
  <c r="AG689" i="7"/>
  <c r="AM689" i="7" s="1"/>
  <c r="AG690" i="7"/>
  <c r="AG691" i="7"/>
  <c r="AG692" i="7"/>
  <c r="AG693" i="7"/>
  <c r="AG694" i="7"/>
  <c r="AG695" i="7"/>
  <c r="AP695" i="7" s="1"/>
  <c r="AG696" i="7"/>
  <c r="AP696" i="7" s="1"/>
  <c r="AG697" i="7"/>
  <c r="AM697" i="7" s="1"/>
  <c r="AG698" i="7"/>
  <c r="AG699" i="7"/>
  <c r="AG700" i="7"/>
  <c r="AP700" i="7" s="1"/>
  <c r="AG701" i="7"/>
  <c r="AG702" i="7"/>
  <c r="AG703" i="7"/>
  <c r="AP703" i="7" s="1"/>
  <c r="AG704" i="7"/>
  <c r="AP704" i="7" s="1"/>
  <c r="AG705" i="7"/>
  <c r="AM705" i="7" s="1"/>
  <c r="AG706" i="7"/>
  <c r="AG707" i="7"/>
  <c r="AG708" i="7"/>
  <c r="AP708" i="7" s="1"/>
  <c r="AG709" i="7"/>
  <c r="AG710" i="7"/>
  <c r="AG711" i="7"/>
  <c r="AP711" i="7" s="1"/>
  <c r="AG712" i="7"/>
  <c r="AP712" i="7" s="1"/>
  <c r="AG713" i="7"/>
  <c r="AM713" i="7" s="1"/>
  <c r="AG714" i="7"/>
  <c r="AG715" i="7"/>
  <c r="AG716" i="7"/>
  <c r="AG717" i="7"/>
  <c r="AG718" i="7"/>
  <c r="AG719" i="7"/>
  <c r="AP719" i="7" s="1"/>
  <c r="AG720" i="7"/>
  <c r="AP720" i="7" s="1"/>
  <c r="AG721" i="7"/>
  <c r="AM721" i="7" s="1"/>
  <c r="AG722" i="7"/>
  <c r="AG723" i="7"/>
  <c r="AG724" i="7"/>
  <c r="AG725" i="7"/>
  <c r="AG726" i="7"/>
  <c r="AG727" i="7"/>
  <c r="AP727" i="7" s="1"/>
  <c r="AG728" i="7"/>
  <c r="AP728" i="7" s="1"/>
  <c r="AG729" i="7"/>
  <c r="AM729" i="7" s="1"/>
  <c r="AG730" i="7"/>
  <c r="AG731" i="7"/>
  <c r="AG732" i="7"/>
  <c r="AP732" i="7" s="1"/>
  <c r="AG733" i="7"/>
  <c r="AG734" i="7"/>
  <c r="AG735" i="7"/>
  <c r="AP735" i="7" s="1"/>
  <c r="AG736" i="7"/>
  <c r="AP736" i="7" s="1"/>
  <c r="AG737" i="7"/>
  <c r="AM737" i="7" s="1"/>
  <c r="AG738" i="7"/>
  <c r="AG739" i="7"/>
  <c r="AG740" i="7"/>
  <c r="AP740" i="7" s="1"/>
  <c r="AG741" i="7"/>
  <c r="AG742" i="7"/>
  <c r="AG743" i="7"/>
  <c r="AP743" i="7" s="1"/>
  <c r="AG744" i="7"/>
  <c r="AP744" i="7" s="1"/>
  <c r="AG745" i="7"/>
  <c r="AM745" i="7" s="1"/>
  <c r="AG746" i="7"/>
  <c r="AG747" i="7"/>
  <c r="AG748" i="7"/>
  <c r="AG749" i="7"/>
  <c r="AG750" i="7"/>
  <c r="AG751" i="7"/>
  <c r="AG752" i="7"/>
  <c r="AP752" i="7" s="1"/>
  <c r="AG753" i="7"/>
  <c r="AM753" i="7" s="1"/>
  <c r="AG754" i="7"/>
  <c r="AG755" i="7"/>
  <c r="AG756" i="7"/>
  <c r="AG757" i="7"/>
  <c r="AG758" i="7"/>
  <c r="AG759" i="7"/>
  <c r="AP759" i="7" s="1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I2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AI301" i="7"/>
  <c r="AI302" i="7"/>
  <c r="AI303" i="7"/>
  <c r="AI304" i="7"/>
  <c r="AI305" i="7"/>
  <c r="AI306" i="7"/>
  <c r="AI307" i="7"/>
  <c r="AI308" i="7"/>
  <c r="AI309" i="7"/>
  <c r="AI310" i="7"/>
  <c r="AI311" i="7"/>
  <c r="AI312" i="7"/>
  <c r="AI313" i="7"/>
  <c r="AI314" i="7"/>
  <c r="AI315" i="7"/>
  <c r="AI316" i="7"/>
  <c r="AI317" i="7"/>
  <c r="AI318" i="7"/>
  <c r="AI319" i="7"/>
  <c r="AI320" i="7"/>
  <c r="AI321" i="7"/>
  <c r="AI322" i="7"/>
  <c r="AI323" i="7"/>
  <c r="AI324" i="7"/>
  <c r="AI325" i="7"/>
  <c r="AI326" i="7"/>
  <c r="AI327" i="7"/>
  <c r="AI328" i="7"/>
  <c r="AI329" i="7"/>
  <c r="AI330" i="7"/>
  <c r="AI331" i="7"/>
  <c r="AI332" i="7"/>
  <c r="AI333" i="7"/>
  <c r="AI334" i="7"/>
  <c r="AI335" i="7"/>
  <c r="AI336" i="7"/>
  <c r="AI337" i="7"/>
  <c r="AI338" i="7"/>
  <c r="AI339" i="7"/>
  <c r="AI340" i="7"/>
  <c r="AI341" i="7"/>
  <c r="AI342" i="7"/>
  <c r="AI343" i="7"/>
  <c r="AI344" i="7"/>
  <c r="AI345" i="7"/>
  <c r="AI346" i="7"/>
  <c r="AI347" i="7"/>
  <c r="AI348" i="7"/>
  <c r="AI349" i="7"/>
  <c r="AI350" i="7"/>
  <c r="AI351" i="7"/>
  <c r="AI352" i="7"/>
  <c r="AI353" i="7"/>
  <c r="AI354" i="7"/>
  <c r="AI355" i="7"/>
  <c r="AI356" i="7"/>
  <c r="AI357" i="7"/>
  <c r="AI358" i="7"/>
  <c r="AI359" i="7"/>
  <c r="AI360" i="7"/>
  <c r="AI361" i="7"/>
  <c r="AI362" i="7"/>
  <c r="AI363" i="7"/>
  <c r="AI364" i="7"/>
  <c r="AI365" i="7"/>
  <c r="AI366" i="7"/>
  <c r="AI367" i="7"/>
  <c r="AI368" i="7"/>
  <c r="AI369" i="7"/>
  <c r="AI370" i="7"/>
  <c r="AI371" i="7"/>
  <c r="AI372" i="7"/>
  <c r="AI373" i="7"/>
  <c r="AI374" i="7"/>
  <c r="AI375" i="7"/>
  <c r="AI376" i="7"/>
  <c r="AI377" i="7"/>
  <c r="AI378" i="7"/>
  <c r="AI379" i="7"/>
  <c r="AI380" i="7"/>
  <c r="AI381" i="7"/>
  <c r="AI382" i="7"/>
  <c r="AI383" i="7"/>
  <c r="AI384" i="7"/>
  <c r="AI385" i="7"/>
  <c r="AI386" i="7"/>
  <c r="AI387" i="7"/>
  <c r="AI388" i="7"/>
  <c r="AI389" i="7"/>
  <c r="AI390" i="7"/>
  <c r="AI391" i="7"/>
  <c r="AI392" i="7"/>
  <c r="AI393" i="7"/>
  <c r="AI394" i="7"/>
  <c r="AI395" i="7"/>
  <c r="AI396" i="7"/>
  <c r="AI397" i="7"/>
  <c r="AI398" i="7"/>
  <c r="AI399" i="7"/>
  <c r="AI400" i="7"/>
  <c r="AI401" i="7"/>
  <c r="AI402" i="7"/>
  <c r="AI403" i="7"/>
  <c r="AI404" i="7"/>
  <c r="AI405" i="7"/>
  <c r="AI406" i="7"/>
  <c r="AI407" i="7"/>
  <c r="AI408" i="7"/>
  <c r="AI409" i="7"/>
  <c r="AI410" i="7"/>
  <c r="AI411" i="7"/>
  <c r="AI412" i="7"/>
  <c r="AI413" i="7"/>
  <c r="AI414" i="7"/>
  <c r="AI415" i="7"/>
  <c r="AI416" i="7"/>
  <c r="AI417" i="7"/>
  <c r="AI418" i="7"/>
  <c r="AI419" i="7"/>
  <c r="AI420" i="7"/>
  <c r="AI421" i="7"/>
  <c r="AI422" i="7"/>
  <c r="AI423" i="7"/>
  <c r="AI424" i="7"/>
  <c r="AI425" i="7"/>
  <c r="AI426" i="7"/>
  <c r="AI427" i="7"/>
  <c r="AI428" i="7"/>
  <c r="AI429" i="7"/>
  <c r="AI430" i="7"/>
  <c r="AI431" i="7"/>
  <c r="AI432" i="7"/>
  <c r="AI433" i="7"/>
  <c r="AI434" i="7"/>
  <c r="AI435" i="7"/>
  <c r="AI436" i="7"/>
  <c r="AI437" i="7"/>
  <c r="AI438" i="7"/>
  <c r="AI439" i="7"/>
  <c r="AI440" i="7"/>
  <c r="AI441" i="7"/>
  <c r="AI442" i="7"/>
  <c r="AI443" i="7"/>
  <c r="AI444" i="7"/>
  <c r="AI445" i="7"/>
  <c r="AI446" i="7"/>
  <c r="AI447" i="7"/>
  <c r="AI448" i="7"/>
  <c r="AI449" i="7"/>
  <c r="AI450" i="7"/>
  <c r="AI451" i="7"/>
  <c r="AI452" i="7"/>
  <c r="AI453" i="7"/>
  <c r="AI454" i="7"/>
  <c r="AI455" i="7"/>
  <c r="AI456" i="7"/>
  <c r="AI457" i="7"/>
  <c r="AI458" i="7"/>
  <c r="AI459" i="7"/>
  <c r="AI460" i="7"/>
  <c r="AI461" i="7"/>
  <c r="AI462" i="7"/>
  <c r="AI463" i="7"/>
  <c r="AI464" i="7"/>
  <c r="AI465" i="7"/>
  <c r="AI466" i="7"/>
  <c r="AI467" i="7"/>
  <c r="AI468" i="7"/>
  <c r="AI469" i="7"/>
  <c r="AI470" i="7"/>
  <c r="AI471" i="7"/>
  <c r="AI472" i="7"/>
  <c r="AI473" i="7"/>
  <c r="AI474" i="7"/>
  <c r="AI475" i="7"/>
  <c r="AI476" i="7"/>
  <c r="AI477" i="7"/>
  <c r="AI478" i="7"/>
  <c r="AI479" i="7"/>
  <c r="AI480" i="7"/>
  <c r="AI481" i="7"/>
  <c r="AI482" i="7"/>
  <c r="AI483" i="7"/>
  <c r="AI484" i="7"/>
  <c r="AI485" i="7"/>
  <c r="AI486" i="7"/>
  <c r="AI487" i="7"/>
  <c r="AI488" i="7"/>
  <c r="AI489" i="7"/>
  <c r="AI490" i="7"/>
  <c r="AI491" i="7"/>
  <c r="AI492" i="7"/>
  <c r="AI493" i="7"/>
  <c r="AI494" i="7"/>
  <c r="AI495" i="7"/>
  <c r="AI496" i="7"/>
  <c r="AI497" i="7"/>
  <c r="AI498" i="7"/>
  <c r="AI499" i="7"/>
  <c r="AI500" i="7"/>
  <c r="AI501" i="7"/>
  <c r="AI502" i="7"/>
  <c r="AI503" i="7"/>
  <c r="AI504" i="7"/>
  <c r="AI505" i="7"/>
  <c r="AI506" i="7"/>
  <c r="AI507" i="7"/>
  <c r="AI508" i="7"/>
  <c r="AI509" i="7"/>
  <c r="AI510" i="7"/>
  <c r="AI511" i="7"/>
  <c r="AI512" i="7"/>
  <c r="AI513" i="7"/>
  <c r="AI514" i="7"/>
  <c r="AI515" i="7"/>
  <c r="AI516" i="7"/>
  <c r="AI517" i="7"/>
  <c r="AI518" i="7"/>
  <c r="AI519" i="7"/>
  <c r="AI520" i="7"/>
  <c r="AI521" i="7"/>
  <c r="AI522" i="7"/>
  <c r="AI523" i="7"/>
  <c r="AI524" i="7"/>
  <c r="AI525" i="7"/>
  <c r="AI526" i="7"/>
  <c r="AI527" i="7"/>
  <c r="AI528" i="7"/>
  <c r="AI529" i="7"/>
  <c r="AI530" i="7"/>
  <c r="AI531" i="7"/>
  <c r="AI532" i="7"/>
  <c r="AI533" i="7"/>
  <c r="AI534" i="7"/>
  <c r="AI535" i="7"/>
  <c r="AI536" i="7"/>
  <c r="AI537" i="7"/>
  <c r="AI538" i="7"/>
  <c r="AI539" i="7"/>
  <c r="AI540" i="7"/>
  <c r="AI541" i="7"/>
  <c r="AI542" i="7"/>
  <c r="AI543" i="7"/>
  <c r="AI544" i="7"/>
  <c r="AI545" i="7"/>
  <c r="AI546" i="7"/>
  <c r="AI547" i="7"/>
  <c r="AI548" i="7"/>
  <c r="AI549" i="7"/>
  <c r="AI550" i="7"/>
  <c r="AI551" i="7"/>
  <c r="AI552" i="7"/>
  <c r="AI553" i="7"/>
  <c r="AI554" i="7"/>
  <c r="AI555" i="7"/>
  <c r="AI556" i="7"/>
  <c r="AI557" i="7"/>
  <c r="AI558" i="7"/>
  <c r="AI559" i="7"/>
  <c r="AI560" i="7"/>
  <c r="AI561" i="7"/>
  <c r="AI562" i="7"/>
  <c r="AI563" i="7"/>
  <c r="AI564" i="7"/>
  <c r="AI565" i="7"/>
  <c r="AI566" i="7"/>
  <c r="AI567" i="7"/>
  <c r="AI568" i="7"/>
  <c r="AI569" i="7"/>
  <c r="AI570" i="7"/>
  <c r="AI571" i="7"/>
  <c r="AI572" i="7"/>
  <c r="AI573" i="7"/>
  <c r="AI574" i="7"/>
  <c r="AI575" i="7"/>
  <c r="AI576" i="7"/>
  <c r="AI577" i="7"/>
  <c r="AI578" i="7"/>
  <c r="AI579" i="7"/>
  <c r="AI580" i="7"/>
  <c r="AI581" i="7"/>
  <c r="AI582" i="7"/>
  <c r="AI583" i="7"/>
  <c r="AI584" i="7"/>
  <c r="AI585" i="7"/>
  <c r="AI586" i="7"/>
  <c r="AI587" i="7"/>
  <c r="AI588" i="7"/>
  <c r="AI589" i="7"/>
  <c r="AI590" i="7"/>
  <c r="AI591" i="7"/>
  <c r="AI592" i="7"/>
  <c r="AI593" i="7"/>
  <c r="AI594" i="7"/>
  <c r="AI595" i="7"/>
  <c r="AI596" i="7"/>
  <c r="AI597" i="7"/>
  <c r="AI598" i="7"/>
  <c r="AI599" i="7"/>
  <c r="AI600" i="7"/>
  <c r="AI601" i="7"/>
  <c r="AI602" i="7"/>
  <c r="AI603" i="7"/>
  <c r="AI604" i="7"/>
  <c r="AI605" i="7"/>
  <c r="AI606" i="7"/>
  <c r="AI607" i="7"/>
  <c r="AI608" i="7"/>
  <c r="AI609" i="7"/>
  <c r="AI610" i="7"/>
  <c r="AI611" i="7"/>
  <c r="AI612" i="7"/>
  <c r="AI613" i="7"/>
  <c r="AI614" i="7"/>
  <c r="AI615" i="7"/>
  <c r="AI616" i="7"/>
  <c r="AI617" i="7"/>
  <c r="AI618" i="7"/>
  <c r="AI619" i="7"/>
  <c r="AI620" i="7"/>
  <c r="AI621" i="7"/>
  <c r="AI622" i="7"/>
  <c r="AI623" i="7"/>
  <c r="AI624" i="7"/>
  <c r="AI625" i="7"/>
  <c r="AI626" i="7"/>
  <c r="AI627" i="7"/>
  <c r="AI628" i="7"/>
  <c r="AI629" i="7"/>
  <c r="AI630" i="7"/>
  <c r="AI631" i="7"/>
  <c r="AI632" i="7"/>
  <c r="AI633" i="7"/>
  <c r="AI634" i="7"/>
  <c r="AI635" i="7"/>
  <c r="AI636" i="7"/>
  <c r="AI637" i="7"/>
  <c r="AI638" i="7"/>
  <c r="AI639" i="7"/>
  <c r="AI640" i="7"/>
  <c r="AI641" i="7"/>
  <c r="AI642" i="7"/>
  <c r="AI643" i="7"/>
  <c r="AI644" i="7"/>
  <c r="AI645" i="7"/>
  <c r="AI646" i="7"/>
  <c r="AI647" i="7"/>
  <c r="AI648" i="7"/>
  <c r="AI649" i="7"/>
  <c r="AI650" i="7"/>
  <c r="AI651" i="7"/>
  <c r="AI652" i="7"/>
  <c r="AI653" i="7"/>
  <c r="AI654" i="7"/>
  <c r="AI655" i="7"/>
  <c r="AI656" i="7"/>
  <c r="AI657" i="7"/>
  <c r="AI658" i="7"/>
  <c r="AI659" i="7"/>
  <c r="AI660" i="7"/>
  <c r="AI661" i="7"/>
  <c r="AI662" i="7"/>
  <c r="AI663" i="7"/>
  <c r="AI664" i="7"/>
  <c r="AI665" i="7"/>
  <c r="AI666" i="7"/>
  <c r="AI667" i="7"/>
  <c r="AI668" i="7"/>
  <c r="AI669" i="7"/>
  <c r="AI670" i="7"/>
  <c r="AI671" i="7"/>
  <c r="AI672" i="7"/>
  <c r="AI673" i="7"/>
  <c r="AI674" i="7"/>
  <c r="AI675" i="7"/>
  <c r="AI676" i="7"/>
  <c r="AI677" i="7"/>
  <c r="AI678" i="7"/>
  <c r="AI679" i="7"/>
  <c r="AI680" i="7"/>
  <c r="AI681" i="7"/>
  <c r="AI682" i="7"/>
  <c r="AI683" i="7"/>
  <c r="AI684" i="7"/>
  <c r="AI685" i="7"/>
  <c r="AI686" i="7"/>
  <c r="AI687" i="7"/>
  <c r="AI688" i="7"/>
  <c r="AI689" i="7"/>
  <c r="AI690" i="7"/>
  <c r="AI691" i="7"/>
  <c r="AI692" i="7"/>
  <c r="AI693" i="7"/>
  <c r="AI694" i="7"/>
  <c r="AI695" i="7"/>
  <c r="AI696" i="7"/>
  <c r="AI697" i="7"/>
  <c r="AI698" i="7"/>
  <c r="AI699" i="7"/>
  <c r="AI700" i="7"/>
  <c r="AI701" i="7"/>
  <c r="AI702" i="7"/>
  <c r="AI703" i="7"/>
  <c r="AI704" i="7"/>
  <c r="AI705" i="7"/>
  <c r="AI706" i="7"/>
  <c r="AI707" i="7"/>
  <c r="AI708" i="7"/>
  <c r="AI709" i="7"/>
  <c r="AI710" i="7"/>
  <c r="AI711" i="7"/>
  <c r="AI712" i="7"/>
  <c r="AI713" i="7"/>
  <c r="AI714" i="7"/>
  <c r="AI715" i="7"/>
  <c r="AI716" i="7"/>
  <c r="AI717" i="7"/>
  <c r="AI718" i="7"/>
  <c r="AI719" i="7"/>
  <c r="AI720" i="7"/>
  <c r="AI721" i="7"/>
  <c r="AI722" i="7"/>
  <c r="AI723" i="7"/>
  <c r="AI724" i="7"/>
  <c r="AI725" i="7"/>
  <c r="AI726" i="7"/>
  <c r="AI727" i="7"/>
  <c r="AI728" i="7"/>
  <c r="AI729" i="7"/>
  <c r="AI730" i="7"/>
  <c r="AI731" i="7"/>
  <c r="AI732" i="7"/>
  <c r="AI733" i="7"/>
  <c r="AI734" i="7"/>
  <c r="AI735" i="7"/>
  <c r="AI736" i="7"/>
  <c r="AI737" i="7"/>
  <c r="AI738" i="7"/>
  <c r="AI739" i="7"/>
  <c r="AI740" i="7"/>
  <c r="AI741" i="7"/>
  <c r="AI742" i="7"/>
  <c r="AI743" i="7"/>
  <c r="AI744" i="7"/>
  <c r="AI745" i="7"/>
  <c r="AI746" i="7"/>
  <c r="AI747" i="7"/>
  <c r="AI748" i="7"/>
  <c r="AI749" i="7"/>
  <c r="AI750" i="7"/>
  <c r="AI751" i="7"/>
  <c r="AI752" i="7"/>
  <c r="AI753" i="7"/>
  <c r="AI754" i="7"/>
  <c r="AI755" i="7"/>
  <c r="AI756" i="7"/>
  <c r="AI757" i="7"/>
  <c r="AI758" i="7"/>
  <c r="AI759" i="7"/>
  <c r="AJ2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137" i="7"/>
  <c r="AJ138" i="7"/>
  <c r="AJ139" i="7"/>
  <c r="AJ140" i="7"/>
  <c r="AJ141" i="7"/>
  <c r="AJ142" i="7"/>
  <c r="AJ143" i="7"/>
  <c r="AJ144" i="7"/>
  <c r="AJ145" i="7"/>
  <c r="AJ146" i="7"/>
  <c r="AJ147" i="7"/>
  <c r="AJ148" i="7"/>
  <c r="AJ149" i="7"/>
  <c r="AJ150" i="7"/>
  <c r="AJ151" i="7"/>
  <c r="AJ152" i="7"/>
  <c r="AJ153" i="7"/>
  <c r="AJ154" i="7"/>
  <c r="AJ155" i="7"/>
  <c r="AJ156" i="7"/>
  <c r="AJ157" i="7"/>
  <c r="AJ158" i="7"/>
  <c r="AJ159" i="7"/>
  <c r="AJ160" i="7"/>
  <c r="AJ161" i="7"/>
  <c r="AJ162" i="7"/>
  <c r="AJ163" i="7"/>
  <c r="AJ164" i="7"/>
  <c r="AJ165" i="7"/>
  <c r="AJ166" i="7"/>
  <c r="AJ167" i="7"/>
  <c r="AJ168" i="7"/>
  <c r="AJ169" i="7"/>
  <c r="AJ170" i="7"/>
  <c r="AJ171" i="7"/>
  <c r="AJ172" i="7"/>
  <c r="AJ173" i="7"/>
  <c r="AJ174" i="7"/>
  <c r="AJ175" i="7"/>
  <c r="AJ176" i="7"/>
  <c r="AJ177" i="7"/>
  <c r="AJ178" i="7"/>
  <c r="AJ179" i="7"/>
  <c r="AJ180" i="7"/>
  <c r="AJ181" i="7"/>
  <c r="AJ182" i="7"/>
  <c r="AJ183" i="7"/>
  <c r="AJ184" i="7"/>
  <c r="AJ185" i="7"/>
  <c r="AJ186" i="7"/>
  <c r="AJ187" i="7"/>
  <c r="AJ188" i="7"/>
  <c r="AJ189" i="7"/>
  <c r="AJ190" i="7"/>
  <c r="AJ191" i="7"/>
  <c r="AJ192" i="7"/>
  <c r="AJ193" i="7"/>
  <c r="AJ194" i="7"/>
  <c r="AJ195" i="7"/>
  <c r="AJ196" i="7"/>
  <c r="AJ197" i="7"/>
  <c r="AJ198" i="7"/>
  <c r="AJ199" i="7"/>
  <c r="AJ200" i="7"/>
  <c r="AJ201" i="7"/>
  <c r="AJ202" i="7"/>
  <c r="AJ203" i="7"/>
  <c r="AJ204" i="7"/>
  <c r="AJ205" i="7"/>
  <c r="AJ206" i="7"/>
  <c r="AJ207" i="7"/>
  <c r="AJ208" i="7"/>
  <c r="AJ209" i="7"/>
  <c r="AJ210" i="7"/>
  <c r="AJ211" i="7"/>
  <c r="AJ212" i="7"/>
  <c r="AJ213" i="7"/>
  <c r="AJ214" i="7"/>
  <c r="AJ215" i="7"/>
  <c r="AJ216" i="7"/>
  <c r="AJ217" i="7"/>
  <c r="AJ218" i="7"/>
  <c r="AJ219" i="7"/>
  <c r="AJ220" i="7"/>
  <c r="AJ221" i="7"/>
  <c r="AJ222" i="7"/>
  <c r="AJ223" i="7"/>
  <c r="AJ224" i="7"/>
  <c r="AJ225" i="7"/>
  <c r="AJ226" i="7"/>
  <c r="AJ227" i="7"/>
  <c r="AJ228" i="7"/>
  <c r="AJ229" i="7"/>
  <c r="AJ230" i="7"/>
  <c r="AJ231" i="7"/>
  <c r="AJ232" i="7"/>
  <c r="AJ233" i="7"/>
  <c r="AJ234" i="7"/>
  <c r="AJ235" i="7"/>
  <c r="AJ236" i="7"/>
  <c r="AJ237" i="7"/>
  <c r="AJ238" i="7"/>
  <c r="AJ239" i="7"/>
  <c r="AJ240" i="7"/>
  <c r="AJ241" i="7"/>
  <c r="AJ242" i="7"/>
  <c r="AJ243" i="7"/>
  <c r="AJ244" i="7"/>
  <c r="AJ245" i="7"/>
  <c r="AJ246" i="7"/>
  <c r="AJ247" i="7"/>
  <c r="AJ248" i="7"/>
  <c r="AJ249" i="7"/>
  <c r="AJ250" i="7"/>
  <c r="AJ251" i="7"/>
  <c r="AJ252" i="7"/>
  <c r="AJ253" i="7"/>
  <c r="AJ254" i="7"/>
  <c r="AJ255" i="7"/>
  <c r="AJ256" i="7"/>
  <c r="AJ257" i="7"/>
  <c r="AJ258" i="7"/>
  <c r="AJ259" i="7"/>
  <c r="AJ260" i="7"/>
  <c r="AJ261" i="7"/>
  <c r="AJ262" i="7"/>
  <c r="AJ263" i="7"/>
  <c r="AJ264" i="7"/>
  <c r="AJ265" i="7"/>
  <c r="AJ266" i="7"/>
  <c r="AJ267" i="7"/>
  <c r="AJ268" i="7"/>
  <c r="AJ269" i="7"/>
  <c r="AJ270" i="7"/>
  <c r="AJ271" i="7"/>
  <c r="AJ272" i="7"/>
  <c r="AJ273" i="7"/>
  <c r="AJ274" i="7"/>
  <c r="AJ275" i="7"/>
  <c r="AJ276" i="7"/>
  <c r="AJ277" i="7"/>
  <c r="AJ278" i="7"/>
  <c r="AJ279" i="7"/>
  <c r="AJ280" i="7"/>
  <c r="AJ281" i="7"/>
  <c r="AJ282" i="7"/>
  <c r="AJ283" i="7"/>
  <c r="AJ284" i="7"/>
  <c r="AJ285" i="7"/>
  <c r="AJ286" i="7"/>
  <c r="AJ287" i="7"/>
  <c r="AJ288" i="7"/>
  <c r="AJ289" i="7"/>
  <c r="AJ290" i="7"/>
  <c r="AJ291" i="7"/>
  <c r="AJ292" i="7"/>
  <c r="AJ293" i="7"/>
  <c r="AJ294" i="7"/>
  <c r="AJ295" i="7"/>
  <c r="AJ296" i="7"/>
  <c r="AJ297" i="7"/>
  <c r="AJ298" i="7"/>
  <c r="AJ299" i="7"/>
  <c r="AJ300" i="7"/>
  <c r="AJ301" i="7"/>
  <c r="AJ302" i="7"/>
  <c r="AJ303" i="7"/>
  <c r="AJ304" i="7"/>
  <c r="AJ305" i="7"/>
  <c r="AJ306" i="7"/>
  <c r="AJ307" i="7"/>
  <c r="AJ308" i="7"/>
  <c r="AJ309" i="7"/>
  <c r="AJ310" i="7"/>
  <c r="AJ311" i="7"/>
  <c r="AJ312" i="7"/>
  <c r="AJ313" i="7"/>
  <c r="AJ314" i="7"/>
  <c r="AJ315" i="7"/>
  <c r="AJ316" i="7"/>
  <c r="AJ317" i="7"/>
  <c r="AJ318" i="7"/>
  <c r="AJ319" i="7"/>
  <c r="AJ320" i="7"/>
  <c r="AJ321" i="7"/>
  <c r="AJ322" i="7"/>
  <c r="AJ323" i="7"/>
  <c r="AJ324" i="7"/>
  <c r="AJ325" i="7"/>
  <c r="AJ326" i="7"/>
  <c r="AJ327" i="7"/>
  <c r="AJ328" i="7"/>
  <c r="AJ329" i="7"/>
  <c r="AJ330" i="7"/>
  <c r="AJ331" i="7"/>
  <c r="AJ332" i="7"/>
  <c r="AJ333" i="7"/>
  <c r="AJ334" i="7"/>
  <c r="AJ335" i="7"/>
  <c r="AJ336" i="7"/>
  <c r="AJ337" i="7"/>
  <c r="AJ338" i="7"/>
  <c r="AJ339" i="7"/>
  <c r="AJ340" i="7"/>
  <c r="AJ341" i="7"/>
  <c r="AJ342" i="7"/>
  <c r="AJ343" i="7"/>
  <c r="AJ344" i="7"/>
  <c r="AJ345" i="7"/>
  <c r="AJ346" i="7"/>
  <c r="AJ347" i="7"/>
  <c r="AJ348" i="7"/>
  <c r="AJ349" i="7"/>
  <c r="AJ350" i="7"/>
  <c r="AJ351" i="7"/>
  <c r="AJ352" i="7"/>
  <c r="AJ353" i="7"/>
  <c r="AJ354" i="7"/>
  <c r="AJ355" i="7"/>
  <c r="AJ356" i="7"/>
  <c r="AJ357" i="7"/>
  <c r="AJ358" i="7"/>
  <c r="AJ359" i="7"/>
  <c r="AJ360" i="7"/>
  <c r="AJ361" i="7"/>
  <c r="AJ362" i="7"/>
  <c r="AJ363" i="7"/>
  <c r="AJ364" i="7"/>
  <c r="AJ365" i="7"/>
  <c r="AJ366" i="7"/>
  <c r="AJ367" i="7"/>
  <c r="AJ368" i="7"/>
  <c r="AJ369" i="7"/>
  <c r="AJ370" i="7"/>
  <c r="AJ371" i="7"/>
  <c r="AJ372" i="7"/>
  <c r="AJ373" i="7"/>
  <c r="AJ374" i="7"/>
  <c r="AJ375" i="7"/>
  <c r="AJ376" i="7"/>
  <c r="AJ377" i="7"/>
  <c r="AJ378" i="7"/>
  <c r="AJ379" i="7"/>
  <c r="AJ380" i="7"/>
  <c r="AJ381" i="7"/>
  <c r="AJ382" i="7"/>
  <c r="AJ383" i="7"/>
  <c r="AJ384" i="7"/>
  <c r="AJ385" i="7"/>
  <c r="AJ386" i="7"/>
  <c r="AJ387" i="7"/>
  <c r="AJ388" i="7"/>
  <c r="AJ389" i="7"/>
  <c r="AJ390" i="7"/>
  <c r="AJ391" i="7"/>
  <c r="AJ392" i="7"/>
  <c r="AJ393" i="7"/>
  <c r="AJ394" i="7"/>
  <c r="AJ395" i="7"/>
  <c r="AJ396" i="7"/>
  <c r="AJ397" i="7"/>
  <c r="AJ398" i="7"/>
  <c r="AJ399" i="7"/>
  <c r="AJ400" i="7"/>
  <c r="AJ401" i="7"/>
  <c r="AJ402" i="7"/>
  <c r="AJ403" i="7"/>
  <c r="AJ404" i="7"/>
  <c r="AJ405" i="7"/>
  <c r="AJ406" i="7"/>
  <c r="AJ407" i="7"/>
  <c r="AJ408" i="7"/>
  <c r="AJ409" i="7"/>
  <c r="AJ410" i="7"/>
  <c r="AJ411" i="7"/>
  <c r="AJ412" i="7"/>
  <c r="AJ413" i="7"/>
  <c r="AJ414" i="7"/>
  <c r="AJ415" i="7"/>
  <c r="AJ416" i="7"/>
  <c r="AJ417" i="7"/>
  <c r="AJ418" i="7"/>
  <c r="AJ419" i="7"/>
  <c r="AJ420" i="7"/>
  <c r="AJ421" i="7"/>
  <c r="AJ422" i="7"/>
  <c r="AJ423" i="7"/>
  <c r="AJ424" i="7"/>
  <c r="AJ425" i="7"/>
  <c r="AJ426" i="7"/>
  <c r="AJ427" i="7"/>
  <c r="AJ428" i="7"/>
  <c r="AJ429" i="7"/>
  <c r="AJ430" i="7"/>
  <c r="AJ431" i="7"/>
  <c r="AJ432" i="7"/>
  <c r="AJ433" i="7"/>
  <c r="AJ434" i="7"/>
  <c r="AJ435" i="7"/>
  <c r="AJ436" i="7"/>
  <c r="AJ437" i="7"/>
  <c r="AJ438" i="7"/>
  <c r="AJ439" i="7"/>
  <c r="AJ440" i="7"/>
  <c r="AJ441" i="7"/>
  <c r="AJ442" i="7"/>
  <c r="AJ443" i="7"/>
  <c r="AJ444" i="7"/>
  <c r="AJ445" i="7"/>
  <c r="AJ446" i="7"/>
  <c r="AJ447" i="7"/>
  <c r="AJ448" i="7"/>
  <c r="AJ449" i="7"/>
  <c r="AJ450" i="7"/>
  <c r="AJ451" i="7"/>
  <c r="AJ452" i="7"/>
  <c r="AJ453" i="7"/>
  <c r="AJ454" i="7"/>
  <c r="AJ455" i="7"/>
  <c r="AJ456" i="7"/>
  <c r="AJ457" i="7"/>
  <c r="AJ458" i="7"/>
  <c r="AJ459" i="7"/>
  <c r="AJ460" i="7"/>
  <c r="AJ461" i="7"/>
  <c r="AJ462" i="7"/>
  <c r="AJ463" i="7"/>
  <c r="AJ464" i="7"/>
  <c r="AJ465" i="7"/>
  <c r="AJ466" i="7"/>
  <c r="AJ467" i="7"/>
  <c r="AJ468" i="7"/>
  <c r="AJ469" i="7"/>
  <c r="AJ470" i="7"/>
  <c r="AJ471" i="7"/>
  <c r="AJ472" i="7"/>
  <c r="AJ473" i="7"/>
  <c r="AJ474" i="7"/>
  <c r="AJ475" i="7"/>
  <c r="AJ476" i="7"/>
  <c r="AJ477" i="7"/>
  <c r="AJ478" i="7"/>
  <c r="AJ479" i="7"/>
  <c r="AJ480" i="7"/>
  <c r="AJ481" i="7"/>
  <c r="AJ482" i="7"/>
  <c r="AJ483" i="7"/>
  <c r="AJ484" i="7"/>
  <c r="AJ485" i="7"/>
  <c r="AJ486" i="7"/>
  <c r="AJ487" i="7"/>
  <c r="AJ488" i="7"/>
  <c r="AJ489" i="7"/>
  <c r="AJ490" i="7"/>
  <c r="AJ491" i="7"/>
  <c r="AJ492" i="7"/>
  <c r="AJ493" i="7"/>
  <c r="AJ494" i="7"/>
  <c r="AJ495" i="7"/>
  <c r="AJ496" i="7"/>
  <c r="AJ497" i="7"/>
  <c r="AJ498" i="7"/>
  <c r="AJ499" i="7"/>
  <c r="AJ500" i="7"/>
  <c r="AJ501" i="7"/>
  <c r="AJ502" i="7"/>
  <c r="AJ503" i="7"/>
  <c r="AJ504" i="7"/>
  <c r="AJ505" i="7"/>
  <c r="AJ506" i="7"/>
  <c r="AJ507" i="7"/>
  <c r="AJ508" i="7"/>
  <c r="AJ509" i="7"/>
  <c r="AJ510" i="7"/>
  <c r="AJ511" i="7"/>
  <c r="AJ512" i="7"/>
  <c r="AJ513" i="7"/>
  <c r="AJ514" i="7"/>
  <c r="AJ515" i="7"/>
  <c r="AJ516" i="7"/>
  <c r="AJ517" i="7"/>
  <c r="AJ518" i="7"/>
  <c r="AJ519" i="7"/>
  <c r="AJ520" i="7"/>
  <c r="AJ521" i="7"/>
  <c r="AJ522" i="7"/>
  <c r="AJ523" i="7"/>
  <c r="AJ524" i="7"/>
  <c r="AJ525" i="7"/>
  <c r="AJ526" i="7"/>
  <c r="AJ527" i="7"/>
  <c r="AJ528" i="7"/>
  <c r="AJ529" i="7"/>
  <c r="AJ530" i="7"/>
  <c r="AJ531" i="7"/>
  <c r="AJ532" i="7"/>
  <c r="AJ533" i="7"/>
  <c r="AJ534" i="7"/>
  <c r="AJ535" i="7"/>
  <c r="AJ536" i="7"/>
  <c r="AJ537" i="7"/>
  <c r="AJ538" i="7"/>
  <c r="AJ539" i="7"/>
  <c r="AJ540" i="7"/>
  <c r="AJ541" i="7"/>
  <c r="AJ542" i="7"/>
  <c r="AJ543" i="7"/>
  <c r="AJ544" i="7"/>
  <c r="AJ545" i="7"/>
  <c r="AJ546" i="7"/>
  <c r="AJ547" i="7"/>
  <c r="AJ548" i="7"/>
  <c r="AJ549" i="7"/>
  <c r="AJ550" i="7"/>
  <c r="AJ551" i="7"/>
  <c r="AJ552" i="7"/>
  <c r="AJ553" i="7"/>
  <c r="AJ554" i="7"/>
  <c r="AJ555" i="7"/>
  <c r="AJ556" i="7"/>
  <c r="AJ557" i="7"/>
  <c r="AJ558" i="7"/>
  <c r="AJ559" i="7"/>
  <c r="AJ560" i="7"/>
  <c r="AJ561" i="7"/>
  <c r="AJ562" i="7"/>
  <c r="AJ563" i="7"/>
  <c r="AJ564" i="7"/>
  <c r="AJ565" i="7"/>
  <c r="AJ566" i="7"/>
  <c r="AJ567" i="7"/>
  <c r="AJ568" i="7"/>
  <c r="AJ569" i="7"/>
  <c r="AJ570" i="7"/>
  <c r="AJ571" i="7"/>
  <c r="AJ572" i="7"/>
  <c r="AJ573" i="7"/>
  <c r="AJ574" i="7"/>
  <c r="AJ575" i="7"/>
  <c r="AJ576" i="7"/>
  <c r="AJ577" i="7"/>
  <c r="AJ578" i="7"/>
  <c r="AJ579" i="7"/>
  <c r="AJ580" i="7"/>
  <c r="AJ581" i="7"/>
  <c r="AJ582" i="7"/>
  <c r="AJ583" i="7"/>
  <c r="AJ584" i="7"/>
  <c r="AJ585" i="7"/>
  <c r="AJ586" i="7"/>
  <c r="AJ587" i="7"/>
  <c r="AJ588" i="7"/>
  <c r="AJ589" i="7"/>
  <c r="AJ590" i="7"/>
  <c r="AJ591" i="7"/>
  <c r="AJ592" i="7"/>
  <c r="AJ593" i="7"/>
  <c r="AJ594" i="7"/>
  <c r="AJ595" i="7"/>
  <c r="AJ596" i="7"/>
  <c r="AJ597" i="7"/>
  <c r="AJ598" i="7"/>
  <c r="AJ599" i="7"/>
  <c r="AJ600" i="7"/>
  <c r="AJ601" i="7"/>
  <c r="AJ602" i="7"/>
  <c r="AJ603" i="7"/>
  <c r="AJ604" i="7"/>
  <c r="AJ605" i="7"/>
  <c r="AJ606" i="7"/>
  <c r="AJ607" i="7"/>
  <c r="AJ608" i="7"/>
  <c r="AJ609" i="7"/>
  <c r="AJ610" i="7"/>
  <c r="AJ611" i="7"/>
  <c r="AJ612" i="7"/>
  <c r="AJ613" i="7"/>
  <c r="AJ614" i="7"/>
  <c r="AJ615" i="7"/>
  <c r="AJ616" i="7"/>
  <c r="AJ617" i="7"/>
  <c r="AJ618" i="7"/>
  <c r="AJ619" i="7"/>
  <c r="AJ620" i="7"/>
  <c r="AJ621" i="7"/>
  <c r="AJ622" i="7"/>
  <c r="AJ623" i="7"/>
  <c r="AJ624" i="7"/>
  <c r="AJ625" i="7"/>
  <c r="AJ626" i="7"/>
  <c r="AJ627" i="7"/>
  <c r="AJ628" i="7"/>
  <c r="AJ629" i="7"/>
  <c r="AJ630" i="7"/>
  <c r="AJ631" i="7"/>
  <c r="AJ632" i="7"/>
  <c r="AJ633" i="7"/>
  <c r="AJ634" i="7"/>
  <c r="AJ635" i="7"/>
  <c r="AJ636" i="7"/>
  <c r="AJ637" i="7"/>
  <c r="AJ638" i="7"/>
  <c r="AJ639" i="7"/>
  <c r="AJ640" i="7"/>
  <c r="AJ641" i="7"/>
  <c r="AJ642" i="7"/>
  <c r="AJ643" i="7"/>
  <c r="AJ644" i="7"/>
  <c r="AJ645" i="7"/>
  <c r="AJ646" i="7"/>
  <c r="AJ647" i="7"/>
  <c r="AJ648" i="7"/>
  <c r="AJ649" i="7"/>
  <c r="AJ650" i="7"/>
  <c r="AJ651" i="7"/>
  <c r="AJ652" i="7"/>
  <c r="AJ653" i="7"/>
  <c r="AJ654" i="7"/>
  <c r="AJ655" i="7"/>
  <c r="AJ656" i="7"/>
  <c r="AJ657" i="7"/>
  <c r="AJ658" i="7"/>
  <c r="AJ659" i="7"/>
  <c r="AJ660" i="7"/>
  <c r="AJ661" i="7"/>
  <c r="AJ662" i="7"/>
  <c r="AJ663" i="7"/>
  <c r="AJ664" i="7"/>
  <c r="AJ665" i="7"/>
  <c r="AJ666" i="7"/>
  <c r="AJ667" i="7"/>
  <c r="AJ668" i="7"/>
  <c r="AJ669" i="7"/>
  <c r="AJ670" i="7"/>
  <c r="AJ671" i="7"/>
  <c r="AJ672" i="7"/>
  <c r="AJ673" i="7"/>
  <c r="AJ674" i="7"/>
  <c r="AJ675" i="7"/>
  <c r="AJ676" i="7"/>
  <c r="AJ677" i="7"/>
  <c r="AJ678" i="7"/>
  <c r="AJ679" i="7"/>
  <c r="AJ680" i="7"/>
  <c r="AJ681" i="7"/>
  <c r="AJ682" i="7"/>
  <c r="AJ683" i="7"/>
  <c r="AJ684" i="7"/>
  <c r="AJ685" i="7"/>
  <c r="AJ686" i="7"/>
  <c r="AJ687" i="7"/>
  <c r="AJ688" i="7"/>
  <c r="AJ689" i="7"/>
  <c r="AJ690" i="7"/>
  <c r="AJ691" i="7"/>
  <c r="AJ692" i="7"/>
  <c r="AJ693" i="7"/>
  <c r="AJ694" i="7"/>
  <c r="AJ695" i="7"/>
  <c r="AJ696" i="7"/>
  <c r="AJ697" i="7"/>
  <c r="AJ698" i="7"/>
  <c r="AJ699" i="7"/>
  <c r="AJ700" i="7"/>
  <c r="AJ701" i="7"/>
  <c r="AJ702" i="7"/>
  <c r="AJ703" i="7"/>
  <c r="AJ704" i="7"/>
  <c r="AJ705" i="7"/>
  <c r="AJ706" i="7"/>
  <c r="AJ707" i="7"/>
  <c r="AJ708" i="7"/>
  <c r="AJ709" i="7"/>
  <c r="AJ710" i="7"/>
  <c r="AJ711" i="7"/>
  <c r="AJ712" i="7"/>
  <c r="AJ713" i="7"/>
  <c r="AJ714" i="7"/>
  <c r="AJ715" i="7"/>
  <c r="AJ716" i="7"/>
  <c r="AJ717" i="7"/>
  <c r="AJ718" i="7"/>
  <c r="AJ719" i="7"/>
  <c r="AJ720" i="7"/>
  <c r="AJ721" i="7"/>
  <c r="AJ722" i="7"/>
  <c r="AJ723" i="7"/>
  <c r="AJ724" i="7"/>
  <c r="AJ725" i="7"/>
  <c r="AJ726" i="7"/>
  <c r="AJ727" i="7"/>
  <c r="AJ728" i="7"/>
  <c r="AJ729" i="7"/>
  <c r="AJ730" i="7"/>
  <c r="AJ731" i="7"/>
  <c r="AJ732" i="7"/>
  <c r="AJ733" i="7"/>
  <c r="AJ734" i="7"/>
  <c r="AJ735" i="7"/>
  <c r="AJ736" i="7"/>
  <c r="AJ737" i="7"/>
  <c r="AJ738" i="7"/>
  <c r="AJ739" i="7"/>
  <c r="AJ740" i="7"/>
  <c r="AJ741" i="7"/>
  <c r="AJ742" i="7"/>
  <c r="AJ743" i="7"/>
  <c r="AJ744" i="7"/>
  <c r="AJ745" i="7"/>
  <c r="AJ746" i="7"/>
  <c r="AJ747" i="7"/>
  <c r="AJ748" i="7"/>
  <c r="AJ749" i="7"/>
  <c r="AJ750" i="7"/>
  <c r="AJ751" i="7"/>
  <c r="AJ752" i="7"/>
  <c r="AJ753" i="7"/>
  <c r="AJ754" i="7"/>
  <c r="AJ755" i="7"/>
  <c r="AJ756" i="7"/>
  <c r="AJ757" i="7"/>
  <c r="AJ758" i="7"/>
  <c r="AJ759" i="7"/>
  <c r="H11" i="5" s="1"/>
  <c r="AK2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K111" i="7"/>
  <c r="AK112" i="7"/>
  <c r="AK113" i="7"/>
  <c r="AK114" i="7"/>
  <c r="AK115" i="7"/>
  <c r="AK116" i="7"/>
  <c r="AK117" i="7"/>
  <c r="AK118" i="7"/>
  <c r="AK119" i="7"/>
  <c r="AK120" i="7"/>
  <c r="AK121" i="7"/>
  <c r="AK122" i="7"/>
  <c r="AK123" i="7"/>
  <c r="AK124" i="7"/>
  <c r="AK125" i="7"/>
  <c r="AK126" i="7"/>
  <c r="AK127" i="7"/>
  <c r="AK128" i="7"/>
  <c r="AK129" i="7"/>
  <c r="AK130" i="7"/>
  <c r="AK131" i="7"/>
  <c r="AK132" i="7"/>
  <c r="AK133" i="7"/>
  <c r="AK134" i="7"/>
  <c r="AK135" i="7"/>
  <c r="AK136" i="7"/>
  <c r="AK137" i="7"/>
  <c r="AK138" i="7"/>
  <c r="AK139" i="7"/>
  <c r="AK140" i="7"/>
  <c r="AK141" i="7"/>
  <c r="AK142" i="7"/>
  <c r="AK143" i="7"/>
  <c r="AK144" i="7"/>
  <c r="AK145" i="7"/>
  <c r="AK146" i="7"/>
  <c r="AK147" i="7"/>
  <c r="AK148" i="7"/>
  <c r="AK149" i="7"/>
  <c r="AK150" i="7"/>
  <c r="AK151" i="7"/>
  <c r="AK152" i="7"/>
  <c r="AK153" i="7"/>
  <c r="AK154" i="7"/>
  <c r="AK155" i="7"/>
  <c r="AK156" i="7"/>
  <c r="AK157" i="7"/>
  <c r="AK158" i="7"/>
  <c r="AK159" i="7"/>
  <c r="AK160" i="7"/>
  <c r="AK161" i="7"/>
  <c r="AK162" i="7"/>
  <c r="AK163" i="7"/>
  <c r="AK164" i="7"/>
  <c r="AK165" i="7"/>
  <c r="AK166" i="7"/>
  <c r="AK167" i="7"/>
  <c r="AK168" i="7"/>
  <c r="AK169" i="7"/>
  <c r="AK170" i="7"/>
  <c r="AK171" i="7"/>
  <c r="AK172" i="7"/>
  <c r="AK173" i="7"/>
  <c r="AK174" i="7"/>
  <c r="AK175" i="7"/>
  <c r="AK176" i="7"/>
  <c r="AK177" i="7"/>
  <c r="AK178" i="7"/>
  <c r="AK179" i="7"/>
  <c r="AK180" i="7"/>
  <c r="AK181" i="7"/>
  <c r="AK182" i="7"/>
  <c r="AK183" i="7"/>
  <c r="AK184" i="7"/>
  <c r="AK185" i="7"/>
  <c r="AK186" i="7"/>
  <c r="AK187" i="7"/>
  <c r="AK188" i="7"/>
  <c r="AK189" i="7"/>
  <c r="AK190" i="7"/>
  <c r="AK191" i="7"/>
  <c r="AK192" i="7"/>
  <c r="AK193" i="7"/>
  <c r="AK194" i="7"/>
  <c r="AK195" i="7"/>
  <c r="AK196" i="7"/>
  <c r="AK197" i="7"/>
  <c r="AK198" i="7"/>
  <c r="AK199" i="7"/>
  <c r="AK200" i="7"/>
  <c r="AK201" i="7"/>
  <c r="AK202" i="7"/>
  <c r="AK203" i="7"/>
  <c r="AK204" i="7"/>
  <c r="AK205" i="7"/>
  <c r="AK206" i="7"/>
  <c r="AK207" i="7"/>
  <c r="AK208" i="7"/>
  <c r="AK209" i="7"/>
  <c r="AK210" i="7"/>
  <c r="AK211" i="7"/>
  <c r="AK212" i="7"/>
  <c r="AK213" i="7"/>
  <c r="AK214" i="7"/>
  <c r="AK215" i="7"/>
  <c r="AK216" i="7"/>
  <c r="AK217" i="7"/>
  <c r="AK218" i="7"/>
  <c r="AK219" i="7"/>
  <c r="AK220" i="7"/>
  <c r="AK221" i="7"/>
  <c r="AK222" i="7"/>
  <c r="AK223" i="7"/>
  <c r="AK224" i="7"/>
  <c r="AK225" i="7"/>
  <c r="AK226" i="7"/>
  <c r="AK227" i="7"/>
  <c r="AK228" i="7"/>
  <c r="AK229" i="7"/>
  <c r="AK230" i="7"/>
  <c r="AK231" i="7"/>
  <c r="AK232" i="7"/>
  <c r="AK233" i="7"/>
  <c r="AK234" i="7"/>
  <c r="AK235" i="7"/>
  <c r="AK236" i="7"/>
  <c r="AK237" i="7"/>
  <c r="AK238" i="7"/>
  <c r="AK239" i="7"/>
  <c r="AK240" i="7"/>
  <c r="AK241" i="7"/>
  <c r="AK242" i="7"/>
  <c r="AK243" i="7"/>
  <c r="AK244" i="7"/>
  <c r="AK245" i="7"/>
  <c r="AK246" i="7"/>
  <c r="AK247" i="7"/>
  <c r="AK248" i="7"/>
  <c r="AK249" i="7"/>
  <c r="AK250" i="7"/>
  <c r="AK251" i="7"/>
  <c r="AK252" i="7"/>
  <c r="AK253" i="7"/>
  <c r="AK254" i="7"/>
  <c r="AK255" i="7"/>
  <c r="AK256" i="7"/>
  <c r="AK257" i="7"/>
  <c r="AK258" i="7"/>
  <c r="AK259" i="7"/>
  <c r="AK260" i="7"/>
  <c r="AK261" i="7"/>
  <c r="AK262" i="7"/>
  <c r="AK263" i="7"/>
  <c r="AK264" i="7"/>
  <c r="AK265" i="7"/>
  <c r="AK266" i="7"/>
  <c r="AK267" i="7"/>
  <c r="AK268" i="7"/>
  <c r="AK269" i="7"/>
  <c r="AK270" i="7"/>
  <c r="AK271" i="7"/>
  <c r="AK272" i="7"/>
  <c r="AK273" i="7"/>
  <c r="AK274" i="7"/>
  <c r="AK275" i="7"/>
  <c r="AK276" i="7"/>
  <c r="AK277" i="7"/>
  <c r="AK278" i="7"/>
  <c r="AK279" i="7"/>
  <c r="AK280" i="7"/>
  <c r="AK281" i="7"/>
  <c r="AK282" i="7"/>
  <c r="AK283" i="7"/>
  <c r="AK284" i="7"/>
  <c r="AK285" i="7"/>
  <c r="AK286" i="7"/>
  <c r="AK287" i="7"/>
  <c r="AK288" i="7"/>
  <c r="AK289" i="7"/>
  <c r="AK290" i="7"/>
  <c r="AK291" i="7"/>
  <c r="AK292" i="7"/>
  <c r="AK293" i="7"/>
  <c r="AK294" i="7"/>
  <c r="AK295" i="7"/>
  <c r="AK296" i="7"/>
  <c r="AK297" i="7"/>
  <c r="AK298" i="7"/>
  <c r="AK299" i="7"/>
  <c r="AK300" i="7"/>
  <c r="AK301" i="7"/>
  <c r="AK302" i="7"/>
  <c r="AK303" i="7"/>
  <c r="AK304" i="7"/>
  <c r="AK305" i="7"/>
  <c r="AK306" i="7"/>
  <c r="AK307" i="7"/>
  <c r="AK308" i="7"/>
  <c r="AK309" i="7"/>
  <c r="AK310" i="7"/>
  <c r="AK311" i="7"/>
  <c r="AK312" i="7"/>
  <c r="AK313" i="7"/>
  <c r="AK314" i="7"/>
  <c r="AK315" i="7"/>
  <c r="AK316" i="7"/>
  <c r="AK317" i="7"/>
  <c r="AK318" i="7"/>
  <c r="AK319" i="7"/>
  <c r="AK320" i="7"/>
  <c r="AK321" i="7"/>
  <c r="AK322" i="7"/>
  <c r="AK323" i="7"/>
  <c r="AK324" i="7"/>
  <c r="AK325" i="7"/>
  <c r="AK326" i="7"/>
  <c r="AK327" i="7"/>
  <c r="AK328" i="7"/>
  <c r="AK329" i="7"/>
  <c r="AK330" i="7"/>
  <c r="AK331" i="7"/>
  <c r="AK332" i="7"/>
  <c r="AK333" i="7"/>
  <c r="AK334" i="7"/>
  <c r="AK335" i="7"/>
  <c r="AK336" i="7"/>
  <c r="AK337" i="7"/>
  <c r="AK338" i="7"/>
  <c r="AK339" i="7"/>
  <c r="AK340" i="7"/>
  <c r="AK341" i="7"/>
  <c r="AK342" i="7"/>
  <c r="AK343" i="7"/>
  <c r="AK344" i="7"/>
  <c r="AK345" i="7"/>
  <c r="AK346" i="7"/>
  <c r="AK347" i="7"/>
  <c r="AK348" i="7"/>
  <c r="AK349" i="7"/>
  <c r="AK350" i="7"/>
  <c r="AK351" i="7"/>
  <c r="AK352" i="7"/>
  <c r="AK353" i="7"/>
  <c r="AK354" i="7"/>
  <c r="AK355" i="7"/>
  <c r="AK356" i="7"/>
  <c r="AK357" i="7"/>
  <c r="AK358" i="7"/>
  <c r="AK359" i="7"/>
  <c r="AK360" i="7"/>
  <c r="AK361" i="7"/>
  <c r="AK362" i="7"/>
  <c r="AK363" i="7"/>
  <c r="AK364" i="7"/>
  <c r="AK365" i="7"/>
  <c r="AK366" i="7"/>
  <c r="AK367" i="7"/>
  <c r="AK368" i="7"/>
  <c r="AK369" i="7"/>
  <c r="AK370" i="7"/>
  <c r="AK371" i="7"/>
  <c r="AK372" i="7"/>
  <c r="AK373" i="7"/>
  <c r="AK374" i="7"/>
  <c r="AK375" i="7"/>
  <c r="AK376" i="7"/>
  <c r="AK377" i="7"/>
  <c r="AK378" i="7"/>
  <c r="AK379" i="7"/>
  <c r="AK380" i="7"/>
  <c r="AK381" i="7"/>
  <c r="AK382" i="7"/>
  <c r="AK383" i="7"/>
  <c r="AK384" i="7"/>
  <c r="AK385" i="7"/>
  <c r="AK386" i="7"/>
  <c r="AK387" i="7"/>
  <c r="AK388" i="7"/>
  <c r="AK389" i="7"/>
  <c r="AK390" i="7"/>
  <c r="AK391" i="7"/>
  <c r="AK392" i="7"/>
  <c r="AK393" i="7"/>
  <c r="AK394" i="7"/>
  <c r="AK395" i="7"/>
  <c r="AK396" i="7"/>
  <c r="AK397" i="7"/>
  <c r="AK398" i="7"/>
  <c r="AK399" i="7"/>
  <c r="AK400" i="7"/>
  <c r="AK401" i="7"/>
  <c r="AK402" i="7"/>
  <c r="AK403" i="7"/>
  <c r="AK404" i="7"/>
  <c r="AK405" i="7"/>
  <c r="AK406" i="7"/>
  <c r="AK407" i="7"/>
  <c r="AK408" i="7"/>
  <c r="AK409" i="7"/>
  <c r="AK410" i="7"/>
  <c r="AK411" i="7"/>
  <c r="AK412" i="7"/>
  <c r="AK413" i="7"/>
  <c r="AK414" i="7"/>
  <c r="AK415" i="7"/>
  <c r="AK416" i="7"/>
  <c r="AK417" i="7"/>
  <c r="AK418" i="7"/>
  <c r="AK419" i="7"/>
  <c r="AK420" i="7"/>
  <c r="AK421" i="7"/>
  <c r="AK422" i="7"/>
  <c r="AK423" i="7"/>
  <c r="AK424" i="7"/>
  <c r="AK425" i="7"/>
  <c r="AK426" i="7"/>
  <c r="AK427" i="7"/>
  <c r="AK428" i="7"/>
  <c r="AK429" i="7"/>
  <c r="AK430" i="7"/>
  <c r="AK431" i="7"/>
  <c r="AK432" i="7"/>
  <c r="AK433" i="7"/>
  <c r="AK434" i="7"/>
  <c r="AK435" i="7"/>
  <c r="AK436" i="7"/>
  <c r="AK437" i="7"/>
  <c r="AK438" i="7"/>
  <c r="AK439" i="7"/>
  <c r="AK440" i="7"/>
  <c r="AK441" i="7"/>
  <c r="AK442" i="7"/>
  <c r="AK443" i="7"/>
  <c r="AK444" i="7"/>
  <c r="AK445" i="7"/>
  <c r="AK446" i="7"/>
  <c r="AK447" i="7"/>
  <c r="AK448" i="7"/>
  <c r="AK449" i="7"/>
  <c r="AK450" i="7"/>
  <c r="AK451" i="7"/>
  <c r="AK452" i="7"/>
  <c r="AK453" i="7"/>
  <c r="AK454" i="7"/>
  <c r="AK455" i="7"/>
  <c r="AK456" i="7"/>
  <c r="AK457" i="7"/>
  <c r="AK458" i="7"/>
  <c r="AK459" i="7"/>
  <c r="AK460" i="7"/>
  <c r="AK461" i="7"/>
  <c r="AK462" i="7"/>
  <c r="AK463" i="7"/>
  <c r="AK464" i="7"/>
  <c r="AK465" i="7"/>
  <c r="AK466" i="7"/>
  <c r="AK467" i="7"/>
  <c r="AK468" i="7"/>
  <c r="AK469" i="7"/>
  <c r="AK470" i="7"/>
  <c r="AK471" i="7"/>
  <c r="AK472" i="7"/>
  <c r="AK473" i="7"/>
  <c r="AK474" i="7"/>
  <c r="AK475" i="7"/>
  <c r="AK476" i="7"/>
  <c r="AK477" i="7"/>
  <c r="AK478" i="7"/>
  <c r="AK479" i="7"/>
  <c r="AK480" i="7"/>
  <c r="AK481" i="7"/>
  <c r="AK482" i="7"/>
  <c r="AK483" i="7"/>
  <c r="AK484" i="7"/>
  <c r="AK485" i="7"/>
  <c r="AK486" i="7"/>
  <c r="AK487" i="7"/>
  <c r="AK488" i="7"/>
  <c r="AK489" i="7"/>
  <c r="AK490" i="7"/>
  <c r="AK491" i="7"/>
  <c r="AK492" i="7"/>
  <c r="AK493" i="7"/>
  <c r="AK494" i="7"/>
  <c r="AK495" i="7"/>
  <c r="AK496" i="7"/>
  <c r="AK497" i="7"/>
  <c r="AK498" i="7"/>
  <c r="AK499" i="7"/>
  <c r="AK500" i="7"/>
  <c r="AK501" i="7"/>
  <c r="AK502" i="7"/>
  <c r="AK503" i="7"/>
  <c r="AK504" i="7"/>
  <c r="AK505" i="7"/>
  <c r="AK506" i="7"/>
  <c r="AK507" i="7"/>
  <c r="AK508" i="7"/>
  <c r="AK509" i="7"/>
  <c r="AK510" i="7"/>
  <c r="AK511" i="7"/>
  <c r="AK512" i="7"/>
  <c r="AK513" i="7"/>
  <c r="AK514" i="7"/>
  <c r="AK515" i="7"/>
  <c r="AK516" i="7"/>
  <c r="AK517" i="7"/>
  <c r="AK518" i="7"/>
  <c r="AK519" i="7"/>
  <c r="AK520" i="7"/>
  <c r="AK521" i="7"/>
  <c r="AK522" i="7"/>
  <c r="AK523" i="7"/>
  <c r="AK524" i="7"/>
  <c r="AK525" i="7"/>
  <c r="AK526" i="7"/>
  <c r="AK527" i="7"/>
  <c r="AK528" i="7"/>
  <c r="AK529" i="7"/>
  <c r="AK530" i="7"/>
  <c r="AK531" i="7"/>
  <c r="AK532" i="7"/>
  <c r="AK533" i="7"/>
  <c r="AK534" i="7"/>
  <c r="AK535" i="7"/>
  <c r="AK536" i="7"/>
  <c r="AK537" i="7"/>
  <c r="AK538" i="7"/>
  <c r="AK539" i="7"/>
  <c r="AK540" i="7"/>
  <c r="AK541" i="7"/>
  <c r="AK542" i="7"/>
  <c r="AK543" i="7"/>
  <c r="AK544" i="7"/>
  <c r="AK545" i="7"/>
  <c r="AK546" i="7"/>
  <c r="AK547" i="7"/>
  <c r="AK548" i="7"/>
  <c r="AK549" i="7"/>
  <c r="AK550" i="7"/>
  <c r="AK551" i="7"/>
  <c r="AK552" i="7"/>
  <c r="AK553" i="7"/>
  <c r="AK554" i="7"/>
  <c r="AK555" i="7"/>
  <c r="AK556" i="7"/>
  <c r="AK557" i="7"/>
  <c r="AK558" i="7"/>
  <c r="AK559" i="7"/>
  <c r="AK560" i="7"/>
  <c r="AK561" i="7"/>
  <c r="AK562" i="7"/>
  <c r="AK563" i="7"/>
  <c r="AK564" i="7"/>
  <c r="AK565" i="7"/>
  <c r="AK566" i="7"/>
  <c r="AK567" i="7"/>
  <c r="AK568" i="7"/>
  <c r="AK569" i="7"/>
  <c r="AK570" i="7"/>
  <c r="AK571" i="7"/>
  <c r="AK572" i="7"/>
  <c r="AK573" i="7"/>
  <c r="AK574" i="7"/>
  <c r="AK575" i="7"/>
  <c r="AK576" i="7"/>
  <c r="AK577" i="7"/>
  <c r="AK578" i="7"/>
  <c r="AK579" i="7"/>
  <c r="AK580" i="7"/>
  <c r="AK581" i="7"/>
  <c r="AK582" i="7"/>
  <c r="AK583" i="7"/>
  <c r="AK584" i="7"/>
  <c r="AK585" i="7"/>
  <c r="AK586" i="7"/>
  <c r="AK587" i="7"/>
  <c r="AK588" i="7"/>
  <c r="AK589" i="7"/>
  <c r="AK590" i="7"/>
  <c r="AK591" i="7"/>
  <c r="AK592" i="7"/>
  <c r="AK593" i="7"/>
  <c r="AK594" i="7"/>
  <c r="AK595" i="7"/>
  <c r="AK596" i="7"/>
  <c r="AK597" i="7"/>
  <c r="AK598" i="7"/>
  <c r="AK599" i="7"/>
  <c r="AK600" i="7"/>
  <c r="AK601" i="7"/>
  <c r="AK602" i="7"/>
  <c r="AK603" i="7"/>
  <c r="AK604" i="7"/>
  <c r="AK605" i="7"/>
  <c r="AK606" i="7"/>
  <c r="AK607" i="7"/>
  <c r="AK608" i="7"/>
  <c r="AK609" i="7"/>
  <c r="AK610" i="7"/>
  <c r="AK611" i="7"/>
  <c r="AK612" i="7"/>
  <c r="AK613" i="7"/>
  <c r="AK614" i="7"/>
  <c r="AK615" i="7"/>
  <c r="AK616" i="7"/>
  <c r="AK617" i="7"/>
  <c r="AK618" i="7"/>
  <c r="AK619" i="7"/>
  <c r="AK620" i="7"/>
  <c r="AK621" i="7"/>
  <c r="AK622" i="7"/>
  <c r="AK623" i="7"/>
  <c r="AK624" i="7"/>
  <c r="AK625" i="7"/>
  <c r="AK626" i="7"/>
  <c r="AK627" i="7"/>
  <c r="AK628" i="7"/>
  <c r="AK629" i="7"/>
  <c r="AK630" i="7"/>
  <c r="AK631" i="7"/>
  <c r="AK632" i="7"/>
  <c r="AK633" i="7"/>
  <c r="AK634" i="7"/>
  <c r="AK635" i="7"/>
  <c r="AK636" i="7"/>
  <c r="AK637" i="7"/>
  <c r="AK638" i="7"/>
  <c r="AK639" i="7"/>
  <c r="AK640" i="7"/>
  <c r="AK641" i="7"/>
  <c r="AK642" i="7"/>
  <c r="AK643" i="7"/>
  <c r="AK644" i="7"/>
  <c r="AK645" i="7"/>
  <c r="AK646" i="7"/>
  <c r="AK647" i="7"/>
  <c r="AK648" i="7"/>
  <c r="AK649" i="7"/>
  <c r="AK650" i="7"/>
  <c r="AK651" i="7"/>
  <c r="AK652" i="7"/>
  <c r="AK653" i="7"/>
  <c r="AK654" i="7"/>
  <c r="AK655" i="7"/>
  <c r="AK656" i="7"/>
  <c r="AK657" i="7"/>
  <c r="AK658" i="7"/>
  <c r="AK659" i="7"/>
  <c r="AK660" i="7"/>
  <c r="AK661" i="7"/>
  <c r="AK662" i="7"/>
  <c r="AK663" i="7"/>
  <c r="AK664" i="7"/>
  <c r="AK665" i="7"/>
  <c r="AK666" i="7"/>
  <c r="AK667" i="7"/>
  <c r="AK668" i="7"/>
  <c r="AK669" i="7"/>
  <c r="AK670" i="7"/>
  <c r="AK671" i="7"/>
  <c r="AK672" i="7"/>
  <c r="AK673" i="7"/>
  <c r="AK674" i="7"/>
  <c r="AK675" i="7"/>
  <c r="AK676" i="7"/>
  <c r="AK677" i="7"/>
  <c r="AK678" i="7"/>
  <c r="AK679" i="7"/>
  <c r="AK680" i="7"/>
  <c r="AK681" i="7"/>
  <c r="AK682" i="7"/>
  <c r="AK683" i="7"/>
  <c r="AK684" i="7"/>
  <c r="AK685" i="7"/>
  <c r="AK686" i="7"/>
  <c r="AK687" i="7"/>
  <c r="AK688" i="7"/>
  <c r="AK689" i="7"/>
  <c r="AK690" i="7"/>
  <c r="AK691" i="7"/>
  <c r="AK692" i="7"/>
  <c r="AK693" i="7"/>
  <c r="AK694" i="7"/>
  <c r="AK695" i="7"/>
  <c r="AK696" i="7"/>
  <c r="AK697" i="7"/>
  <c r="AK698" i="7"/>
  <c r="AK699" i="7"/>
  <c r="AK700" i="7"/>
  <c r="AK701" i="7"/>
  <c r="AK702" i="7"/>
  <c r="AK703" i="7"/>
  <c r="AK704" i="7"/>
  <c r="AK705" i="7"/>
  <c r="AK706" i="7"/>
  <c r="AK707" i="7"/>
  <c r="AK708" i="7"/>
  <c r="AK709" i="7"/>
  <c r="AK710" i="7"/>
  <c r="AK711" i="7"/>
  <c r="AK712" i="7"/>
  <c r="AK713" i="7"/>
  <c r="AK714" i="7"/>
  <c r="AK715" i="7"/>
  <c r="AK716" i="7"/>
  <c r="AK717" i="7"/>
  <c r="AK718" i="7"/>
  <c r="AK719" i="7"/>
  <c r="AK720" i="7"/>
  <c r="AK721" i="7"/>
  <c r="AK722" i="7"/>
  <c r="AK723" i="7"/>
  <c r="AK724" i="7"/>
  <c r="AK725" i="7"/>
  <c r="AK726" i="7"/>
  <c r="AK727" i="7"/>
  <c r="AK728" i="7"/>
  <c r="AK729" i="7"/>
  <c r="AK730" i="7"/>
  <c r="AK731" i="7"/>
  <c r="AK732" i="7"/>
  <c r="AK733" i="7"/>
  <c r="AK734" i="7"/>
  <c r="AK735" i="7"/>
  <c r="AK736" i="7"/>
  <c r="AK737" i="7"/>
  <c r="AK738" i="7"/>
  <c r="AK739" i="7"/>
  <c r="AK740" i="7"/>
  <c r="AK741" i="7"/>
  <c r="AK742" i="7"/>
  <c r="AK743" i="7"/>
  <c r="AK744" i="7"/>
  <c r="AK745" i="7"/>
  <c r="AK746" i="7"/>
  <c r="AK747" i="7"/>
  <c r="AK748" i="7"/>
  <c r="AK749" i="7"/>
  <c r="AK750" i="7"/>
  <c r="AK751" i="7"/>
  <c r="AK752" i="7"/>
  <c r="AK753" i="7"/>
  <c r="AK754" i="7"/>
  <c r="AK755" i="7"/>
  <c r="AK756" i="7"/>
  <c r="AK757" i="7"/>
  <c r="AK758" i="7"/>
  <c r="AK759" i="7"/>
  <c r="AL3" i="7"/>
  <c r="AL4" i="7"/>
  <c r="AL5" i="7"/>
  <c r="AL6" i="7"/>
  <c r="AL7" i="7"/>
  <c r="AL8" i="7"/>
  <c r="AL9" i="7"/>
  <c r="AL11" i="7"/>
  <c r="AL12" i="7"/>
  <c r="AL13" i="7"/>
  <c r="AL14" i="7"/>
  <c r="AL16" i="7"/>
  <c r="AL17" i="7"/>
  <c r="AL19" i="7"/>
  <c r="AL20" i="7"/>
  <c r="AL21" i="7"/>
  <c r="AL22" i="7"/>
  <c r="AL24" i="7"/>
  <c r="AL25" i="7"/>
  <c r="AL27" i="7"/>
  <c r="AL28" i="7"/>
  <c r="AL29" i="7"/>
  <c r="AL30" i="7"/>
  <c r="AL32" i="7"/>
  <c r="AL33" i="7"/>
  <c r="AL35" i="7"/>
  <c r="AL36" i="7"/>
  <c r="AL37" i="7"/>
  <c r="AL38" i="7"/>
  <c r="AL40" i="7"/>
  <c r="AL41" i="7"/>
  <c r="AL43" i="7"/>
  <c r="AL44" i="7"/>
  <c r="AL45" i="7"/>
  <c r="AL46" i="7"/>
  <c r="AL48" i="7"/>
  <c r="AL49" i="7"/>
  <c r="AL51" i="7"/>
  <c r="AL52" i="7"/>
  <c r="AL53" i="7"/>
  <c r="AL54" i="7"/>
  <c r="AL56" i="7"/>
  <c r="AL57" i="7"/>
  <c r="AL59" i="7"/>
  <c r="AL60" i="7"/>
  <c r="AL61" i="7"/>
  <c r="AL62" i="7"/>
  <c r="AL64" i="7"/>
  <c r="AL65" i="7"/>
  <c r="AL67" i="7"/>
  <c r="AL68" i="7"/>
  <c r="AL69" i="7"/>
  <c r="AL70" i="7"/>
  <c r="AL72" i="7"/>
  <c r="AL73" i="7"/>
  <c r="AL75" i="7"/>
  <c r="AL76" i="7"/>
  <c r="AL77" i="7"/>
  <c r="AL78" i="7"/>
  <c r="AL80" i="7"/>
  <c r="AL81" i="7"/>
  <c r="AL83" i="7"/>
  <c r="AL84" i="7"/>
  <c r="AL85" i="7"/>
  <c r="AL86" i="7"/>
  <c r="AL88" i="7"/>
  <c r="AL89" i="7"/>
  <c r="AL91" i="7"/>
  <c r="AL92" i="7"/>
  <c r="AL93" i="7"/>
  <c r="AL94" i="7"/>
  <c r="AL96" i="7"/>
  <c r="AL97" i="7"/>
  <c r="AL99" i="7"/>
  <c r="AL100" i="7"/>
  <c r="AL101" i="7"/>
  <c r="AL102" i="7"/>
  <c r="AL104" i="7"/>
  <c r="AL105" i="7"/>
  <c r="AL107" i="7"/>
  <c r="AL108" i="7"/>
  <c r="AL109" i="7"/>
  <c r="AL110" i="7"/>
  <c r="AL112" i="7"/>
  <c r="AL113" i="7"/>
  <c r="AL115" i="7"/>
  <c r="AL116" i="7"/>
  <c r="AL117" i="7"/>
  <c r="AL118" i="7"/>
  <c r="AL120" i="7"/>
  <c r="AL121" i="7"/>
  <c r="AL123" i="7"/>
  <c r="AL124" i="7"/>
  <c r="AL125" i="7"/>
  <c r="AL126" i="7"/>
  <c r="AL128" i="7"/>
  <c r="AL129" i="7"/>
  <c r="AL131" i="7"/>
  <c r="AL132" i="7"/>
  <c r="AL133" i="7"/>
  <c r="AL134" i="7"/>
  <c r="AL136" i="7"/>
  <c r="AL137" i="7"/>
  <c r="AL139" i="7"/>
  <c r="AL140" i="7"/>
  <c r="AL141" i="7"/>
  <c r="AL142" i="7"/>
  <c r="AL144" i="7"/>
  <c r="AL145" i="7"/>
  <c r="AL147" i="7"/>
  <c r="AL148" i="7"/>
  <c r="AL149" i="7"/>
  <c r="AL150" i="7"/>
  <c r="AL152" i="7"/>
  <c r="AL153" i="7"/>
  <c r="AL155" i="7"/>
  <c r="AL156" i="7"/>
  <c r="AL157" i="7"/>
  <c r="AL158" i="7"/>
  <c r="AL160" i="7"/>
  <c r="AL161" i="7"/>
  <c r="AL163" i="7"/>
  <c r="AL164" i="7"/>
  <c r="AL165" i="7"/>
  <c r="AL166" i="7"/>
  <c r="AL168" i="7"/>
  <c r="AL169" i="7"/>
  <c r="AL171" i="7"/>
  <c r="AL172" i="7"/>
  <c r="AL173" i="7"/>
  <c r="AL174" i="7"/>
  <c r="AL176" i="7"/>
  <c r="AL177" i="7"/>
  <c r="AL179" i="7"/>
  <c r="AL180" i="7"/>
  <c r="AL181" i="7"/>
  <c r="AL182" i="7"/>
  <c r="AL184" i="7"/>
  <c r="AL185" i="7"/>
  <c r="AL187" i="7"/>
  <c r="AL188" i="7"/>
  <c r="AL189" i="7"/>
  <c r="AL190" i="7"/>
  <c r="AL192" i="7"/>
  <c r="AL193" i="7"/>
  <c r="AL195" i="7"/>
  <c r="AL196" i="7"/>
  <c r="AL197" i="7"/>
  <c r="AL198" i="7"/>
  <c r="AL200" i="7"/>
  <c r="AL201" i="7"/>
  <c r="AL203" i="7"/>
  <c r="AL204" i="7"/>
  <c r="AL205" i="7"/>
  <c r="AL206" i="7"/>
  <c r="AL208" i="7"/>
  <c r="AL209" i="7"/>
  <c r="AL211" i="7"/>
  <c r="AL212" i="7"/>
  <c r="AL213" i="7"/>
  <c r="AL214" i="7"/>
  <c r="AL216" i="7"/>
  <c r="AL217" i="7"/>
  <c r="AL219" i="7"/>
  <c r="AL220" i="7"/>
  <c r="AL221" i="7"/>
  <c r="AL222" i="7"/>
  <c r="AL224" i="7"/>
  <c r="AL225" i="7"/>
  <c r="AL227" i="7"/>
  <c r="AL228" i="7"/>
  <c r="AL229" i="7"/>
  <c r="AL230" i="7"/>
  <c r="AL232" i="7"/>
  <c r="AL233" i="7"/>
  <c r="AL235" i="7"/>
  <c r="AL236" i="7"/>
  <c r="AL237" i="7"/>
  <c r="AL238" i="7"/>
  <c r="AL240" i="7"/>
  <c r="AL241" i="7"/>
  <c r="AL243" i="7"/>
  <c r="AL244" i="7"/>
  <c r="AL245" i="7"/>
  <c r="AL246" i="7"/>
  <c r="AL248" i="7"/>
  <c r="AL249" i="7"/>
  <c r="AL251" i="7"/>
  <c r="AL252" i="7"/>
  <c r="AL253" i="7"/>
  <c r="AL254" i="7"/>
  <c r="AL256" i="7"/>
  <c r="AL257" i="7"/>
  <c r="AL259" i="7"/>
  <c r="AL260" i="7"/>
  <c r="AL261" i="7"/>
  <c r="AL262" i="7"/>
  <c r="AL264" i="7"/>
  <c r="AL265" i="7"/>
  <c r="AL267" i="7"/>
  <c r="AL268" i="7"/>
  <c r="AL269" i="7"/>
  <c r="AL270" i="7"/>
  <c r="AL272" i="7"/>
  <c r="AL273" i="7"/>
  <c r="AL275" i="7"/>
  <c r="AL276" i="7"/>
  <c r="AL277" i="7"/>
  <c r="AL278" i="7"/>
  <c r="AL280" i="7"/>
  <c r="AL281" i="7"/>
  <c r="AL283" i="7"/>
  <c r="AL284" i="7"/>
  <c r="AL285" i="7"/>
  <c r="AL286" i="7"/>
  <c r="AL288" i="7"/>
  <c r="AL289" i="7"/>
  <c r="AL291" i="7"/>
  <c r="AL292" i="7"/>
  <c r="AL293" i="7"/>
  <c r="AL294" i="7"/>
  <c r="AL296" i="7"/>
  <c r="AL297" i="7"/>
  <c r="AL299" i="7"/>
  <c r="AL300" i="7"/>
  <c r="AL301" i="7"/>
  <c r="AL302" i="7"/>
  <c r="AL304" i="7"/>
  <c r="AL305" i="7"/>
  <c r="AL307" i="7"/>
  <c r="AL308" i="7"/>
  <c r="AL309" i="7"/>
  <c r="AL310" i="7"/>
  <c r="AL312" i="7"/>
  <c r="AL313" i="7"/>
  <c r="AL315" i="7"/>
  <c r="AL316" i="7"/>
  <c r="AL317" i="7"/>
  <c r="AL318" i="7"/>
  <c r="AL320" i="7"/>
  <c r="AL321" i="7"/>
  <c r="AL323" i="7"/>
  <c r="AL324" i="7"/>
  <c r="AL325" i="7"/>
  <c r="AL326" i="7"/>
  <c r="AL328" i="7"/>
  <c r="AL329" i="7"/>
  <c r="AL331" i="7"/>
  <c r="AL332" i="7"/>
  <c r="AL333" i="7"/>
  <c r="AL334" i="7"/>
  <c r="AL336" i="7"/>
  <c r="AL337" i="7"/>
  <c r="AL339" i="7"/>
  <c r="AL340" i="7"/>
  <c r="AL341" i="7"/>
  <c r="AL342" i="7"/>
  <c r="AL344" i="7"/>
  <c r="AL345" i="7"/>
  <c r="AL347" i="7"/>
  <c r="AL348" i="7"/>
  <c r="AL349" i="7"/>
  <c r="AL350" i="7"/>
  <c r="AL352" i="7"/>
  <c r="AL353" i="7"/>
  <c r="AL355" i="7"/>
  <c r="AL356" i="7"/>
  <c r="AL357" i="7"/>
  <c r="AL358" i="7"/>
  <c r="AL360" i="7"/>
  <c r="AL361" i="7"/>
  <c r="AL363" i="7"/>
  <c r="AL364" i="7"/>
  <c r="AL365" i="7"/>
  <c r="AL366" i="7"/>
  <c r="AL368" i="7"/>
  <c r="AL369" i="7"/>
  <c r="AL371" i="7"/>
  <c r="AL372" i="7"/>
  <c r="AL373" i="7"/>
  <c r="AL374" i="7"/>
  <c r="AL376" i="7"/>
  <c r="AL377" i="7"/>
  <c r="AL379" i="7"/>
  <c r="AL380" i="7"/>
  <c r="AL381" i="7"/>
  <c r="AL382" i="7"/>
  <c r="AL384" i="7"/>
  <c r="AL385" i="7"/>
  <c r="AL387" i="7"/>
  <c r="AL388" i="7"/>
  <c r="AL389" i="7"/>
  <c r="AL390" i="7"/>
  <c r="AL392" i="7"/>
  <c r="AL393" i="7"/>
  <c r="AL395" i="7"/>
  <c r="AL396" i="7"/>
  <c r="AL397" i="7"/>
  <c r="AL398" i="7"/>
  <c r="AL400" i="7"/>
  <c r="AL401" i="7"/>
  <c r="AL403" i="7"/>
  <c r="AL404" i="7"/>
  <c r="AL405" i="7"/>
  <c r="AL406" i="7"/>
  <c r="AL408" i="7"/>
  <c r="AL409" i="7"/>
  <c r="AL411" i="7"/>
  <c r="AL412" i="7"/>
  <c r="AL413" i="7"/>
  <c r="AL414" i="7"/>
  <c r="AL416" i="7"/>
  <c r="AL417" i="7"/>
  <c r="AL419" i="7"/>
  <c r="AL420" i="7"/>
  <c r="AL421" i="7"/>
  <c r="AL422" i="7"/>
  <c r="AL424" i="7"/>
  <c r="AL425" i="7"/>
  <c r="AL427" i="7"/>
  <c r="AL428" i="7"/>
  <c r="AL429" i="7"/>
  <c r="AL430" i="7"/>
  <c r="AL432" i="7"/>
  <c r="AL433" i="7"/>
  <c r="AL435" i="7"/>
  <c r="AL436" i="7"/>
  <c r="AL437" i="7"/>
  <c r="AL438" i="7"/>
  <c r="AL440" i="7"/>
  <c r="AL441" i="7"/>
  <c r="AL443" i="7"/>
  <c r="AL444" i="7"/>
  <c r="AL445" i="7"/>
  <c r="AL446" i="7"/>
  <c r="AL448" i="7"/>
  <c r="AL449" i="7"/>
  <c r="AL451" i="7"/>
  <c r="AL452" i="7"/>
  <c r="AL453" i="7"/>
  <c r="AL454" i="7"/>
  <c r="AL455" i="7"/>
  <c r="AL456" i="7"/>
  <c r="AL457" i="7"/>
  <c r="AL459" i="7"/>
  <c r="AL460" i="7"/>
  <c r="AL461" i="7"/>
  <c r="AL462" i="7"/>
  <c r="AL464" i="7"/>
  <c r="AL465" i="7"/>
  <c r="AL467" i="7"/>
  <c r="AL468" i="7"/>
  <c r="AL469" i="7"/>
  <c r="AL470" i="7"/>
  <c r="AL472" i="7"/>
  <c r="AL473" i="7"/>
  <c r="AL475" i="7"/>
  <c r="AL476" i="7"/>
  <c r="AL477" i="7"/>
  <c r="AL478" i="7"/>
  <c r="AL480" i="7"/>
  <c r="AL481" i="7"/>
  <c r="AL483" i="7"/>
  <c r="AL484" i="7"/>
  <c r="AL485" i="7"/>
  <c r="AL486" i="7"/>
  <c r="AL488" i="7"/>
  <c r="AL489" i="7"/>
  <c r="AL491" i="7"/>
  <c r="AL492" i="7"/>
  <c r="AL493" i="7"/>
  <c r="AL494" i="7"/>
  <c r="AL496" i="7"/>
  <c r="AL497" i="7"/>
  <c r="AL499" i="7"/>
  <c r="AL500" i="7"/>
  <c r="AL501" i="7"/>
  <c r="AL502" i="7"/>
  <c r="AL504" i="7"/>
  <c r="AL505" i="7"/>
  <c r="AL507" i="7"/>
  <c r="AL508" i="7"/>
  <c r="AL509" i="7"/>
  <c r="AL510" i="7"/>
  <c r="AL512" i="7"/>
  <c r="AL513" i="7"/>
  <c r="AL515" i="7"/>
  <c r="AL516" i="7"/>
  <c r="AL517" i="7"/>
  <c r="AL518" i="7"/>
  <c r="AL520" i="7"/>
  <c r="AL521" i="7"/>
  <c r="AL523" i="7"/>
  <c r="AL524" i="7"/>
  <c r="AL525" i="7"/>
  <c r="AL526" i="7"/>
  <c r="AL528" i="7"/>
  <c r="AL529" i="7"/>
  <c r="AL531" i="7"/>
  <c r="AL532" i="7"/>
  <c r="AL533" i="7"/>
  <c r="AL534" i="7"/>
  <c r="AL536" i="7"/>
  <c r="AL537" i="7"/>
  <c r="AL539" i="7"/>
  <c r="AL540" i="7"/>
  <c r="AL541" i="7"/>
  <c r="AL542" i="7"/>
  <c r="AL544" i="7"/>
  <c r="AL545" i="7"/>
  <c r="AL547" i="7"/>
  <c r="AL548" i="7"/>
  <c r="AL549" i="7"/>
  <c r="AL550" i="7"/>
  <c r="AL552" i="7"/>
  <c r="AL553" i="7"/>
  <c r="AL555" i="7"/>
  <c r="AL556" i="7"/>
  <c r="AL557" i="7"/>
  <c r="AL558" i="7"/>
  <c r="AL560" i="7"/>
  <c r="AL561" i="7"/>
  <c r="AL563" i="7"/>
  <c r="AL564" i="7"/>
  <c r="AL565" i="7"/>
  <c r="AL566" i="7"/>
  <c r="AL568" i="7"/>
  <c r="AL569" i="7"/>
  <c r="AL571" i="7"/>
  <c r="AL572" i="7"/>
  <c r="AL573" i="7"/>
  <c r="AL574" i="7"/>
  <c r="AL575" i="7"/>
  <c r="AL576" i="7"/>
  <c r="AL577" i="7"/>
  <c r="AL579" i="7"/>
  <c r="AL580" i="7"/>
  <c r="AL581" i="7"/>
  <c r="AL582" i="7"/>
  <c r="AL584" i="7"/>
  <c r="AL585" i="7"/>
  <c r="AL587" i="7"/>
  <c r="AL588" i="7"/>
  <c r="AL589" i="7"/>
  <c r="AL590" i="7"/>
  <c r="AL592" i="7"/>
  <c r="AL593" i="7"/>
  <c r="AL595" i="7"/>
  <c r="AL596" i="7"/>
  <c r="AL597" i="7"/>
  <c r="AL598" i="7"/>
  <c r="AL600" i="7"/>
  <c r="AL601" i="7"/>
  <c r="AL603" i="7"/>
  <c r="AL604" i="7"/>
  <c r="AL605" i="7"/>
  <c r="AL606" i="7"/>
  <c r="AL608" i="7"/>
  <c r="AL609" i="7"/>
  <c r="AL611" i="7"/>
  <c r="AL612" i="7"/>
  <c r="AL613" i="7"/>
  <c r="AL614" i="7"/>
  <c r="AL616" i="7"/>
  <c r="AL617" i="7"/>
  <c r="AL619" i="7"/>
  <c r="AL620" i="7"/>
  <c r="AL621" i="7"/>
  <c r="AL622" i="7"/>
  <c r="AL624" i="7"/>
  <c r="AL625" i="7"/>
  <c r="AL627" i="7"/>
  <c r="AL628" i="7"/>
  <c r="AL629" i="7"/>
  <c r="AL630" i="7"/>
  <c r="AL632" i="7"/>
  <c r="AL633" i="7"/>
  <c r="AL635" i="7"/>
  <c r="AL636" i="7"/>
  <c r="AL637" i="7"/>
  <c r="AL638" i="7"/>
  <c r="AL640" i="7"/>
  <c r="AL641" i="7"/>
  <c r="AL643" i="7"/>
  <c r="AL644" i="7"/>
  <c r="AL645" i="7"/>
  <c r="AL646" i="7"/>
  <c r="AL648" i="7"/>
  <c r="AL649" i="7"/>
  <c r="AL651" i="7"/>
  <c r="AL652" i="7"/>
  <c r="AL653" i="7"/>
  <c r="AL654" i="7"/>
  <c r="AL656" i="7"/>
  <c r="AL657" i="7"/>
  <c r="AL659" i="7"/>
  <c r="AL660" i="7"/>
  <c r="AL661" i="7"/>
  <c r="AL662" i="7"/>
  <c r="AL664" i="7"/>
  <c r="AL665" i="7"/>
  <c r="AL667" i="7"/>
  <c r="AL668" i="7"/>
  <c r="AL669" i="7"/>
  <c r="AL670" i="7"/>
  <c r="AL672" i="7"/>
  <c r="AL673" i="7"/>
  <c r="AL675" i="7"/>
  <c r="AL676" i="7"/>
  <c r="AL677" i="7"/>
  <c r="AL678" i="7"/>
  <c r="AL680" i="7"/>
  <c r="AL681" i="7"/>
  <c r="AL683" i="7"/>
  <c r="AL684" i="7"/>
  <c r="AL685" i="7"/>
  <c r="AL686" i="7"/>
  <c r="AL688" i="7"/>
  <c r="AL689" i="7"/>
  <c r="AL691" i="7"/>
  <c r="AL692" i="7"/>
  <c r="AL693" i="7"/>
  <c r="AL694" i="7"/>
  <c r="AL696" i="7"/>
  <c r="AL697" i="7"/>
  <c r="AL699" i="7"/>
  <c r="AL700" i="7"/>
  <c r="AL701" i="7"/>
  <c r="AL702" i="7"/>
  <c r="AL704" i="7"/>
  <c r="AL705" i="7"/>
  <c r="AL707" i="7"/>
  <c r="AL708" i="7"/>
  <c r="AL709" i="7"/>
  <c r="AL710" i="7"/>
  <c r="AL712" i="7"/>
  <c r="AL713" i="7"/>
  <c r="AL715" i="7"/>
  <c r="AL716" i="7"/>
  <c r="AL717" i="7"/>
  <c r="AL718" i="7"/>
  <c r="AL720" i="7"/>
  <c r="AL721" i="7"/>
  <c r="AL723" i="7"/>
  <c r="AL724" i="7"/>
  <c r="AL725" i="7"/>
  <c r="AL726" i="7"/>
  <c r="AL728" i="7"/>
  <c r="AL729" i="7"/>
  <c r="AL731" i="7"/>
  <c r="AL732" i="7"/>
  <c r="AL733" i="7"/>
  <c r="AL734" i="7"/>
  <c r="AL736" i="7"/>
  <c r="AL737" i="7"/>
  <c r="AL739" i="7"/>
  <c r="AL740" i="7"/>
  <c r="AL741" i="7"/>
  <c r="AL742" i="7"/>
  <c r="AL744" i="7"/>
  <c r="AL745" i="7"/>
  <c r="AL747" i="7"/>
  <c r="AL748" i="7"/>
  <c r="AL749" i="7"/>
  <c r="AL750" i="7"/>
  <c r="AL752" i="7"/>
  <c r="AL753" i="7"/>
  <c r="AL755" i="7"/>
  <c r="AL756" i="7"/>
  <c r="AL757" i="7"/>
  <c r="AL758" i="7"/>
  <c r="AM2" i="7"/>
  <c r="AM3" i="7"/>
  <c r="AM5" i="7"/>
  <c r="AM6" i="7"/>
  <c r="AM7" i="7"/>
  <c r="AM8" i="7"/>
  <c r="AM10" i="7"/>
  <c r="AM11" i="7"/>
  <c r="AM13" i="7"/>
  <c r="AM14" i="7"/>
  <c r="AM15" i="7"/>
  <c r="AM16" i="7"/>
  <c r="AM18" i="7"/>
  <c r="AM19" i="7"/>
  <c r="AM21" i="7"/>
  <c r="AM22" i="7"/>
  <c r="AM23" i="7"/>
  <c r="AM24" i="7"/>
  <c r="AM26" i="7"/>
  <c r="AM27" i="7"/>
  <c r="AM29" i="7"/>
  <c r="AM30" i="7"/>
  <c r="AM31" i="7"/>
  <c r="AM32" i="7"/>
  <c r="AM34" i="7"/>
  <c r="AM35" i="7"/>
  <c r="AM37" i="7"/>
  <c r="AM38" i="7"/>
  <c r="AM39" i="7"/>
  <c r="AM40" i="7"/>
  <c r="AM42" i="7"/>
  <c r="AM43" i="7"/>
  <c r="AM45" i="7"/>
  <c r="AM46" i="7"/>
  <c r="AM47" i="7"/>
  <c r="AM48" i="7"/>
  <c r="AM50" i="7"/>
  <c r="AM51" i="7"/>
  <c r="AM53" i="7"/>
  <c r="AM54" i="7"/>
  <c r="AM55" i="7"/>
  <c r="AM56" i="7"/>
  <c r="AM58" i="7"/>
  <c r="AM59" i="7"/>
  <c r="AM61" i="7"/>
  <c r="AM62" i="7"/>
  <c r="AM63" i="7"/>
  <c r="AM64" i="7"/>
  <c r="AM66" i="7"/>
  <c r="AM67" i="7"/>
  <c r="AM69" i="7"/>
  <c r="AM70" i="7"/>
  <c r="AM71" i="7"/>
  <c r="AM72" i="7"/>
  <c r="AM74" i="7"/>
  <c r="AM75" i="7"/>
  <c r="AM77" i="7"/>
  <c r="AM78" i="7"/>
  <c r="AM79" i="7"/>
  <c r="AM80" i="7"/>
  <c r="AM82" i="7"/>
  <c r="AM83" i="7"/>
  <c r="AM85" i="7"/>
  <c r="AM86" i="7"/>
  <c r="AM87" i="7"/>
  <c r="AM88" i="7"/>
  <c r="AM90" i="7"/>
  <c r="AM91" i="7"/>
  <c r="AM93" i="7"/>
  <c r="AM94" i="7"/>
  <c r="AM95" i="7"/>
  <c r="AM96" i="7"/>
  <c r="AM98" i="7"/>
  <c r="AM99" i="7"/>
  <c r="AM101" i="7"/>
  <c r="AM102" i="7"/>
  <c r="AM103" i="7"/>
  <c r="AM104" i="7"/>
  <c r="AM106" i="7"/>
  <c r="AM107" i="7"/>
  <c r="AM109" i="7"/>
  <c r="AM110" i="7"/>
  <c r="AM111" i="7"/>
  <c r="AM112" i="7"/>
  <c r="AM114" i="7"/>
  <c r="AM115" i="7"/>
  <c r="AM117" i="7"/>
  <c r="AM118" i="7"/>
  <c r="AM119" i="7"/>
  <c r="AM120" i="7"/>
  <c r="AM122" i="7"/>
  <c r="AM123" i="7"/>
  <c r="AM125" i="7"/>
  <c r="AM126" i="7"/>
  <c r="AM127" i="7"/>
  <c r="AM128" i="7"/>
  <c r="AM130" i="7"/>
  <c r="AM131" i="7"/>
  <c r="AM133" i="7"/>
  <c r="AM134" i="7"/>
  <c r="AM135" i="7"/>
  <c r="AM136" i="7"/>
  <c r="AM138" i="7"/>
  <c r="AM139" i="7"/>
  <c r="AM141" i="7"/>
  <c r="AM142" i="7"/>
  <c r="AM143" i="7"/>
  <c r="AM144" i="7"/>
  <c r="AM146" i="7"/>
  <c r="AM147" i="7"/>
  <c r="AM149" i="7"/>
  <c r="AM150" i="7"/>
  <c r="AM151" i="7"/>
  <c r="AM152" i="7"/>
  <c r="AM154" i="7"/>
  <c r="AM155" i="7"/>
  <c r="AM157" i="7"/>
  <c r="AM158" i="7"/>
  <c r="AM159" i="7"/>
  <c r="AM160" i="7"/>
  <c r="AM162" i="7"/>
  <c r="AM163" i="7"/>
  <c r="AM165" i="7"/>
  <c r="AM166" i="7"/>
  <c r="AM167" i="7"/>
  <c r="AM168" i="7"/>
  <c r="AM170" i="7"/>
  <c r="AM171" i="7"/>
  <c r="AM173" i="7"/>
  <c r="AM174" i="7"/>
  <c r="AM175" i="7"/>
  <c r="AM176" i="7"/>
  <c r="AM178" i="7"/>
  <c r="AM179" i="7"/>
  <c r="AM181" i="7"/>
  <c r="AM182" i="7"/>
  <c r="AM183" i="7"/>
  <c r="AM184" i="7"/>
  <c r="AM186" i="7"/>
  <c r="AM187" i="7"/>
  <c r="AM189" i="7"/>
  <c r="AM190" i="7"/>
  <c r="AM191" i="7"/>
  <c r="AM192" i="7"/>
  <c r="AM194" i="7"/>
  <c r="AM195" i="7"/>
  <c r="AM197" i="7"/>
  <c r="AM198" i="7"/>
  <c r="AM199" i="7"/>
  <c r="AM200" i="7"/>
  <c r="AM202" i="7"/>
  <c r="AM203" i="7"/>
  <c r="AM205" i="7"/>
  <c r="AM206" i="7"/>
  <c r="AM207" i="7"/>
  <c r="AM208" i="7"/>
  <c r="AM210" i="7"/>
  <c r="AM211" i="7"/>
  <c r="AM213" i="7"/>
  <c r="AM214" i="7"/>
  <c r="AM215" i="7"/>
  <c r="AM216" i="7"/>
  <c r="AM218" i="7"/>
  <c r="AM219" i="7"/>
  <c r="AM221" i="7"/>
  <c r="AM222" i="7"/>
  <c r="AM223" i="7"/>
  <c r="AM224" i="7"/>
  <c r="AM226" i="7"/>
  <c r="AM227" i="7"/>
  <c r="AM229" i="7"/>
  <c r="AM230" i="7"/>
  <c r="AM231" i="7"/>
  <c r="AM232" i="7"/>
  <c r="AM234" i="7"/>
  <c r="AM235" i="7"/>
  <c r="AM237" i="7"/>
  <c r="AM238" i="7"/>
  <c r="AM239" i="7"/>
  <c r="AM240" i="7"/>
  <c r="AM242" i="7"/>
  <c r="AM243" i="7"/>
  <c r="AM245" i="7"/>
  <c r="AM246" i="7"/>
  <c r="AM247" i="7"/>
  <c r="AM248" i="7"/>
  <c r="AM250" i="7"/>
  <c r="AM251" i="7"/>
  <c r="AM253" i="7"/>
  <c r="AM254" i="7"/>
  <c r="AM255" i="7"/>
  <c r="AM256" i="7"/>
  <c r="AM258" i="7"/>
  <c r="AM259" i="7"/>
  <c r="AM261" i="7"/>
  <c r="AM262" i="7"/>
  <c r="AM263" i="7"/>
  <c r="AM264" i="7"/>
  <c r="AM266" i="7"/>
  <c r="AM267" i="7"/>
  <c r="AM269" i="7"/>
  <c r="AM270" i="7"/>
  <c r="AM271" i="7"/>
  <c r="AM272" i="7"/>
  <c r="AM274" i="7"/>
  <c r="AM275" i="7"/>
  <c r="AM277" i="7"/>
  <c r="AM278" i="7"/>
  <c r="AM279" i="7"/>
  <c r="AM280" i="7"/>
  <c r="AM282" i="7"/>
  <c r="AM283" i="7"/>
  <c r="AM285" i="7"/>
  <c r="AM286" i="7"/>
  <c r="AM287" i="7"/>
  <c r="AM288" i="7"/>
  <c r="AM290" i="7"/>
  <c r="AM291" i="7"/>
  <c r="AM293" i="7"/>
  <c r="AM294" i="7"/>
  <c r="AM295" i="7"/>
  <c r="AM296" i="7"/>
  <c r="AM298" i="7"/>
  <c r="AM299" i="7"/>
  <c r="AM301" i="7"/>
  <c r="AM302" i="7"/>
  <c r="AM303" i="7"/>
  <c r="AM304" i="7"/>
  <c r="AM306" i="7"/>
  <c r="AM307" i="7"/>
  <c r="AM309" i="7"/>
  <c r="AM310" i="7"/>
  <c r="AM311" i="7"/>
  <c r="AM312" i="7"/>
  <c r="AM314" i="7"/>
  <c r="AM315" i="7"/>
  <c r="AM317" i="7"/>
  <c r="AM318" i="7"/>
  <c r="AM319" i="7"/>
  <c r="AM320" i="7"/>
  <c r="AM322" i="7"/>
  <c r="AM323" i="7"/>
  <c r="AM325" i="7"/>
  <c r="AM326" i="7"/>
  <c r="AM327" i="7"/>
  <c r="AM328" i="7"/>
  <c r="AM330" i="7"/>
  <c r="AM331" i="7"/>
  <c r="AM333" i="7"/>
  <c r="AM334" i="7"/>
  <c r="AM335" i="7"/>
  <c r="AM336" i="7"/>
  <c r="AM338" i="7"/>
  <c r="AM339" i="7"/>
  <c r="AM341" i="7"/>
  <c r="AM342" i="7"/>
  <c r="AM343" i="7"/>
  <c r="AM344" i="7"/>
  <c r="AM346" i="7"/>
  <c r="AM347" i="7"/>
  <c r="AM349" i="7"/>
  <c r="AM350" i="7"/>
  <c r="AM351" i="7"/>
  <c r="AM352" i="7"/>
  <c r="AM354" i="7"/>
  <c r="AM355" i="7"/>
  <c r="AM357" i="7"/>
  <c r="AM358" i="7"/>
  <c r="AM359" i="7"/>
  <c r="AM360" i="7"/>
  <c r="AM362" i="7"/>
  <c r="AM363" i="7"/>
  <c r="AM365" i="7"/>
  <c r="AM366" i="7"/>
  <c r="AM367" i="7"/>
  <c r="AM368" i="7"/>
  <c r="AM370" i="7"/>
  <c r="AM371" i="7"/>
  <c r="AM373" i="7"/>
  <c r="AM374" i="7"/>
  <c r="AM375" i="7"/>
  <c r="AM376" i="7"/>
  <c r="AM378" i="7"/>
  <c r="AM379" i="7"/>
  <c r="AM381" i="7"/>
  <c r="AM382" i="7"/>
  <c r="AM383" i="7"/>
  <c r="AM384" i="7"/>
  <c r="AM386" i="7"/>
  <c r="AM387" i="7"/>
  <c r="AM389" i="7"/>
  <c r="AM390" i="7"/>
  <c r="AM391" i="7"/>
  <c r="AM392" i="7"/>
  <c r="AM394" i="7"/>
  <c r="AM395" i="7"/>
  <c r="AM397" i="7"/>
  <c r="AM398" i="7"/>
  <c r="AM399" i="7"/>
  <c r="AM400" i="7"/>
  <c r="AM402" i="7"/>
  <c r="AM403" i="7"/>
  <c r="AM405" i="7"/>
  <c r="AM406" i="7"/>
  <c r="AM407" i="7"/>
  <c r="AM408" i="7"/>
  <c r="AM410" i="7"/>
  <c r="AM411" i="7"/>
  <c r="AM413" i="7"/>
  <c r="AM414" i="7"/>
  <c r="AM415" i="7"/>
  <c r="AM416" i="7"/>
  <c r="AM418" i="7"/>
  <c r="AM419" i="7"/>
  <c r="AM421" i="7"/>
  <c r="AM422" i="7"/>
  <c r="AM423" i="7"/>
  <c r="AM424" i="7"/>
  <c r="AM426" i="7"/>
  <c r="AM427" i="7"/>
  <c r="AM429" i="7"/>
  <c r="AM430" i="7"/>
  <c r="AM431" i="7"/>
  <c r="AM432" i="7"/>
  <c r="AM434" i="7"/>
  <c r="AM435" i="7"/>
  <c r="AM437" i="7"/>
  <c r="AM438" i="7"/>
  <c r="AM439" i="7"/>
  <c r="AM440" i="7"/>
  <c r="AM442" i="7"/>
  <c r="AM443" i="7"/>
  <c r="AM445" i="7"/>
  <c r="AM446" i="7"/>
  <c r="AM447" i="7"/>
  <c r="AM448" i="7"/>
  <c r="AM450" i="7"/>
  <c r="AM451" i="7"/>
  <c r="AM453" i="7"/>
  <c r="AM454" i="7"/>
  <c r="AM455" i="7"/>
  <c r="AM456" i="7"/>
  <c r="AM458" i="7"/>
  <c r="AM459" i="7"/>
  <c r="AM461" i="7"/>
  <c r="AM462" i="7"/>
  <c r="AM463" i="7"/>
  <c r="AM464" i="7"/>
  <c r="AM466" i="7"/>
  <c r="AM467" i="7"/>
  <c r="AM469" i="7"/>
  <c r="AM470" i="7"/>
  <c r="AM471" i="7"/>
  <c r="AM472" i="7"/>
  <c r="AM474" i="7"/>
  <c r="AM475" i="7"/>
  <c r="AM477" i="7"/>
  <c r="AM478" i="7"/>
  <c r="AM479" i="7"/>
  <c r="AM480" i="7"/>
  <c r="AM482" i="7"/>
  <c r="AM483" i="7"/>
  <c r="AM485" i="7"/>
  <c r="AM486" i="7"/>
  <c r="AM487" i="7"/>
  <c r="AM488" i="7"/>
  <c r="AM490" i="7"/>
  <c r="AM491" i="7"/>
  <c r="AM493" i="7"/>
  <c r="AM494" i="7"/>
  <c r="AM495" i="7"/>
  <c r="AM496" i="7"/>
  <c r="AM498" i="7"/>
  <c r="AM499" i="7"/>
  <c r="AM501" i="7"/>
  <c r="AM502" i="7"/>
  <c r="AM503" i="7"/>
  <c r="AM504" i="7"/>
  <c r="AM506" i="7"/>
  <c r="AM507" i="7"/>
  <c r="AM509" i="7"/>
  <c r="AM510" i="7"/>
  <c r="AM511" i="7"/>
  <c r="AM512" i="7"/>
  <c r="AM514" i="7"/>
  <c r="AM515" i="7"/>
  <c r="AM517" i="7"/>
  <c r="AM518" i="7"/>
  <c r="AM519" i="7"/>
  <c r="AM520" i="7"/>
  <c r="AM522" i="7"/>
  <c r="AM523" i="7"/>
  <c r="AM525" i="7"/>
  <c r="AM526" i="7"/>
  <c r="AM527" i="7"/>
  <c r="AM528" i="7"/>
  <c r="AM530" i="7"/>
  <c r="AM531" i="7"/>
  <c r="AM533" i="7"/>
  <c r="AM534" i="7"/>
  <c r="AM535" i="7"/>
  <c r="AM536" i="7"/>
  <c r="AM538" i="7"/>
  <c r="AM539" i="7"/>
  <c r="AM541" i="7"/>
  <c r="AM542" i="7"/>
  <c r="AM543" i="7"/>
  <c r="AM544" i="7"/>
  <c r="AM546" i="7"/>
  <c r="AM547" i="7"/>
  <c r="AM548" i="7"/>
  <c r="AM549" i="7"/>
  <c r="AM550" i="7"/>
  <c r="AM551" i="7"/>
  <c r="AM552" i="7"/>
  <c r="AM554" i="7"/>
  <c r="AM555" i="7"/>
  <c r="AM557" i="7"/>
  <c r="AM558" i="7"/>
  <c r="AM559" i="7"/>
  <c r="AM560" i="7"/>
  <c r="AM562" i="7"/>
  <c r="AM563" i="7"/>
  <c r="AM565" i="7"/>
  <c r="AM566" i="7"/>
  <c r="AM567" i="7"/>
  <c r="AM568" i="7"/>
  <c r="AM570" i="7"/>
  <c r="AM571" i="7"/>
  <c r="AM573" i="7"/>
  <c r="AM574" i="7"/>
  <c r="AM575" i="7"/>
  <c r="AM576" i="7"/>
  <c r="AM578" i="7"/>
  <c r="AM579" i="7"/>
  <c r="AM581" i="7"/>
  <c r="AM582" i="7"/>
  <c r="AM583" i="7"/>
  <c r="AM584" i="7"/>
  <c r="AM586" i="7"/>
  <c r="AM587" i="7"/>
  <c r="AM589" i="7"/>
  <c r="AM590" i="7"/>
  <c r="AM591" i="7"/>
  <c r="AM592" i="7"/>
  <c r="AM594" i="7"/>
  <c r="AM595" i="7"/>
  <c r="AM597" i="7"/>
  <c r="AM598" i="7"/>
  <c r="AM599" i="7"/>
  <c r="AM600" i="7"/>
  <c r="AM602" i="7"/>
  <c r="AM603" i="7"/>
  <c r="AM605" i="7"/>
  <c r="AM606" i="7"/>
  <c r="AM607" i="7"/>
  <c r="AM608" i="7"/>
  <c r="AM610" i="7"/>
  <c r="AM611" i="7"/>
  <c r="AM613" i="7"/>
  <c r="AM614" i="7"/>
  <c r="AM615" i="7"/>
  <c r="AM616" i="7"/>
  <c r="AM618" i="7"/>
  <c r="AM619" i="7"/>
  <c r="AM621" i="7"/>
  <c r="AM622" i="7"/>
  <c r="AM623" i="7"/>
  <c r="AM624" i="7"/>
  <c r="AM626" i="7"/>
  <c r="AM627" i="7"/>
  <c r="AM629" i="7"/>
  <c r="AM630" i="7"/>
  <c r="AM631" i="7"/>
  <c r="AM632" i="7"/>
  <c r="AM634" i="7"/>
  <c r="AM635" i="7"/>
  <c r="AM637" i="7"/>
  <c r="AM638" i="7"/>
  <c r="AM639" i="7"/>
  <c r="AM640" i="7"/>
  <c r="AM642" i="7"/>
  <c r="AM643" i="7"/>
  <c r="AM645" i="7"/>
  <c r="AM646" i="7"/>
  <c r="AM647" i="7"/>
  <c r="AM648" i="7"/>
  <c r="AM650" i="7"/>
  <c r="AM651" i="7"/>
  <c r="AM653" i="7"/>
  <c r="AM654" i="7"/>
  <c r="AM655" i="7"/>
  <c r="AM656" i="7"/>
  <c r="AM658" i="7"/>
  <c r="AM659" i="7"/>
  <c r="AM661" i="7"/>
  <c r="AM662" i="7"/>
  <c r="AM663" i="7"/>
  <c r="AM664" i="7"/>
  <c r="AM666" i="7"/>
  <c r="AM667" i="7"/>
  <c r="AM669" i="7"/>
  <c r="AM670" i="7"/>
  <c r="AM671" i="7"/>
  <c r="AM672" i="7"/>
  <c r="AM674" i="7"/>
  <c r="AM675" i="7"/>
  <c r="AM677" i="7"/>
  <c r="AM678" i="7"/>
  <c r="AM679" i="7"/>
  <c r="AM680" i="7"/>
  <c r="AM682" i="7"/>
  <c r="AM683" i="7"/>
  <c r="AM685" i="7"/>
  <c r="AM686" i="7"/>
  <c r="AM687" i="7"/>
  <c r="AM688" i="7"/>
  <c r="AM690" i="7"/>
  <c r="AM691" i="7"/>
  <c r="AM693" i="7"/>
  <c r="AM694" i="7"/>
  <c r="AM695" i="7"/>
  <c r="AM696" i="7"/>
  <c r="AM698" i="7"/>
  <c r="AM699" i="7"/>
  <c r="AM701" i="7"/>
  <c r="AM702" i="7"/>
  <c r="AM703" i="7"/>
  <c r="AM704" i="7"/>
  <c r="AM706" i="7"/>
  <c r="AM707" i="7"/>
  <c r="AM709" i="7"/>
  <c r="AM710" i="7"/>
  <c r="AM711" i="7"/>
  <c r="AM712" i="7"/>
  <c r="AM714" i="7"/>
  <c r="AM715" i="7"/>
  <c r="AM717" i="7"/>
  <c r="AM718" i="7"/>
  <c r="AM719" i="7"/>
  <c r="AM720" i="7"/>
  <c r="AM722" i="7"/>
  <c r="AM723" i="7"/>
  <c r="AM725" i="7"/>
  <c r="AM726" i="7"/>
  <c r="AM727" i="7"/>
  <c r="AM728" i="7"/>
  <c r="AM730" i="7"/>
  <c r="AM731" i="7"/>
  <c r="AM732" i="7"/>
  <c r="AM733" i="7"/>
  <c r="AM734" i="7"/>
  <c r="AM735" i="7"/>
  <c r="AM736" i="7"/>
  <c r="AM738" i="7"/>
  <c r="AM739" i="7"/>
  <c r="AM741" i="7"/>
  <c r="AM742" i="7"/>
  <c r="AM743" i="7"/>
  <c r="AM744" i="7"/>
  <c r="AM746" i="7"/>
  <c r="AM747" i="7"/>
  <c r="AM749" i="7"/>
  <c r="AM750" i="7"/>
  <c r="AM751" i="7"/>
  <c r="AM752" i="7"/>
  <c r="AM754" i="7"/>
  <c r="AM755" i="7"/>
  <c r="AM757" i="7"/>
  <c r="AM758" i="7"/>
  <c r="AM759" i="7"/>
  <c r="AN3" i="7"/>
  <c r="AN4" i="7"/>
  <c r="AN5" i="7"/>
  <c r="AN6" i="7"/>
  <c r="AN8" i="7"/>
  <c r="AN9" i="7"/>
  <c r="AN11" i="7"/>
  <c r="AN12" i="7"/>
  <c r="AN13" i="7"/>
  <c r="AN14" i="7"/>
  <c r="AN16" i="7"/>
  <c r="AN17" i="7"/>
  <c r="AN19" i="7"/>
  <c r="AN20" i="7"/>
  <c r="AN21" i="7"/>
  <c r="AN22" i="7"/>
  <c r="AN24" i="7"/>
  <c r="AN25" i="7"/>
  <c r="AN27" i="7"/>
  <c r="AN28" i="7"/>
  <c r="AN29" i="7"/>
  <c r="AN30" i="7"/>
  <c r="AN32" i="7"/>
  <c r="AN33" i="7"/>
  <c r="AN35" i="7"/>
  <c r="AN36" i="7"/>
  <c r="AN37" i="7"/>
  <c r="AN38" i="7"/>
  <c r="AN40" i="7"/>
  <c r="AN41" i="7"/>
  <c r="AN43" i="7"/>
  <c r="AN44" i="7"/>
  <c r="AN45" i="7"/>
  <c r="AN46" i="7"/>
  <c r="AN48" i="7"/>
  <c r="AN49" i="7"/>
  <c r="AN51" i="7"/>
  <c r="AN52" i="7"/>
  <c r="AN53" i="7"/>
  <c r="AN54" i="7"/>
  <c r="AN56" i="7"/>
  <c r="AN57" i="7"/>
  <c r="AN59" i="7"/>
  <c r="AN60" i="7"/>
  <c r="AN61" i="7"/>
  <c r="AN62" i="7"/>
  <c r="AN64" i="7"/>
  <c r="AN65" i="7"/>
  <c r="AN67" i="7"/>
  <c r="AN68" i="7"/>
  <c r="AN69" i="7"/>
  <c r="AN70" i="7"/>
  <c r="AN72" i="7"/>
  <c r="AN73" i="7"/>
  <c r="AN75" i="7"/>
  <c r="AN76" i="7"/>
  <c r="AN77" i="7"/>
  <c r="AN78" i="7"/>
  <c r="AN80" i="7"/>
  <c r="AN81" i="7"/>
  <c r="AN83" i="7"/>
  <c r="AN84" i="7"/>
  <c r="AN85" i="7"/>
  <c r="AN86" i="7"/>
  <c r="AN88" i="7"/>
  <c r="AN89" i="7"/>
  <c r="AN91" i="7"/>
  <c r="AN92" i="7"/>
  <c r="AN93" i="7"/>
  <c r="AN94" i="7"/>
  <c r="AN96" i="7"/>
  <c r="AN97" i="7"/>
  <c r="AN99" i="7"/>
  <c r="AN100" i="7"/>
  <c r="AN101" i="7"/>
  <c r="AN102" i="7"/>
  <c r="AN104" i="7"/>
  <c r="AN105" i="7"/>
  <c r="AN107" i="7"/>
  <c r="AN108" i="7"/>
  <c r="AN109" i="7"/>
  <c r="AN110" i="7"/>
  <c r="AN112" i="7"/>
  <c r="AN113" i="7"/>
  <c r="AN115" i="7"/>
  <c r="AN116" i="7"/>
  <c r="AN117" i="7"/>
  <c r="AN118" i="7"/>
  <c r="AN120" i="7"/>
  <c r="AN121" i="7"/>
  <c r="AN123" i="7"/>
  <c r="AN124" i="7"/>
  <c r="AN125" i="7"/>
  <c r="AN126" i="7"/>
  <c r="AN128" i="7"/>
  <c r="AN129" i="7"/>
  <c r="AN131" i="7"/>
  <c r="AN132" i="7"/>
  <c r="AN133" i="7"/>
  <c r="AN134" i="7"/>
  <c r="AN136" i="7"/>
  <c r="AN137" i="7"/>
  <c r="AN139" i="7"/>
  <c r="AN140" i="7"/>
  <c r="AN141" i="7"/>
  <c r="AN142" i="7"/>
  <c r="AN144" i="7"/>
  <c r="AN145" i="7"/>
  <c r="AN147" i="7"/>
  <c r="AN148" i="7"/>
  <c r="AN149" i="7"/>
  <c r="AN150" i="7"/>
  <c r="AN151" i="7"/>
  <c r="AN152" i="7"/>
  <c r="AN153" i="7"/>
  <c r="AN155" i="7"/>
  <c r="AN156" i="7"/>
  <c r="AN157" i="7"/>
  <c r="AN158" i="7"/>
  <c r="AN160" i="7"/>
  <c r="AN161" i="7"/>
  <c r="AN163" i="7"/>
  <c r="AN164" i="7"/>
  <c r="AN165" i="7"/>
  <c r="AN166" i="7"/>
  <c r="AN168" i="7"/>
  <c r="AN169" i="7"/>
  <c r="AN171" i="7"/>
  <c r="AN172" i="7"/>
  <c r="AN173" i="7"/>
  <c r="AN174" i="7"/>
  <c r="AN176" i="7"/>
  <c r="AN177" i="7"/>
  <c r="AN179" i="7"/>
  <c r="AN180" i="7"/>
  <c r="AN181" i="7"/>
  <c r="AN182" i="7"/>
  <c r="AN184" i="7"/>
  <c r="AN185" i="7"/>
  <c r="AN187" i="7"/>
  <c r="AN188" i="7"/>
  <c r="AN189" i="7"/>
  <c r="AN190" i="7"/>
  <c r="AN192" i="7"/>
  <c r="AN193" i="7"/>
  <c r="AN195" i="7"/>
  <c r="AN196" i="7"/>
  <c r="AN197" i="7"/>
  <c r="AN198" i="7"/>
  <c r="AN200" i="7"/>
  <c r="AN201" i="7"/>
  <c r="AN203" i="7"/>
  <c r="AN204" i="7"/>
  <c r="AN205" i="7"/>
  <c r="AN206" i="7"/>
  <c r="AN208" i="7"/>
  <c r="AN209" i="7"/>
  <c r="AN211" i="7"/>
  <c r="AN212" i="7"/>
  <c r="AN213" i="7"/>
  <c r="AN214" i="7"/>
  <c r="AN216" i="7"/>
  <c r="AN217" i="7"/>
  <c r="AN219" i="7"/>
  <c r="AN220" i="7"/>
  <c r="AN221" i="7"/>
  <c r="AN222" i="7"/>
  <c r="AN224" i="7"/>
  <c r="AN225" i="7"/>
  <c r="AN227" i="7"/>
  <c r="AN228" i="7"/>
  <c r="AN229" i="7"/>
  <c r="AN230" i="7"/>
  <c r="AN232" i="7"/>
  <c r="AN233" i="7"/>
  <c r="AN235" i="7"/>
  <c r="AN236" i="7"/>
  <c r="AN237" i="7"/>
  <c r="AN238" i="7"/>
  <c r="AN239" i="7"/>
  <c r="AN240" i="7"/>
  <c r="AN241" i="7"/>
  <c r="AN243" i="7"/>
  <c r="AN244" i="7"/>
  <c r="AN245" i="7"/>
  <c r="AN246" i="7"/>
  <c r="AN248" i="7"/>
  <c r="AN249" i="7"/>
  <c r="AN251" i="7"/>
  <c r="AN252" i="7"/>
  <c r="AN253" i="7"/>
  <c r="AN254" i="7"/>
  <c r="AN256" i="7"/>
  <c r="AN257" i="7"/>
  <c r="AN259" i="7"/>
  <c r="AN260" i="7"/>
  <c r="AN261" i="7"/>
  <c r="AN262" i="7"/>
  <c r="AN264" i="7"/>
  <c r="AN265" i="7"/>
  <c r="AN267" i="7"/>
  <c r="AN268" i="7"/>
  <c r="AN269" i="7"/>
  <c r="AN270" i="7"/>
  <c r="AN272" i="7"/>
  <c r="AN273" i="7"/>
  <c r="AN275" i="7"/>
  <c r="AN276" i="7"/>
  <c r="AN277" i="7"/>
  <c r="AN278" i="7"/>
  <c r="AN279" i="7"/>
  <c r="AN280" i="7"/>
  <c r="AN281" i="7"/>
  <c r="AN283" i="7"/>
  <c r="AN284" i="7"/>
  <c r="AN285" i="7"/>
  <c r="AN286" i="7"/>
  <c r="AN288" i="7"/>
  <c r="AN289" i="7"/>
  <c r="AN291" i="7"/>
  <c r="AN292" i="7"/>
  <c r="AN293" i="7"/>
  <c r="AN294" i="7"/>
  <c r="AN296" i="7"/>
  <c r="AN297" i="7"/>
  <c r="AN299" i="7"/>
  <c r="AN300" i="7"/>
  <c r="AN301" i="7"/>
  <c r="AN302" i="7"/>
  <c r="AN304" i="7"/>
  <c r="AN305" i="7"/>
  <c r="AN307" i="7"/>
  <c r="AN308" i="7"/>
  <c r="AN309" i="7"/>
  <c r="AN310" i="7"/>
  <c r="AN312" i="7"/>
  <c r="AN313" i="7"/>
  <c r="AN315" i="7"/>
  <c r="AN316" i="7"/>
  <c r="AN317" i="7"/>
  <c r="AN318" i="7"/>
  <c r="AN320" i="7"/>
  <c r="AN321" i="7"/>
  <c r="AN323" i="7"/>
  <c r="AN324" i="7"/>
  <c r="AN325" i="7"/>
  <c r="AN326" i="7"/>
  <c r="AN328" i="7"/>
  <c r="AN329" i="7"/>
  <c r="AN331" i="7"/>
  <c r="AN332" i="7"/>
  <c r="AN333" i="7"/>
  <c r="AN334" i="7"/>
  <c r="AN336" i="7"/>
  <c r="AN337" i="7"/>
  <c r="AN339" i="7"/>
  <c r="AN340" i="7"/>
  <c r="AN341" i="7"/>
  <c r="AN342" i="7"/>
  <c r="AN344" i="7"/>
  <c r="AN345" i="7"/>
  <c r="AN347" i="7"/>
  <c r="AN348" i="7"/>
  <c r="AN349" i="7"/>
  <c r="AN350" i="7"/>
  <c r="AN352" i="7"/>
  <c r="AN353" i="7"/>
  <c r="AN355" i="7"/>
  <c r="AN356" i="7"/>
  <c r="AN357" i="7"/>
  <c r="AN358" i="7"/>
  <c r="AN360" i="7"/>
  <c r="AN361" i="7"/>
  <c r="AN363" i="7"/>
  <c r="AN364" i="7"/>
  <c r="AN365" i="7"/>
  <c r="AN366" i="7"/>
  <c r="AN367" i="7"/>
  <c r="AN368" i="7"/>
  <c r="AN369" i="7"/>
  <c r="AN371" i="7"/>
  <c r="AN372" i="7"/>
  <c r="AN373" i="7"/>
  <c r="AN374" i="7"/>
  <c r="AN376" i="7"/>
  <c r="AN377" i="7"/>
  <c r="AN379" i="7"/>
  <c r="AN380" i="7"/>
  <c r="AN381" i="7"/>
  <c r="AN382" i="7"/>
  <c r="AN384" i="7"/>
  <c r="AN385" i="7"/>
  <c r="AN387" i="7"/>
  <c r="AN388" i="7"/>
  <c r="AN389" i="7"/>
  <c r="AN390" i="7"/>
  <c r="AN392" i="7"/>
  <c r="AN393" i="7"/>
  <c r="AN395" i="7"/>
  <c r="AN396" i="7"/>
  <c r="AN397" i="7"/>
  <c r="AN398" i="7"/>
  <c r="AN400" i="7"/>
  <c r="AN401" i="7"/>
  <c r="AN403" i="7"/>
  <c r="AN404" i="7"/>
  <c r="AN405" i="7"/>
  <c r="AN406" i="7"/>
  <c r="AN407" i="7"/>
  <c r="AN408" i="7"/>
  <c r="AN409" i="7"/>
  <c r="AN411" i="7"/>
  <c r="AN412" i="7"/>
  <c r="AN413" i="7"/>
  <c r="AN414" i="7"/>
  <c r="AN416" i="7"/>
  <c r="AN417" i="7"/>
  <c r="AN419" i="7"/>
  <c r="AN420" i="7"/>
  <c r="AN421" i="7"/>
  <c r="AN422" i="7"/>
  <c r="AN424" i="7"/>
  <c r="AN425" i="7"/>
  <c r="AN427" i="7"/>
  <c r="AN428" i="7"/>
  <c r="AN429" i="7"/>
  <c r="AN430" i="7"/>
  <c r="AN432" i="7"/>
  <c r="AN433" i="7"/>
  <c r="AN435" i="7"/>
  <c r="AN436" i="7"/>
  <c r="AN437" i="7"/>
  <c r="AN438" i="7"/>
  <c r="AN440" i="7"/>
  <c r="AN441" i="7"/>
  <c r="AN443" i="7"/>
  <c r="AN444" i="7"/>
  <c r="AN445" i="7"/>
  <c r="AN446" i="7"/>
  <c r="AN448" i="7"/>
  <c r="AN449" i="7"/>
  <c r="AN451" i="7"/>
  <c r="AN452" i="7"/>
  <c r="AN453" i="7"/>
  <c r="AN454" i="7"/>
  <c r="AN456" i="7"/>
  <c r="AN457" i="7"/>
  <c r="AN459" i="7"/>
  <c r="AN460" i="7"/>
  <c r="AN461" i="7"/>
  <c r="AN462" i="7"/>
  <c r="AN464" i="7"/>
  <c r="AN465" i="7"/>
  <c r="AN467" i="7"/>
  <c r="AN468" i="7"/>
  <c r="AN469" i="7"/>
  <c r="AN470" i="7"/>
  <c r="AN472" i="7"/>
  <c r="AN473" i="7"/>
  <c r="AN475" i="7"/>
  <c r="AN476" i="7"/>
  <c r="AN477" i="7"/>
  <c r="AN478" i="7"/>
  <c r="AN480" i="7"/>
  <c r="AN481" i="7"/>
  <c r="AN483" i="7"/>
  <c r="AN484" i="7"/>
  <c r="AN485" i="7"/>
  <c r="AN486" i="7"/>
  <c r="AN488" i="7"/>
  <c r="AN489" i="7"/>
  <c r="AN491" i="7"/>
  <c r="AN492" i="7"/>
  <c r="AN493" i="7"/>
  <c r="AN494" i="7"/>
  <c r="AN495" i="7"/>
  <c r="AN496" i="7"/>
  <c r="AN497" i="7"/>
  <c r="AN499" i="7"/>
  <c r="AN500" i="7"/>
  <c r="AN501" i="7"/>
  <c r="AN502" i="7"/>
  <c r="AN504" i="7"/>
  <c r="AN505" i="7"/>
  <c r="AN507" i="7"/>
  <c r="AN508" i="7"/>
  <c r="AN509" i="7"/>
  <c r="AN510" i="7"/>
  <c r="AN512" i="7"/>
  <c r="AN513" i="7"/>
  <c r="AN515" i="7"/>
  <c r="AN516" i="7"/>
  <c r="AN517" i="7"/>
  <c r="AN518" i="7"/>
  <c r="AN520" i="7"/>
  <c r="AN521" i="7"/>
  <c r="AN523" i="7"/>
  <c r="AN524" i="7"/>
  <c r="AN525" i="7"/>
  <c r="AN526" i="7"/>
  <c r="AN528" i="7"/>
  <c r="AN529" i="7"/>
  <c r="AN531" i="7"/>
  <c r="AN532" i="7"/>
  <c r="AN533" i="7"/>
  <c r="AN534" i="7"/>
  <c r="AN535" i="7"/>
  <c r="AN536" i="7"/>
  <c r="AN537" i="7"/>
  <c r="AN539" i="7"/>
  <c r="AN540" i="7"/>
  <c r="AN541" i="7"/>
  <c r="AN542" i="7"/>
  <c r="AN544" i="7"/>
  <c r="AN545" i="7"/>
  <c r="AN547" i="7"/>
  <c r="AN548" i="7"/>
  <c r="AN549" i="7"/>
  <c r="AN550" i="7"/>
  <c r="AN552" i="7"/>
  <c r="AN553" i="7"/>
  <c r="AN555" i="7"/>
  <c r="AN556" i="7"/>
  <c r="AN557" i="7"/>
  <c r="AN558" i="7"/>
  <c r="AN560" i="7"/>
  <c r="AN561" i="7"/>
  <c r="AN563" i="7"/>
  <c r="AN564" i="7"/>
  <c r="AN565" i="7"/>
  <c r="AN566" i="7"/>
  <c r="AN568" i="7"/>
  <c r="AN569" i="7"/>
  <c r="AN571" i="7"/>
  <c r="AN572" i="7"/>
  <c r="AN573" i="7"/>
  <c r="AN574" i="7"/>
  <c r="AN576" i="7"/>
  <c r="AN577" i="7"/>
  <c r="AN579" i="7"/>
  <c r="AN580" i="7"/>
  <c r="AN581" i="7"/>
  <c r="AN582" i="7"/>
  <c r="AN584" i="7"/>
  <c r="AN585" i="7"/>
  <c r="AN587" i="7"/>
  <c r="AN588" i="7"/>
  <c r="AN589" i="7"/>
  <c r="AN590" i="7"/>
  <c r="AN592" i="7"/>
  <c r="AN593" i="7"/>
  <c r="AN595" i="7"/>
  <c r="AN596" i="7"/>
  <c r="AN597" i="7"/>
  <c r="AN598" i="7"/>
  <c r="AN600" i="7"/>
  <c r="AN601" i="7"/>
  <c r="AN603" i="7"/>
  <c r="AN604" i="7"/>
  <c r="AN605" i="7"/>
  <c r="AN606" i="7"/>
  <c r="AN608" i="7"/>
  <c r="AN609" i="7"/>
  <c r="AN611" i="7"/>
  <c r="AN612" i="7"/>
  <c r="AN613" i="7"/>
  <c r="AN614" i="7"/>
  <c r="AN616" i="7"/>
  <c r="AN617" i="7"/>
  <c r="AN619" i="7"/>
  <c r="AN620" i="7"/>
  <c r="AN621" i="7"/>
  <c r="AN622" i="7"/>
  <c r="AN624" i="7"/>
  <c r="AN625" i="7"/>
  <c r="AN627" i="7"/>
  <c r="AN628" i="7"/>
  <c r="AN629" i="7"/>
  <c r="AN630" i="7"/>
  <c r="AN632" i="7"/>
  <c r="AN633" i="7"/>
  <c r="AN635" i="7"/>
  <c r="AN636" i="7"/>
  <c r="AN637" i="7"/>
  <c r="AN638" i="7"/>
  <c r="AN640" i="7"/>
  <c r="AN641" i="7"/>
  <c r="AN643" i="7"/>
  <c r="AN644" i="7"/>
  <c r="AN645" i="7"/>
  <c r="AN646" i="7"/>
  <c r="AN648" i="7"/>
  <c r="AN649" i="7"/>
  <c r="AN651" i="7"/>
  <c r="AN652" i="7"/>
  <c r="AN653" i="7"/>
  <c r="AN654" i="7"/>
  <c r="AN656" i="7"/>
  <c r="AN657" i="7"/>
  <c r="AN659" i="7"/>
  <c r="AN660" i="7"/>
  <c r="AN661" i="7"/>
  <c r="AN662" i="7"/>
  <c r="AN664" i="7"/>
  <c r="AN665" i="7"/>
  <c r="AN667" i="7"/>
  <c r="AN668" i="7"/>
  <c r="AN669" i="7"/>
  <c r="AN670" i="7"/>
  <c r="AN672" i="7"/>
  <c r="AN673" i="7"/>
  <c r="AN675" i="7"/>
  <c r="AN676" i="7"/>
  <c r="AN677" i="7"/>
  <c r="AN678" i="7"/>
  <c r="AN680" i="7"/>
  <c r="AN681" i="7"/>
  <c r="AN683" i="7"/>
  <c r="AN684" i="7"/>
  <c r="AN685" i="7"/>
  <c r="AN686" i="7"/>
  <c r="AN688" i="7"/>
  <c r="AN689" i="7"/>
  <c r="AN691" i="7"/>
  <c r="AN692" i="7"/>
  <c r="AN693" i="7"/>
  <c r="AN694" i="7"/>
  <c r="AN696" i="7"/>
  <c r="AN697" i="7"/>
  <c r="AN699" i="7"/>
  <c r="AN700" i="7"/>
  <c r="AN701" i="7"/>
  <c r="AN702" i="7"/>
  <c r="AN704" i="7"/>
  <c r="AN705" i="7"/>
  <c r="AN707" i="7"/>
  <c r="AN708" i="7"/>
  <c r="AN709" i="7"/>
  <c r="AN710" i="7"/>
  <c r="AN712" i="7"/>
  <c r="AN713" i="7"/>
  <c r="AN715" i="7"/>
  <c r="AN716" i="7"/>
  <c r="AN717" i="7"/>
  <c r="AN718" i="7"/>
  <c r="AN720" i="7"/>
  <c r="AN721" i="7"/>
  <c r="AN723" i="7"/>
  <c r="AN724" i="7"/>
  <c r="AN725" i="7"/>
  <c r="AN726" i="7"/>
  <c r="AN728" i="7"/>
  <c r="AN729" i="7"/>
  <c r="AN731" i="7"/>
  <c r="AN732" i="7"/>
  <c r="AN733" i="7"/>
  <c r="AN734" i="7"/>
  <c r="AN736" i="7"/>
  <c r="AN737" i="7"/>
  <c r="AN739" i="7"/>
  <c r="AN740" i="7"/>
  <c r="AN741" i="7"/>
  <c r="AN742" i="7"/>
  <c r="AN744" i="7"/>
  <c r="AN745" i="7"/>
  <c r="AN747" i="7"/>
  <c r="AN748" i="7"/>
  <c r="AN749" i="7"/>
  <c r="AN750" i="7"/>
  <c r="AN752" i="7"/>
  <c r="AN753" i="7"/>
  <c r="AN755" i="7"/>
  <c r="AN756" i="7"/>
  <c r="AN757" i="7"/>
  <c r="AN758" i="7"/>
  <c r="AO2" i="7"/>
  <c r="AO3" i="7"/>
  <c r="AO5" i="7"/>
  <c r="AO6" i="7"/>
  <c r="AO7" i="7"/>
  <c r="AO8" i="7"/>
  <c r="AO10" i="7"/>
  <c r="AO11" i="7"/>
  <c r="AO13" i="7"/>
  <c r="AO14" i="7"/>
  <c r="AO15" i="7"/>
  <c r="AO16" i="7"/>
  <c r="AO18" i="7"/>
  <c r="AO19" i="7"/>
  <c r="AO21" i="7"/>
  <c r="AO22" i="7"/>
  <c r="AO23" i="7"/>
  <c r="AO24" i="7"/>
  <c r="AO26" i="7"/>
  <c r="AO27" i="7"/>
  <c r="AO29" i="7"/>
  <c r="AO30" i="7"/>
  <c r="AO31" i="7"/>
  <c r="AO32" i="7"/>
  <c r="AO34" i="7"/>
  <c r="AO35" i="7"/>
  <c r="AO37" i="7"/>
  <c r="AO38" i="7"/>
  <c r="AO39" i="7"/>
  <c r="AO40" i="7"/>
  <c r="AO42" i="7"/>
  <c r="AO43" i="7"/>
  <c r="AO45" i="7"/>
  <c r="AO46" i="7"/>
  <c r="AO47" i="7"/>
  <c r="AO48" i="7"/>
  <c r="AO50" i="7"/>
  <c r="AO51" i="7"/>
  <c r="AO53" i="7"/>
  <c r="AO54" i="7"/>
  <c r="AO55" i="7"/>
  <c r="AO56" i="7"/>
  <c r="AO58" i="7"/>
  <c r="AO59" i="7"/>
  <c r="AO61" i="7"/>
  <c r="AO62" i="7"/>
  <c r="AO63" i="7"/>
  <c r="AO64" i="7"/>
  <c r="AO66" i="7"/>
  <c r="AO67" i="7"/>
  <c r="AO69" i="7"/>
  <c r="AO70" i="7"/>
  <c r="AO71" i="7"/>
  <c r="AO72" i="7"/>
  <c r="AO74" i="7"/>
  <c r="AO75" i="7"/>
  <c r="AO77" i="7"/>
  <c r="AO78" i="7"/>
  <c r="AO79" i="7"/>
  <c r="AO80" i="7"/>
  <c r="AO82" i="7"/>
  <c r="AO83" i="7"/>
  <c r="AO85" i="7"/>
  <c r="AO86" i="7"/>
  <c r="AO87" i="7"/>
  <c r="AO88" i="7"/>
  <c r="AO90" i="7"/>
  <c r="AO91" i="7"/>
  <c r="AO93" i="7"/>
  <c r="AO94" i="7"/>
  <c r="AO95" i="7"/>
  <c r="AO96" i="7"/>
  <c r="AO98" i="7"/>
  <c r="AO99" i="7"/>
  <c r="AO101" i="7"/>
  <c r="AO102" i="7"/>
  <c r="AO103" i="7"/>
  <c r="AO104" i="7"/>
  <c r="AO106" i="7"/>
  <c r="AO107" i="7"/>
  <c r="AO109" i="7"/>
  <c r="AO110" i="7"/>
  <c r="AO111" i="7"/>
  <c r="AO112" i="7"/>
  <c r="AO114" i="7"/>
  <c r="AO115" i="7"/>
  <c r="AO117" i="7"/>
  <c r="AO118" i="7"/>
  <c r="AO119" i="7"/>
  <c r="AO120" i="7"/>
  <c r="AO122" i="7"/>
  <c r="AO123" i="7"/>
  <c r="AO125" i="7"/>
  <c r="AO126" i="7"/>
  <c r="AO127" i="7"/>
  <c r="AO128" i="7"/>
  <c r="AO130" i="7"/>
  <c r="AO131" i="7"/>
  <c r="AO133" i="7"/>
  <c r="AO134" i="7"/>
  <c r="AO135" i="7"/>
  <c r="AO136" i="7"/>
  <c r="AO138" i="7"/>
  <c r="AO139" i="7"/>
  <c r="AO141" i="7"/>
  <c r="AO142" i="7"/>
  <c r="AO143" i="7"/>
  <c r="AO144" i="7"/>
  <c r="AO146" i="7"/>
  <c r="AO147" i="7"/>
  <c r="AO149" i="7"/>
  <c r="AO150" i="7"/>
  <c r="AO151" i="7"/>
  <c r="AO152" i="7"/>
  <c r="AO154" i="7"/>
  <c r="AO155" i="7"/>
  <c r="AO157" i="7"/>
  <c r="AO158" i="7"/>
  <c r="AO159" i="7"/>
  <c r="AO160" i="7"/>
  <c r="AO162" i="7"/>
  <c r="AO163" i="7"/>
  <c r="AO165" i="7"/>
  <c r="AO166" i="7"/>
  <c r="AO167" i="7"/>
  <c r="AO168" i="7"/>
  <c r="AO170" i="7"/>
  <c r="AO171" i="7"/>
  <c r="AO173" i="7"/>
  <c r="AO174" i="7"/>
  <c r="AO175" i="7"/>
  <c r="AO176" i="7"/>
  <c r="AO178" i="7"/>
  <c r="AO179" i="7"/>
  <c r="AO181" i="7"/>
  <c r="AO182" i="7"/>
  <c r="AO183" i="7"/>
  <c r="AO184" i="7"/>
  <c r="AO186" i="7"/>
  <c r="AO187" i="7"/>
  <c r="AO189" i="7"/>
  <c r="AO190" i="7"/>
  <c r="AO191" i="7"/>
  <c r="AO192" i="7"/>
  <c r="AO194" i="7"/>
  <c r="AO195" i="7"/>
  <c r="AO197" i="7"/>
  <c r="AO198" i="7"/>
  <c r="AO199" i="7"/>
  <c r="AO200" i="7"/>
  <c r="AO202" i="7"/>
  <c r="AO203" i="7"/>
  <c r="AO205" i="7"/>
  <c r="AO206" i="7"/>
  <c r="AO207" i="7"/>
  <c r="AO208" i="7"/>
  <c r="AO210" i="7"/>
  <c r="AO211" i="7"/>
  <c r="AO213" i="7"/>
  <c r="AO214" i="7"/>
  <c r="AO215" i="7"/>
  <c r="AO216" i="7"/>
  <c r="AO218" i="7"/>
  <c r="AO219" i="7"/>
  <c r="AO221" i="7"/>
  <c r="AO222" i="7"/>
  <c r="AO223" i="7"/>
  <c r="AO224" i="7"/>
  <c r="AO226" i="7"/>
  <c r="AO227" i="7"/>
  <c r="AO229" i="7"/>
  <c r="AO230" i="7"/>
  <c r="AO231" i="7"/>
  <c r="AO232" i="7"/>
  <c r="AO234" i="7"/>
  <c r="AO235" i="7"/>
  <c r="AO237" i="7"/>
  <c r="AO238" i="7"/>
  <c r="AO239" i="7"/>
  <c r="AO240" i="7"/>
  <c r="AO242" i="7"/>
  <c r="AO243" i="7"/>
  <c r="AO245" i="7"/>
  <c r="AO246" i="7"/>
  <c r="AO247" i="7"/>
  <c r="AO248" i="7"/>
  <c r="AO250" i="7"/>
  <c r="AO251" i="7"/>
  <c r="AO253" i="7"/>
  <c r="AO254" i="7"/>
  <c r="AO255" i="7"/>
  <c r="AO256" i="7"/>
  <c r="AO258" i="7"/>
  <c r="AO259" i="7"/>
  <c r="AO261" i="7"/>
  <c r="AO262" i="7"/>
  <c r="AO263" i="7"/>
  <c r="AO264" i="7"/>
  <c r="AO266" i="7"/>
  <c r="AO267" i="7"/>
  <c r="AO269" i="7"/>
  <c r="AO270" i="7"/>
  <c r="AO271" i="7"/>
  <c r="AO272" i="7"/>
  <c r="AO274" i="7"/>
  <c r="AO275" i="7"/>
  <c r="AO277" i="7"/>
  <c r="AO278" i="7"/>
  <c r="AO279" i="7"/>
  <c r="AO280" i="7"/>
  <c r="AO282" i="7"/>
  <c r="AO283" i="7"/>
  <c r="AO285" i="7"/>
  <c r="AO286" i="7"/>
  <c r="AO287" i="7"/>
  <c r="AO288" i="7"/>
  <c r="AO290" i="7"/>
  <c r="AO291" i="7"/>
  <c r="AO293" i="7"/>
  <c r="AO294" i="7"/>
  <c r="AO295" i="7"/>
  <c r="AO296" i="7"/>
  <c r="AO298" i="7"/>
  <c r="AO299" i="7"/>
  <c r="AO301" i="7"/>
  <c r="AO302" i="7"/>
  <c r="AO303" i="7"/>
  <c r="AO304" i="7"/>
  <c r="AO306" i="7"/>
  <c r="AO307" i="7"/>
  <c r="AO309" i="7"/>
  <c r="AO310" i="7"/>
  <c r="AO311" i="7"/>
  <c r="AO312" i="7"/>
  <c r="AO314" i="7"/>
  <c r="AO315" i="7"/>
  <c r="AO317" i="7"/>
  <c r="AO318" i="7"/>
  <c r="AO319" i="7"/>
  <c r="AO320" i="7"/>
  <c r="AO322" i="7"/>
  <c r="AO323" i="7"/>
  <c r="AO325" i="7"/>
  <c r="AO326" i="7"/>
  <c r="AO327" i="7"/>
  <c r="AO328" i="7"/>
  <c r="AO330" i="7"/>
  <c r="AO331" i="7"/>
  <c r="AO333" i="7"/>
  <c r="AO334" i="7"/>
  <c r="AO335" i="7"/>
  <c r="AO336" i="7"/>
  <c r="AO338" i="7"/>
  <c r="AO339" i="7"/>
  <c r="AO341" i="7"/>
  <c r="AO342" i="7"/>
  <c r="AO343" i="7"/>
  <c r="AO344" i="7"/>
  <c r="AO346" i="7"/>
  <c r="AO347" i="7"/>
  <c r="AO349" i="7"/>
  <c r="AO350" i="7"/>
  <c r="AO351" i="7"/>
  <c r="AO352" i="7"/>
  <c r="AO354" i="7"/>
  <c r="AO355" i="7"/>
  <c r="AO357" i="7"/>
  <c r="AO358" i="7"/>
  <c r="AO359" i="7"/>
  <c r="AO360" i="7"/>
  <c r="AO362" i="7"/>
  <c r="AO363" i="7"/>
  <c r="AO365" i="7"/>
  <c r="AO366" i="7"/>
  <c r="AO367" i="7"/>
  <c r="AO368" i="7"/>
  <c r="AO370" i="7"/>
  <c r="AO371" i="7"/>
  <c r="AO373" i="7"/>
  <c r="AO374" i="7"/>
  <c r="AO375" i="7"/>
  <c r="AO376" i="7"/>
  <c r="AO378" i="7"/>
  <c r="AO379" i="7"/>
  <c r="AO381" i="7"/>
  <c r="AO382" i="7"/>
  <c r="AO383" i="7"/>
  <c r="AO384" i="7"/>
  <c r="AO386" i="7"/>
  <c r="AO387" i="7"/>
  <c r="AO389" i="7"/>
  <c r="AO390" i="7"/>
  <c r="AO391" i="7"/>
  <c r="AO392" i="7"/>
  <c r="AO394" i="7"/>
  <c r="AO395" i="7"/>
  <c r="AO397" i="7"/>
  <c r="AO398" i="7"/>
  <c r="AO399" i="7"/>
  <c r="AO400" i="7"/>
  <c r="AO402" i="7"/>
  <c r="AO403" i="7"/>
  <c r="AO405" i="7"/>
  <c r="AO406" i="7"/>
  <c r="AO407" i="7"/>
  <c r="AO408" i="7"/>
  <c r="AO410" i="7"/>
  <c r="AO411" i="7"/>
  <c r="AO413" i="7"/>
  <c r="AO414" i="7"/>
  <c r="AO415" i="7"/>
  <c r="AO416" i="7"/>
  <c r="AO418" i="7"/>
  <c r="AO419" i="7"/>
  <c r="AO421" i="7"/>
  <c r="AO422" i="7"/>
  <c r="AO423" i="7"/>
  <c r="AO424" i="7"/>
  <c r="AO426" i="7"/>
  <c r="AO427" i="7"/>
  <c r="AO429" i="7"/>
  <c r="AO430" i="7"/>
  <c r="AO431" i="7"/>
  <c r="AO432" i="7"/>
  <c r="AO434" i="7"/>
  <c r="AO435" i="7"/>
  <c r="AO437" i="7"/>
  <c r="AO438" i="7"/>
  <c r="AO439" i="7"/>
  <c r="AO440" i="7"/>
  <c r="AO442" i="7"/>
  <c r="AO443" i="7"/>
  <c r="AO445" i="7"/>
  <c r="AO446" i="7"/>
  <c r="AO447" i="7"/>
  <c r="AO448" i="7"/>
  <c r="AO450" i="7"/>
  <c r="AO451" i="7"/>
  <c r="AO453" i="7"/>
  <c r="AO454" i="7"/>
  <c r="AO455" i="7"/>
  <c r="AO456" i="7"/>
  <c r="AO458" i="7"/>
  <c r="AO459" i="7"/>
  <c r="AO461" i="7"/>
  <c r="AO462" i="7"/>
  <c r="AO463" i="7"/>
  <c r="AO464" i="7"/>
  <c r="AO466" i="7"/>
  <c r="AO467" i="7"/>
  <c r="AO469" i="7"/>
  <c r="AO470" i="7"/>
  <c r="AO471" i="7"/>
  <c r="AO472" i="7"/>
  <c r="AO474" i="7"/>
  <c r="AO475" i="7"/>
  <c r="AO477" i="7"/>
  <c r="AO478" i="7"/>
  <c r="AO479" i="7"/>
  <c r="AO480" i="7"/>
  <c r="AO482" i="7"/>
  <c r="AO483" i="7"/>
  <c r="AO485" i="7"/>
  <c r="AO486" i="7"/>
  <c r="AO487" i="7"/>
  <c r="AO488" i="7"/>
  <c r="AO490" i="7"/>
  <c r="AO491" i="7"/>
  <c r="AO493" i="7"/>
  <c r="AO494" i="7"/>
  <c r="AO495" i="7"/>
  <c r="AO496" i="7"/>
  <c r="AO498" i="7"/>
  <c r="AO499" i="7"/>
  <c r="AO500" i="7"/>
  <c r="AO501" i="7"/>
  <c r="AO502" i="7"/>
  <c r="AO503" i="7"/>
  <c r="AO504" i="7"/>
  <c r="AO506" i="7"/>
  <c r="AO507" i="7"/>
  <c r="AO509" i="7"/>
  <c r="AO510" i="7"/>
  <c r="AO511" i="7"/>
  <c r="AO512" i="7"/>
  <c r="AO514" i="7"/>
  <c r="AO515" i="7"/>
  <c r="AO517" i="7"/>
  <c r="AO518" i="7"/>
  <c r="AO519" i="7"/>
  <c r="AO520" i="7"/>
  <c r="AO522" i="7"/>
  <c r="AO523" i="7"/>
  <c r="AO525" i="7"/>
  <c r="AO526" i="7"/>
  <c r="AO527" i="7"/>
  <c r="AO528" i="7"/>
  <c r="AO530" i="7"/>
  <c r="AO531" i="7"/>
  <c r="AO533" i="7"/>
  <c r="AO534" i="7"/>
  <c r="AO535" i="7"/>
  <c r="AO536" i="7"/>
  <c r="AO538" i="7"/>
  <c r="AO539" i="7"/>
  <c r="AO541" i="7"/>
  <c r="AO542" i="7"/>
  <c r="AO543" i="7"/>
  <c r="AO544" i="7"/>
  <c r="AO546" i="7"/>
  <c r="AO547" i="7"/>
  <c r="AO549" i="7"/>
  <c r="AO550" i="7"/>
  <c r="AO551" i="7"/>
  <c r="AO552" i="7"/>
  <c r="AO554" i="7"/>
  <c r="AO555" i="7"/>
  <c r="AO557" i="7"/>
  <c r="AO558" i="7"/>
  <c r="AO559" i="7"/>
  <c r="AO560" i="7"/>
  <c r="AO562" i="7"/>
  <c r="AO563" i="7"/>
  <c r="AO564" i="7"/>
  <c r="AO565" i="7"/>
  <c r="AO566" i="7"/>
  <c r="AO567" i="7"/>
  <c r="AO568" i="7"/>
  <c r="AO570" i="7"/>
  <c r="AO571" i="7"/>
  <c r="AO573" i="7"/>
  <c r="AO574" i="7"/>
  <c r="AO575" i="7"/>
  <c r="AO576" i="7"/>
  <c r="AO578" i="7"/>
  <c r="AO579" i="7"/>
  <c r="AO581" i="7"/>
  <c r="AO582" i="7"/>
  <c r="AO583" i="7"/>
  <c r="AO584" i="7"/>
  <c r="AO586" i="7"/>
  <c r="AO587" i="7"/>
  <c r="AO589" i="7"/>
  <c r="AO590" i="7"/>
  <c r="AO591" i="7"/>
  <c r="AO592" i="7"/>
  <c r="AO594" i="7"/>
  <c r="AO595" i="7"/>
  <c r="AO597" i="7"/>
  <c r="AO598" i="7"/>
  <c r="AO599" i="7"/>
  <c r="AO600" i="7"/>
  <c r="AO602" i="7"/>
  <c r="AO603" i="7"/>
  <c r="AO605" i="7"/>
  <c r="AO606" i="7"/>
  <c r="AO607" i="7"/>
  <c r="AO608" i="7"/>
  <c r="AO610" i="7"/>
  <c r="AO611" i="7"/>
  <c r="AO613" i="7"/>
  <c r="AO614" i="7"/>
  <c r="AO615" i="7"/>
  <c r="AO616" i="7"/>
  <c r="AO618" i="7"/>
  <c r="AO619" i="7"/>
  <c r="AO621" i="7"/>
  <c r="AO622" i="7"/>
  <c r="AO623" i="7"/>
  <c r="AO624" i="7"/>
  <c r="AO626" i="7"/>
  <c r="AO627" i="7"/>
  <c r="AO628" i="7"/>
  <c r="AO629" i="7"/>
  <c r="AO630" i="7"/>
  <c r="AO631" i="7"/>
  <c r="AO632" i="7"/>
  <c r="AO633" i="7"/>
  <c r="AO634" i="7"/>
  <c r="AO635" i="7"/>
  <c r="AO636" i="7"/>
  <c r="AO637" i="7"/>
  <c r="AO638" i="7"/>
  <c r="AO639" i="7"/>
  <c r="AO640" i="7"/>
  <c r="AO641" i="7"/>
  <c r="AO642" i="7"/>
  <c r="AO643" i="7"/>
  <c r="AO644" i="7"/>
  <c r="AO645" i="7"/>
  <c r="AO646" i="7"/>
  <c r="AO647" i="7"/>
  <c r="AO648" i="7"/>
  <c r="AO649" i="7"/>
  <c r="AO650" i="7"/>
  <c r="AO651" i="7"/>
  <c r="AO652" i="7"/>
  <c r="AO653" i="7"/>
  <c r="AO654" i="7"/>
  <c r="AO655" i="7"/>
  <c r="AO656" i="7"/>
  <c r="AO657" i="7"/>
  <c r="AO658" i="7"/>
  <c r="AO659" i="7"/>
  <c r="AO660" i="7"/>
  <c r="AO661" i="7"/>
  <c r="AO662" i="7"/>
  <c r="AO663" i="7"/>
  <c r="AO664" i="7"/>
  <c r="AO665" i="7"/>
  <c r="AO666" i="7"/>
  <c r="AO667" i="7"/>
  <c r="AO668" i="7"/>
  <c r="AO669" i="7"/>
  <c r="AO670" i="7"/>
  <c r="AO671" i="7"/>
  <c r="AO672" i="7"/>
  <c r="AO673" i="7"/>
  <c r="AO674" i="7"/>
  <c r="AO675" i="7"/>
  <c r="AO676" i="7"/>
  <c r="AO677" i="7"/>
  <c r="AO678" i="7"/>
  <c r="AO679" i="7"/>
  <c r="AO680" i="7"/>
  <c r="AO681" i="7"/>
  <c r="AO682" i="7"/>
  <c r="AO683" i="7"/>
  <c r="AO684" i="7"/>
  <c r="AO685" i="7"/>
  <c r="AO686" i="7"/>
  <c r="AO687" i="7"/>
  <c r="AO688" i="7"/>
  <c r="AO689" i="7"/>
  <c r="AO690" i="7"/>
  <c r="AO691" i="7"/>
  <c r="AO692" i="7"/>
  <c r="AO693" i="7"/>
  <c r="AO694" i="7"/>
  <c r="AO695" i="7"/>
  <c r="AO696" i="7"/>
  <c r="AO697" i="7"/>
  <c r="AO698" i="7"/>
  <c r="AO699" i="7"/>
  <c r="AO700" i="7"/>
  <c r="AO701" i="7"/>
  <c r="AO702" i="7"/>
  <c r="AO703" i="7"/>
  <c r="AO704" i="7"/>
  <c r="AO705" i="7"/>
  <c r="AO706" i="7"/>
  <c r="AO707" i="7"/>
  <c r="AO708" i="7"/>
  <c r="AO709" i="7"/>
  <c r="AO710" i="7"/>
  <c r="AO711" i="7"/>
  <c r="AO712" i="7"/>
  <c r="AO713" i="7"/>
  <c r="AO714" i="7"/>
  <c r="AO715" i="7"/>
  <c r="AO716" i="7"/>
  <c r="AO717" i="7"/>
  <c r="AO718" i="7"/>
  <c r="AO719" i="7"/>
  <c r="AO720" i="7"/>
  <c r="AO721" i="7"/>
  <c r="AO722" i="7"/>
  <c r="AO723" i="7"/>
  <c r="AO724" i="7"/>
  <c r="AO725" i="7"/>
  <c r="AO726" i="7"/>
  <c r="AO727" i="7"/>
  <c r="AO728" i="7"/>
  <c r="AO729" i="7"/>
  <c r="AO730" i="7"/>
  <c r="AO731" i="7"/>
  <c r="AO732" i="7"/>
  <c r="AO733" i="7"/>
  <c r="AO734" i="7"/>
  <c r="AO735" i="7"/>
  <c r="AO736" i="7"/>
  <c r="AO737" i="7"/>
  <c r="AO738" i="7"/>
  <c r="AO739" i="7"/>
  <c r="AO740" i="7"/>
  <c r="AO741" i="7"/>
  <c r="AO742" i="7"/>
  <c r="AO743" i="7"/>
  <c r="AO744" i="7"/>
  <c r="AO745" i="7"/>
  <c r="AO746" i="7"/>
  <c r="AO747" i="7"/>
  <c r="AO748" i="7"/>
  <c r="AO749" i="7"/>
  <c r="AO750" i="7"/>
  <c r="AO751" i="7"/>
  <c r="AO752" i="7"/>
  <c r="AO753" i="7"/>
  <c r="AO754" i="7"/>
  <c r="AO755" i="7"/>
  <c r="AO756" i="7"/>
  <c r="AO757" i="7"/>
  <c r="AO758" i="7"/>
  <c r="AO759" i="7"/>
  <c r="AP17" i="7"/>
  <c r="AP21" i="7"/>
  <c r="AP37" i="7"/>
  <c r="AP39" i="7"/>
  <c r="AP55" i="7"/>
  <c r="AP85" i="7"/>
  <c r="AP101" i="7"/>
  <c r="AP103" i="7"/>
  <c r="AP119" i="7"/>
  <c r="AP129" i="7"/>
  <c r="AP149" i="7"/>
  <c r="AP165" i="7"/>
  <c r="AP167" i="7"/>
  <c r="AP183" i="7"/>
  <c r="AP209" i="7"/>
  <c r="AP213" i="7"/>
  <c r="AP229" i="7"/>
  <c r="AP231" i="7"/>
  <c r="AP247" i="7"/>
  <c r="AP277" i="7"/>
  <c r="AP279" i="7"/>
  <c r="AP295" i="7"/>
  <c r="AP305" i="7"/>
  <c r="AP325" i="7"/>
  <c r="AP347" i="7"/>
  <c r="AP363" i="7"/>
  <c r="AP367" i="7"/>
  <c r="AP383" i="7"/>
  <c r="AP391" i="7"/>
  <c r="AP407" i="7"/>
  <c r="AP431" i="7"/>
  <c r="AP451" i="7"/>
  <c r="AP455" i="7"/>
  <c r="AP471" i="7"/>
  <c r="AP479" i="7"/>
  <c r="AP495" i="7"/>
  <c r="AP511" i="7"/>
  <c r="AP535" i="7"/>
  <c r="AP555" i="7"/>
  <c r="AP563" i="7"/>
  <c r="AP631" i="7"/>
  <c r="AP647" i="7"/>
  <c r="AP671" i="7"/>
  <c r="AP707" i="7"/>
  <c r="AP723" i="7"/>
  <c r="AP751" i="7"/>
  <c r="F20" i="4"/>
  <c r="F19" i="4"/>
  <c r="AP660" i="7" l="1"/>
  <c r="AM660" i="7"/>
  <c r="AP572" i="7"/>
  <c r="AM572" i="7"/>
  <c r="AP476" i="7"/>
  <c r="AM476" i="7"/>
  <c r="AP436" i="7"/>
  <c r="AM436" i="7"/>
  <c r="AO436" i="7"/>
  <c r="AP396" i="7"/>
  <c r="AM396" i="7"/>
  <c r="AO396" i="7"/>
  <c r="AP356" i="7"/>
  <c r="AM356" i="7"/>
  <c r="AO356" i="7"/>
  <c r="AP316" i="7"/>
  <c r="AM316" i="7"/>
  <c r="AO316" i="7"/>
  <c r="AP268" i="7"/>
  <c r="AM268" i="7"/>
  <c r="AO268" i="7"/>
  <c r="AP228" i="7"/>
  <c r="AM228" i="7"/>
  <c r="AO228" i="7"/>
  <c r="AP188" i="7"/>
  <c r="AM188" i="7"/>
  <c r="AO188" i="7"/>
  <c r="AP148" i="7"/>
  <c r="AM148" i="7"/>
  <c r="AO148" i="7"/>
  <c r="AP108" i="7"/>
  <c r="AM108" i="7"/>
  <c r="AO108" i="7"/>
  <c r="AP68" i="7"/>
  <c r="AM68" i="7"/>
  <c r="AO68" i="7"/>
  <c r="AP28" i="7"/>
  <c r="AM28" i="7"/>
  <c r="AO28" i="7"/>
  <c r="AL754" i="7"/>
  <c r="AN754" i="7"/>
  <c r="AL722" i="7"/>
  <c r="AN722" i="7"/>
  <c r="AL682" i="7"/>
  <c r="AN682" i="7"/>
  <c r="AL642" i="7"/>
  <c r="AN642" i="7"/>
  <c r="AL618" i="7"/>
  <c r="AN618" i="7"/>
  <c r="AL578" i="7"/>
  <c r="AN578" i="7"/>
  <c r="AL538" i="7"/>
  <c r="AN538" i="7"/>
  <c r="AL498" i="7"/>
  <c r="AN498" i="7"/>
  <c r="AL458" i="7"/>
  <c r="AN458" i="7"/>
  <c r="AL434" i="7"/>
  <c r="AN434" i="7"/>
  <c r="AL402" i="7"/>
  <c r="AN402" i="7"/>
  <c r="AL362" i="7"/>
  <c r="AN362" i="7"/>
  <c r="AL330" i="7"/>
  <c r="AN330" i="7"/>
  <c r="AL298" i="7"/>
  <c r="AN298" i="7"/>
  <c r="AL274" i="7"/>
  <c r="AN274" i="7"/>
  <c r="AL242" i="7"/>
  <c r="AN242" i="7"/>
  <c r="AL218" i="7"/>
  <c r="AN218" i="7"/>
  <c r="AL186" i="7"/>
  <c r="AN186" i="7"/>
  <c r="AL154" i="7"/>
  <c r="AN154" i="7"/>
  <c r="AL130" i="7"/>
  <c r="AN130" i="7"/>
  <c r="AL114" i="7"/>
  <c r="AN114" i="7"/>
  <c r="AL82" i="7"/>
  <c r="AN82" i="7"/>
  <c r="AL58" i="7"/>
  <c r="AN58" i="7"/>
  <c r="AL26" i="7"/>
  <c r="AN26" i="7"/>
  <c r="AO572" i="7"/>
  <c r="AM740" i="7"/>
  <c r="AO516" i="7"/>
  <c r="AN543" i="7"/>
  <c r="AN503" i="7"/>
  <c r="AN415" i="7"/>
  <c r="AN375" i="7"/>
  <c r="AN287" i="7"/>
  <c r="AN247" i="7"/>
  <c r="AN159" i="7"/>
  <c r="AM700" i="7"/>
  <c r="AM516" i="7"/>
  <c r="AP748" i="7"/>
  <c r="AM748" i="7"/>
  <c r="AP668" i="7"/>
  <c r="AM668" i="7"/>
  <c r="AP628" i="7"/>
  <c r="AM628" i="7"/>
  <c r="AP580" i="7"/>
  <c r="AM580" i="7"/>
  <c r="AP484" i="7"/>
  <c r="AM484" i="7"/>
  <c r="AP444" i="7"/>
  <c r="AM444" i="7"/>
  <c r="AO444" i="7"/>
  <c r="AP404" i="7"/>
  <c r="AM404" i="7"/>
  <c r="AO404" i="7"/>
  <c r="AP364" i="7"/>
  <c r="AM364" i="7"/>
  <c r="AO364" i="7"/>
  <c r="AP332" i="7"/>
  <c r="AM332" i="7"/>
  <c r="AO332" i="7"/>
  <c r="AP300" i="7"/>
  <c r="AM300" i="7"/>
  <c r="AO300" i="7"/>
  <c r="AP260" i="7"/>
  <c r="AM260" i="7"/>
  <c r="AO260" i="7"/>
  <c r="AP220" i="7"/>
  <c r="AM220" i="7"/>
  <c r="AO220" i="7"/>
  <c r="AP180" i="7"/>
  <c r="AM180" i="7"/>
  <c r="AO180" i="7"/>
  <c r="AP140" i="7"/>
  <c r="AM140" i="7"/>
  <c r="AO140" i="7"/>
  <c r="AP100" i="7"/>
  <c r="AM100" i="7"/>
  <c r="AO100" i="7"/>
  <c r="AP52" i="7"/>
  <c r="AM52" i="7"/>
  <c r="AO52" i="7"/>
  <c r="AM4" i="7"/>
  <c r="AO4" i="7"/>
  <c r="AL714" i="7"/>
  <c r="AN714" i="7"/>
  <c r="AL674" i="7"/>
  <c r="AN674" i="7"/>
  <c r="AL634" i="7"/>
  <c r="AN634" i="7"/>
  <c r="AL594" i="7"/>
  <c r="AN594" i="7"/>
  <c r="AL562" i="7"/>
  <c r="AN562" i="7"/>
  <c r="AL522" i="7"/>
  <c r="AN522" i="7"/>
  <c r="AL482" i="7"/>
  <c r="AN482" i="7"/>
  <c r="AL442" i="7"/>
  <c r="AN442" i="7"/>
  <c r="AL410" i="7"/>
  <c r="AN410" i="7"/>
  <c r="AL378" i="7"/>
  <c r="AN378" i="7"/>
  <c r="AL346" i="7"/>
  <c r="AN346" i="7"/>
  <c r="AL314" i="7"/>
  <c r="AN314" i="7"/>
  <c r="AL282" i="7"/>
  <c r="AN282" i="7"/>
  <c r="AL250" i="7"/>
  <c r="AN250" i="7"/>
  <c r="AL210" i="7"/>
  <c r="AN210" i="7"/>
  <c r="AL170" i="7"/>
  <c r="AN170" i="7"/>
  <c r="AL138" i="7"/>
  <c r="AN138" i="7"/>
  <c r="AL98" i="7"/>
  <c r="AN98" i="7"/>
  <c r="AL66" i="7"/>
  <c r="AN66" i="7"/>
  <c r="AL34" i="7"/>
  <c r="AN34" i="7"/>
  <c r="AL2" i="7"/>
  <c r="AN2" i="7"/>
  <c r="AM708" i="7"/>
  <c r="AM524" i="7"/>
  <c r="AM625" i="7"/>
  <c r="AO625" i="7"/>
  <c r="AM609" i="7"/>
  <c r="AO609" i="7"/>
  <c r="AM593" i="7"/>
  <c r="AO593" i="7"/>
  <c r="AM577" i="7"/>
  <c r="AO577" i="7"/>
  <c r="AM561" i="7"/>
  <c r="AO561" i="7"/>
  <c r="AM545" i="7"/>
  <c r="AO545" i="7"/>
  <c r="AM521" i="7"/>
  <c r="AO521" i="7"/>
  <c r="AM505" i="7"/>
  <c r="AO505" i="7"/>
  <c r="AM481" i="7"/>
  <c r="AO481" i="7"/>
  <c r="AM465" i="7"/>
  <c r="AO465" i="7"/>
  <c r="AM449" i="7"/>
  <c r="AO449" i="7"/>
  <c r="AM425" i="7"/>
  <c r="AO425" i="7"/>
  <c r="AM409" i="7"/>
  <c r="AO409" i="7"/>
  <c r="AM393" i="7"/>
  <c r="AO393" i="7"/>
  <c r="AM369" i="7"/>
  <c r="AO369" i="7"/>
  <c r="AM353" i="7"/>
  <c r="AO353" i="7"/>
  <c r="AM337" i="7"/>
  <c r="AO337" i="7"/>
  <c r="AM321" i="7"/>
  <c r="AO321" i="7"/>
  <c r="AM297" i="7"/>
  <c r="AO297" i="7"/>
  <c r="AM281" i="7"/>
  <c r="AO281" i="7"/>
  <c r="AM265" i="7"/>
  <c r="AO265" i="7"/>
  <c r="AM241" i="7"/>
  <c r="AO241" i="7"/>
  <c r="AM225" i="7"/>
  <c r="AO225" i="7"/>
  <c r="AM209" i="7"/>
  <c r="AO209" i="7"/>
  <c r="AM193" i="7"/>
  <c r="AO193" i="7"/>
  <c r="AM169" i="7"/>
  <c r="AO169" i="7"/>
  <c r="AM153" i="7"/>
  <c r="AO153" i="7"/>
  <c r="AM137" i="7"/>
  <c r="AO137" i="7"/>
  <c r="AM121" i="7"/>
  <c r="AO121" i="7"/>
  <c r="AM97" i="7"/>
  <c r="AO97" i="7"/>
  <c r="AM81" i="7"/>
  <c r="AO81" i="7"/>
  <c r="AM65" i="7"/>
  <c r="AO65" i="7"/>
  <c r="AM41" i="7"/>
  <c r="AO41" i="7"/>
  <c r="AM25" i="7"/>
  <c r="AO25" i="7"/>
  <c r="AM9" i="7"/>
  <c r="AO9" i="7"/>
  <c r="AL751" i="7"/>
  <c r="AN751" i="7"/>
  <c r="AL727" i="7"/>
  <c r="AN727" i="7"/>
  <c r="AL711" i="7"/>
  <c r="AN711" i="7"/>
  <c r="AL695" i="7"/>
  <c r="AN695" i="7"/>
  <c r="AL679" i="7"/>
  <c r="AN679" i="7"/>
  <c r="AL663" i="7"/>
  <c r="AN663" i="7"/>
  <c r="AL647" i="7"/>
  <c r="AN647" i="7"/>
  <c r="AL631" i="7"/>
  <c r="AN631" i="7"/>
  <c r="AL615" i="7"/>
  <c r="AN615" i="7"/>
  <c r="AL583" i="7"/>
  <c r="AN583" i="7"/>
  <c r="AL527" i="7"/>
  <c r="AN527" i="7"/>
  <c r="AL487" i="7"/>
  <c r="AN487" i="7"/>
  <c r="AL463" i="7"/>
  <c r="AN463" i="7"/>
  <c r="AL191" i="7"/>
  <c r="AN191" i="7"/>
  <c r="AL143" i="7"/>
  <c r="AN143" i="7"/>
  <c r="AN127" i="7"/>
  <c r="AL127" i="7"/>
  <c r="AL103" i="7"/>
  <c r="AN103" i="7"/>
  <c r="AL87" i="7"/>
  <c r="AN87" i="7"/>
  <c r="AL71" i="7"/>
  <c r="AN71" i="7"/>
  <c r="AL55" i="7"/>
  <c r="AN55" i="7"/>
  <c r="AL39" i="7"/>
  <c r="AN39" i="7"/>
  <c r="AL31" i="7"/>
  <c r="AN31" i="7"/>
  <c r="AL15" i="7"/>
  <c r="AN15" i="7"/>
  <c r="AP756" i="7"/>
  <c r="AM756" i="7"/>
  <c r="AP724" i="7"/>
  <c r="AM724" i="7"/>
  <c r="AP692" i="7"/>
  <c r="AM692" i="7"/>
  <c r="AP604" i="7"/>
  <c r="AM604" i="7"/>
  <c r="AP556" i="7"/>
  <c r="AM556" i="7"/>
  <c r="AP532" i="7"/>
  <c r="AM532" i="7"/>
  <c r="AP492" i="7"/>
  <c r="AM492" i="7"/>
  <c r="AP452" i="7"/>
  <c r="AM452" i="7"/>
  <c r="AO452" i="7"/>
  <c r="AP412" i="7"/>
  <c r="AM412" i="7"/>
  <c r="AO412" i="7"/>
  <c r="AP380" i="7"/>
  <c r="AM380" i="7"/>
  <c r="AO380" i="7"/>
  <c r="AP340" i="7"/>
  <c r="AM340" i="7"/>
  <c r="AO340" i="7"/>
  <c r="AP292" i="7"/>
  <c r="AM292" i="7"/>
  <c r="AO292" i="7"/>
  <c r="AP252" i="7"/>
  <c r="AM252" i="7"/>
  <c r="AO252" i="7"/>
  <c r="AP212" i="7"/>
  <c r="AM212" i="7"/>
  <c r="AO212" i="7"/>
  <c r="AP172" i="7"/>
  <c r="AM172" i="7"/>
  <c r="AO172" i="7"/>
  <c r="AP132" i="7"/>
  <c r="AM132" i="7"/>
  <c r="AO132" i="7"/>
  <c r="AP92" i="7"/>
  <c r="AM92" i="7"/>
  <c r="AO92" i="7"/>
  <c r="AP60" i="7"/>
  <c r="AM60" i="7"/>
  <c r="AO60" i="7"/>
  <c r="AP20" i="7"/>
  <c r="AM20" i="7"/>
  <c r="AO20" i="7"/>
  <c r="AL730" i="7"/>
  <c r="AN730" i="7"/>
  <c r="AL690" i="7"/>
  <c r="AN690" i="7"/>
  <c r="AL650" i="7"/>
  <c r="AN650" i="7"/>
  <c r="AL610" i="7"/>
  <c r="AN610" i="7"/>
  <c r="AL570" i="7"/>
  <c r="AN570" i="7"/>
  <c r="AL530" i="7"/>
  <c r="AN530" i="7"/>
  <c r="AL490" i="7"/>
  <c r="AN490" i="7"/>
  <c r="AL450" i="7"/>
  <c r="AN450" i="7"/>
  <c r="AL426" i="7"/>
  <c r="AN426" i="7"/>
  <c r="AL394" i="7"/>
  <c r="AN394" i="7"/>
  <c r="AL354" i="7"/>
  <c r="AN354" i="7"/>
  <c r="AL322" i="7"/>
  <c r="AN322" i="7"/>
  <c r="AL290" i="7"/>
  <c r="AN290" i="7"/>
  <c r="AL258" i="7"/>
  <c r="AN258" i="7"/>
  <c r="AL226" i="7"/>
  <c r="AN226" i="7"/>
  <c r="AL178" i="7"/>
  <c r="AN178" i="7"/>
  <c r="AL146" i="7"/>
  <c r="AN146" i="7"/>
  <c r="AL106" i="7"/>
  <c r="AN106" i="7"/>
  <c r="AL74" i="7"/>
  <c r="AN74" i="7"/>
  <c r="AL42" i="7"/>
  <c r="AN42" i="7"/>
  <c r="AL10" i="7"/>
  <c r="AN10" i="7"/>
  <c r="AM636" i="7"/>
  <c r="AP716" i="7"/>
  <c r="AM716" i="7"/>
  <c r="AP676" i="7"/>
  <c r="AM676" i="7"/>
  <c r="AP652" i="7"/>
  <c r="AM652" i="7"/>
  <c r="AP620" i="7"/>
  <c r="AM620" i="7"/>
  <c r="AP588" i="7"/>
  <c r="AM588" i="7"/>
  <c r="AP508" i="7"/>
  <c r="AM508" i="7"/>
  <c r="AP468" i="7"/>
  <c r="AM468" i="7"/>
  <c r="AP428" i="7"/>
  <c r="AM428" i="7"/>
  <c r="AO428" i="7"/>
  <c r="AP388" i="7"/>
  <c r="AM388" i="7"/>
  <c r="AO388" i="7"/>
  <c r="AP348" i="7"/>
  <c r="AM348" i="7"/>
  <c r="AO348" i="7"/>
  <c r="AP308" i="7"/>
  <c r="AM308" i="7"/>
  <c r="AO308" i="7"/>
  <c r="AP276" i="7"/>
  <c r="AM276" i="7"/>
  <c r="AO276" i="7"/>
  <c r="AP236" i="7"/>
  <c r="AM236" i="7"/>
  <c r="AO236" i="7"/>
  <c r="AP196" i="7"/>
  <c r="AM196" i="7"/>
  <c r="AO196" i="7"/>
  <c r="AP156" i="7"/>
  <c r="AM156" i="7"/>
  <c r="AO156" i="7"/>
  <c r="AP116" i="7"/>
  <c r="AM116" i="7"/>
  <c r="AO116" i="7"/>
  <c r="AP76" i="7"/>
  <c r="AM76" i="7"/>
  <c r="AO76" i="7"/>
  <c r="AP44" i="7"/>
  <c r="AM44" i="7"/>
  <c r="AO44" i="7"/>
  <c r="AP12" i="7"/>
  <c r="AM12" i="7"/>
  <c r="AO12" i="7"/>
  <c r="AL738" i="7"/>
  <c r="AN738" i="7"/>
  <c r="AL698" i="7"/>
  <c r="AN698" i="7"/>
  <c r="AL666" i="7"/>
  <c r="AN666" i="7"/>
  <c r="AL626" i="7"/>
  <c r="AN626" i="7"/>
  <c r="AL586" i="7"/>
  <c r="AN586" i="7"/>
  <c r="AL546" i="7"/>
  <c r="AN546" i="7"/>
  <c r="AL514" i="7"/>
  <c r="AN514" i="7"/>
  <c r="AL474" i="7"/>
  <c r="AN474" i="7"/>
  <c r="AL386" i="7"/>
  <c r="AN386" i="7"/>
  <c r="AL202" i="7"/>
  <c r="AN202" i="7"/>
  <c r="AL231" i="7"/>
  <c r="AN231" i="7"/>
  <c r="AP81" i="7"/>
  <c r="AO604" i="7"/>
  <c r="AO476" i="7"/>
  <c r="AN599" i="7"/>
  <c r="AN559" i="7"/>
  <c r="AN471" i="7"/>
  <c r="AN431" i="7"/>
  <c r="AN343" i="7"/>
  <c r="AN303" i="7"/>
  <c r="AN215" i="7"/>
  <c r="AN175" i="7"/>
  <c r="AM644" i="7"/>
  <c r="AL327" i="7"/>
  <c r="AL255" i="7"/>
  <c r="AP684" i="7"/>
  <c r="AM684" i="7"/>
  <c r="AP596" i="7"/>
  <c r="AM596" i="7"/>
  <c r="AP564" i="7"/>
  <c r="AM564" i="7"/>
  <c r="AP540" i="7"/>
  <c r="AM540" i="7"/>
  <c r="AP500" i="7"/>
  <c r="AM500" i="7"/>
  <c r="AP460" i="7"/>
  <c r="AM460" i="7"/>
  <c r="AP420" i="7"/>
  <c r="AM420" i="7"/>
  <c r="AO420" i="7"/>
  <c r="AP372" i="7"/>
  <c r="AM372" i="7"/>
  <c r="AO372" i="7"/>
  <c r="AP324" i="7"/>
  <c r="AM324" i="7"/>
  <c r="AO324" i="7"/>
  <c r="AP284" i="7"/>
  <c r="AM284" i="7"/>
  <c r="AO284" i="7"/>
  <c r="AP244" i="7"/>
  <c r="AM244" i="7"/>
  <c r="AO244" i="7"/>
  <c r="AP204" i="7"/>
  <c r="AM204" i="7"/>
  <c r="AO204" i="7"/>
  <c r="AP164" i="7"/>
  <c r="AM164" i="7"/>
  <c r="AO164" i="7"/>
  <c r="AP124" i="7"/>
  <c r="AM124" i="7"/>
  <c r="AO124" i="7"/>
  <c r="AP84" i="7"/>
  <c r="AM84" i="7"/>
  <c r="AO84" i="7"/>
  <c r="AP36" i="7"/>
  <c r="AM36" i="7"/>
  <c r="AO36" i="7"/>
  <c r="AL746" i="7"/>
  <c r="AN746" i="7"/>
  <c r="AL706" i="7"/>
  <c r="AN706" i="7"/>
  <c r="AL658" i="7"/>
  <c r="AN658" i="7"/>
  <c r="AL602" i="7"/>
  <c r="AN602" i="7"/>
  <c r="AL554" i="7"/>
  <c r="AN554" i="7"/>
  <c r="AL506" i="7"/>
  <c r="AN506" i="7"/>
  <c r="AL466" i="7"/>
  <c r="AN466" i="7"/>
  <c r="AL418" i="7"/>
  <c r="AN418" i="7"/>
  <c r="AL370" i="7"/>
  <c r="AN370" i="7"/>
  <c r="AL338" i="7"/>
  <c r="AN338" i="7"/>
  <c r="AL306" i="7"/>
  <c r="AN306" i="7"/>
  <c r="AL266" i="7"/>
  <c r="AN266" i="7"/>
  <c r="AL234" i="7"/>
  <c r="AN234" i="7"/>
  <c r="AL194" i="7"/>
  <c r="AN194" i="7"/>
  <c r="AL162" i="7"/>
  <c r="AN162" i="7"/>
  <c r="AL122" i="7"/>
  <c r="AN122" i="7"/>
  <c r="AL90" i="7"/>
  <c r="AN90" i="7"/>
  <c r="AL50" i="7"/>
  <c r="AN50" i="7"/>
  <c r="AL18" i="7"/>
  <c r="AN18" i="7"/>
  <c r="AM617" i="7"/>
  <c r="AO617" i="7"/>
  <c r="AM601" i="7"/>
  <c r="AO601" i="7"/>
  <c r="AM585" i="7"/>
  <c r="AO585" i="7"/>
  <c r="AM569" i="7"/>
  <c r="AO569" i="7"/>
  <c r="AM553" i="7"/>
  <c r="AO553" i="7"/>
  <c r="AM537" i="7"/>
  <c r="AO537" i="7"/>
  <c r="AM529" i="7"/>
  <c r="AO529" i="7"/>
  <c r="AM513" i="7"/>
  <c r="AO513" i="7"/>
  <c r="AM497" i="7"/>
  <c r="AO497" i="7"/>
  <c r="AM489" i="7"/>
  <c r="AO489" i="7"/>
  <c r="AM473" i="7"/>
  <c r="AO473" i="7"/>
  <c r="AM457" i="7"/>
  <c r="AO457" i="7"/>
  <c r="AM441" i="7"/>
  <c r="AO441" i="7"/>
  <c r="AM433" i="7"/>
  <c r="AO433" i="7"/>
  <c r="AM417" i="7"/>
  <c r="AO417" i="7"/>
  <c r="AM401" i="7"/>
  <c r="AO401" i="7"/>
  <c r="AM385" i="7"/>
  <c r="AO385" i="7"/>
  <c r="AM377" i="7"/>
  <c r="AO377" i="7"/>
  <c r="AM361" i="7"/>
  <c r="AO361" i="7"/>
  <c r="AM345" i="7"/>
  <c r="AO345" i="7"/>
  <c r="AM329" i="7"/>
  <c r="AO329" i="7"/>
  <c r="AM313" i="7"/>
  <c r="AO313" i="7"/>
  <c r="AM305" i="7"/>
  <c r="AO305" i="7"/>
  <c r="AM289" i="7"/>
  <c r="AO289" i="7"/>
  <c r="AM273" i="7"/>
  <c r="AO273" i="7"/>
  <c r="AM257" i="7"/>
  <c r="AO257" i="7"/>
  <c r="AM249" i="7"/>
  <c r="AO249" i="7"/>
  <c r="AM233" i="7"/>
  <c r="AO233" i="7"/>
  <c r="AM217" i="7"/>
  <c r="AO217" i="7"/>
  <c r="AM201" i="7"/>
  <c r="AO201" i="7"/>
  <c r="AM185" i="7"/>
  <c r="AO185" i="7"/>
  <c r="AM177" i="7"/>
  <c r="AO177" i="7"/>
  <c r="AM161" i="7"/>
  <c r="AO161" i="7"/>
  <c r="AM145" i="7"/>
  <c r="AO145" i="7"/>
  <c r="AM129" i="7"/>
  <c r="AO129" i="7"/>
  <c r="AM113" i="7"/>
  <c r="AO113" i="7"/>
  <c r="AM105" i="7"/>
  <c r="AO105" i="7"/>
  <c r="AM89" i="7"/>
  <c r="AO89" i="7"/>
  <c r="AM73" i="7"/>
  <c r="AO73" i="7"/>
  <c r="AM57" i="7"/>
  <c r="AO57" i="7"/>
  <c r="AM49" i="7"/>
  <c r="AO49" i="7"/>
  <c r="AM33" i="7"/>
  <c r="AO33" i="7"/>
  <c r="AM17" i="7"/>
  <c r="AO17" i="7"/>
  <c r="AL759" i="7"/>
  <c r="AN759" i="7"/>
  <c r="AL743" i="7"/>
  <c r="AN743" i="7"/>
  <c r="AL735" i="7"/>
  <c r="AN735" i="7"/>
  <c r="AL719" i="7"/>
  <c r="AN719" i="7"/>
  <c r="AL703" i="7"/>
  <c r="AN703" i="7"/>
  <c r="AL687" i="7"/>
  <c r="AN687" i="7"/>
  <c r="AL671" i="7"/>
  <c r="AN671" i="7"/>
  <c r="AL655" i="7"/>
  <c r="AN655" i="7"/>
  <c r="AL623" i="7"/>
  <c r="AN623" i="7"/>
  <c r="AL591" i="7"/>
  <c r="AN591" i="7"/>
  <c r="AL551" i="7"/>
  <c r="AN551" i="7"/>
  <c r="AL519" i="7"/>
  <c r="AN519" i="7"/>
  <c r="AL511" i="7"/>
  <c r="AN511" i="7"/>
  <c r="AL447" i="7"/>
  <c r="AN447" i="7"/>
  <c r="AL423" i="7"/>
  <c r="AN423" i="7"/>
  <c r="AL399" i="7"/>
  <c r="AN399" i="7"/>
  <c r="AL391" i="7"/>
  <c r="AN391" i="7"/>
  <c r="AL383" i="7"/>
  <c r="AN383" i="7"/>
  <c r="AL359" i="7"/>
  <c r="AN359" i="7"/>
  <c r="AL335" i="7"/>
  <c r="AN335" i="7"/>
  <c r="AL295" i="7"/>
  <c r="AN295" i="7"/>
  <c r="AL271" i="7"/>
  <c r="AN271" i="7"/>
  <c r="AL263" i="7"/>
  <c r="AN263" i="7"/>
  <c r="AL207" i="7"/>
  <c r="AN207" i="7"/>
  <c r="AL199" i="7"/>
  <c r="AN199" i="7"/>
  <c r="AL167" i="7"/>
  <c r="AN167" i="7"/>
  <c r="AN135" i="7"/>
  <c r="AL135" i="7"/>
  <c r="AL119" i="7"/>
  <c r="AN119" i="7"/>
  <c r="AL111" i="7"/>
  <c r="AN111" i="7"/>
  <c r="AN95" i="7"/>
  <c r="AL95" i="7"/>
  <c r="AL79" i="7"/>
  <c r="AN79" i="7"/>
  <c r="AN63" i="7"/>
  <c r="AL63" i="7"/>
  <c r="AL47" i="7"/>
  <c r="AN47" i="7"/>
  <c r="AL23" i="7"/>
  <c r="AN23" i="7"/>
  <c r="AP4" i="7"/>
  <c r="AO532" i="7"/>
  <c r="AO468" i="7"/>
  <c r="AP65" i="7"/>
  <c r="AO612" i="7"/>
  <c r="AO548" i="7"/>
  <c r="AO484" i="7"/>
  <c r="AN607" i="7"/>
  <c r="AN567" i="7"/>
  <c r="AN479" i="7"/>
  <c r="AN439" i="7"/>
  <c r="AN351" i="7"/>
  <c r="AN311" i="7"/>
  <c r="AN223" i="7"/>
  <c r="AN183" i="7"/>
  <c r="AO508" i="7"/>
  <c r="AO524" i="7"/>
  <c r="AN319" i="7"/>
  <c r="AL319" i="7"/>
  <c r="AP321" i="7"/>
  <c r="AP145" i="7"/>
  <c r="AO620" i="7"/>
  <c r="AO556" i="7"/>
  <c r="AO492" i="7"/>
  <c r="AM612" i="7"/>
  <c r="AL639" i="7"/>
  <c r="H7" i="5"/>
  <c r="AP755" i="7"/>
  <c r="AP747" i="7"/>
  <c r="AP739" i="7"/>
  <c r="AP731" i="7"/>
  <c r="AP715" i="7"/>
  <c r="AP699" i="7"/>
  <c r="AP691" i="7"/>
  <c r="AP675" i="7"/>
  <c r="AP667" i="7"/>
  <c r="AP659" i="7"/>
  <c r="AP651" i="7"/>
  <c r="AP643" i="7"/>
  <c r="AP635" i="7"/>
  <c r="AP627" i="7"/>
  <c r="AP619" i="7"/>
  <c r="AP611" i="7"/>
  <c r="AP595" i="7"/>
  <c r="AP579" i="7"/>
  <c r="AP571" i="7"/>
  <c r="AP547" i="7"/>
  <c r="AP531" i="7"/>
  <c r="AP523" i="7"/>
  <c r="AP507" i="7"/>
  <c r="AP499" i="7"/>
  <c r="AP483" i="7"/>
  <c r="AP475" i="7"/>
  <c r="AP467" i="7"/>
  <c r="AP459" i="7"/>
  <c r="AP443" i="7"/>
  <c r="AP427" i="7"/>
  <c r="AP419" i="7"/>
  <c r="AP403" i="7"/>
  <c r="AP395" i="7"/>
  <c r="AP387" i="7"/>
  <c r="AP379" i="7"/>
  <c r="AP371" i="7"/>
  <c r="AP355" i="7"/>
  <c r="AP331" i="7"/>
  <c r="AP323" i="7"/>
  <c r="AP315" i="7"/>
  <c r="AP307" i="7"/>
  <c r="AP299" i="7"/>
  <c r="AP291" i="7"/>
  <c r="AP283" i="7"/>
  <c r="AP275" i="7"/>
  <c r="AP267" i="7"/>
  <c r="AP259" i="7"/>
  <c r="AP251" i="7"/>
  <c r="AP243" i="7"/>
  <c r="AP235" i="7"/>
  <c r="AP227" i="7"/>
  <c r="AP219" i="7"/>
  <c r="AP211" i="7"/>
  <c r="AP203" i="7"/>
  <c r="AP195" i="7"/>
  <c r="AP187" i="7"/>
  <c r="AP179" i="7"/>
  <c r="AP171" i="7"/>
  <c r="AP163" i="7"/>
  <c r="AP155" i="7"/>
  <c r="AP147" i="7"/>
  <c r="AP139" i="7"/>
  <c r="AP131" i="7"/>
  <c r="AP123" i="7"/>
  <c r="AP115" i="7"/>
  <c r="AP107" i="7"/>
  <c r="AP99" i="7"/>
  <c r="AP91" i="7"/>
  <c r="AP83" i="7"/>
  <c r="AP75" i="7"/>
  <c r="AP67" i="7"/>
  <c r="AP59" i="7"/>
  <c r="AP51" i="7"/>
  <c r="AP43" i="7"/>
  <c r="AP35" i="7"/>
  <c r="AP27" i="7"/>
  <c r="AP19" i="7"/>
  <c r="AP11" i="7"/>
  <c r="AP3" i="7"/>
  <c r="C20" i="5"/>
  <c r="H9" i="5"/>
  <c r="H8" i="5"/>
  <c r="I8" i="5" s="1"/>
  <c r="F8" i="5"/>
  <c r="J8" i="5"/>
  <c r="B8" i="5"/>
  <c r="E8" i="5" s="1"/>
  <c r="H10" i="5"/>
  <c r="H17" i="5"/>
  <c r="G8" i="5"/>
  <c r="AP352" i="7"/>
  <c r="AP344" i="7"/>
  <c r="AP336" i="7"/>
  <c r="AP328" i="7"/>
  <c r="AP320" i="7"/>
  <c r="AP312" i="7"/>
  <c r="AP304" i="7"/>
  <c r="AP296" i="7"/>
  <c r="AP288" i="7"/>
  <c r="AP280" i="7"/>
  <c r="AP272" i="7"/>
  <c r="AP264" i="7"/>
  <c r="AP256" i="7"/>
  <c r="AP248" i="7"/>
  <c r="AP240" i="7"/>
  <c r="AP232" i="7"/>
  <c r="AP224" i="7"/>
  <c r="AP216" i="7"/>
  <c r="AP208" i="7"/>
  <c r="AP200" i="7"/>
  <c r="AP192" i="7"/>
  <c r="AP184" i="7"/>
  <c r="AP176" i="7"/>
  <c r="AP168" i="7"/>
  <c r="AP160" i="7"/>
  <c r="AP152" i="7"/>
  <c r="AP144" i="7"/>
  <c r="AP136" i="7"/>
  <c r="AP128" i="7"/>
  <c r="AP120" i="7"/>
  <c r="AP112" i="7"/>
  <c r="AP104" i="7"/>
  <c r="AP96" i="7"/>
  <c r="AP88" i="7"/>
  <c r="AP80" i="7"/>
  <c r="AP72" i="7"/>
  <c r="AP64" i="7"/>
  <c r="AP56" i="7"/>
  <c r="AP48" i="7"/>
  <c r="AP40" i="7"/>
  <c r="AP32" i="7"/>
  <c r="AP24" i="7"/>
  <c r="AP16" i="7"/>
  <c r="AP8" i="7"/>
  <c r="AP754" i="7"/>
  <c r="AP746" i="7"/>
  <c r="AP738" i="7"/>
  <c r="AP730" i="7"/>
  <c r="AP722" i="7"/>
  <c r="AP714" i="7"/>
  <c r="AP706" i="7"/>
  <c r="AP698" i="7"/>
  <c r="AP690" i="7"/>
  <c r="AP682" i="7"/>
  <c r="AP674" i="7"/>
  <c r="AP666" i="7"/>
  <c r="AP289" i="7"/>
  <c r="AP273" i="7"/>
  <c r="AP241" i="7"/>
  <c r="AP225" i="7"/>
  <c r="AP177" i="7"/>
  <c r="AP161" i="7"/>
  <c r="AP113" i="7"/>
  <c r="AP97" i="7"/>
  <c r="AP49" i="7"/>
  <c r="AP33" i="7"/>
  <c r="H13" i="5"/>
  <c r="H4" i="5"/>
  <c r="H19" i="5"/>
  <c r="H20" i="5"/>
  <c r="J20" i="5"/>
  <c r="B20" i="5"/>
  <c r="AP758" i="7"/>
  <c r="AP750" i="7"/>
  <c r="AP742" i="7"/>
  <c r="AP734" i="7"/>
  <c r="AP726" i="7"/>
  <c r="AP718" i="7"/>
  <c r="AP710" i="7"/>
  <c r="AP702" i="7"/>
  <c r="AP694" i="7"/>
  <c r="AP686" i="7"/>
  <c r="AP678" i="7"/>
  <c r="AP670" i="7"/>
  <c r="H21" i="5"/>
  <c r="AP309" i="7"/>
  <c r="AP293" i="7"/>
  <c r="AP261" i="7"/>
  <c r="AP245" i="7"/>
  <c r="AP197" i="7"/>
  <c r="AP181" i="7"/>
  <c r="AP133" i="7"/>
  <c r="AP117" i="7"/>
  <c r="AP69" i="7"/>
  <c r="AP53" i="7"/>
  <c r="AP5" i="7"/>
  <c r="D8" i="5"/>
  <c r="AP360" i="7"/>
  <c r="C8" i="5"/>
  <c r="AP662" i="7"/>
  <c r="AP658" i="7"/>
  <c r="AP654" i="7"/>
  <c r="AP650" i="7"/>
  <c r="AP646" i="7"/>
  <c r="AP642" i="7"/>
  <c r="AP638" i="7"/>
  <c r="AP634" i="7"/>
  <c r="AP630" i="7"/>
  <c r="AP626" i="7"/>
  <c r="AP622" i="7"/>
  <c r="AP618" i="7"/>
  <c r="AP614" i="7"/>
  <c r="AP610" i="7"/>
  <c r="AP606" i="7"/>
  <c r="AP602" i="7"/>
  <c r="AP598" i="7"/>
  <c r="AP594" i="7"/>
  <c r="AP590" i="7"/>
  <c r="AP586" i="7"/>
  <c r="AP582" i="7"/>
  <c r="AP578" i="7"/>
  <c r="AP574" i="7"/>
  <c r="AP570" i="7"/>
  <c r="AP566" i="7"/>
  <c r="AP562" i="7"/>
  <c r="AP558" i="7"/>
  <c r="AP554" i="7"/>
  <c r="AP550" i="7"/>
  <c r="AP546" i="7"/>
  <c r="AP542" i="7"/>
  <c r="AP538" i="7"/>
  <c r="AP534" i="7"/>
  <c r="AP530" i="7"/>
  <c r="AP526" i="7"/>
  <c r="AP522" i="7"/>
  <c r="AP518" i="7"/>
  <c r="AP514" i="7"/>
  <c r="AP510" i="7"/>
  <c r="AP506" i="7"/>
  <c r="AP502" i="7"/>
  <c r="AP498" i="7"/>
  <c r="AP494" i="7"/>
  <c r="AP490" i="7"/>
  <c r="AP486" i="7"/>
  <c r="AP482" i="7"/>
  <c r="AP478" i="7"/>
  <c r="AP474" i="7"/>
  <c r="AP470" i="7"/>
  <c r="AP466" i="7"/>
  <c r="AP462" i="7"/>
  <c r="AP458" i="7"/>
  <c r="AP454" i="7"/>
  <c r="AP450" i="7"/>
  <c r="AP446" i="7"/>
  <c r="AP442" i="7"/>
  <c r="AP438" i="7"/>
  <c r="AP434" i="7"/>
  <c r="AP430" i="7"/>
  <c r="AP426" i="7"/>
  <c r="AP422" i="7"/>
  <c r="AP418" i="7"/>
  <c r="AP414" i="7"/>
  <c r="AP410" i="7"/>
  <c r="AP406" i="7"/>
  <c r="AP402" i="7"/>
  <c r="AP398" i="7"/>
  <c r="AP394" i="7"/>
  <c r="AP390" i="7"/>
  <c r="AP386" i="7"/>
  <c r="AP382" i="7"/>
  <c r="AP378" i="7"/>
  <c r="AP374" i="7"/>
  <c r="AP370" i="7"/>
  <c r="AP366" i="7"/>
  <c r="AP362" i="7"/>
  <c r="AP358" i="7"/>
  <c r="AP354" i="7"/>
  <c r="AP350" i="7"/>
  <c r="AP346" i="7"/>
  <c r="AP342" i="7"/>
  <c r="AP338" i="7"/>
  <c r="AP334" i="7"/>
  <c r="AP330" i="7"/>
  <c r="AP757" i="7"/>
  <c r="AP753" i="7"/>
  <c r="AP749" i="7"/>
  <c r="AP745" i="7"/>
  <c r="AP741" i="7"/>
  <c r="AP737" i="7"/>
  <c r="AP733" i="7"/>
  <c r="AP729" i="7"/>
  <c r="AP725" i="7"/>
  <c r="AP721" i="7"/>
  <c r="AP717" i="7"/>
  <c r="AP713" i="7"/>
  <c r="AP709" i="7"/>
  <c r="AP705" i="7"/>
  <c r="AP701" i="7"/>
  <c r="AP697" i="7"/>
  <c r="AP693" i="7"/>
  <c r="AP689" i="7"/>
  <c r="AP685" i="7"/>
  <c r="AP681" i="7"/>
  <c r="AP677" i="7"/>
  <c r="AP673" i="7"/>
  <c r="AP669" i="7"/>
  <c r="AP665" i="7"/>
  <c r="AP661" i="7"/>
  <c r="AP657" i="7"/>
  <c r="AP653" i="7"/>
  <c r="AP649" i="7"/>
  <c r="AP645" i="7"/>
  <c r="AP641" i="7"/>
  <c r="AP637" i="7"/>
  <c r="AP633" i="7"/>
  <c r="AP629" i="7"/>
  <c r="AP625" i="7"/>
  <c r="AP621" i="7"/>
  <c r="AP617" i="7"/>
  <c r="AP613" i="7"/>
  <c r="AP609" i="7"/>
  <c r="AP605" i="7"/>
  <c r="AP601" i="7"/>
  <c r="AP597" i="7"/>
  <c r="AP593" i="7"/>
  <c r="AP589" i="7"/>
  <c r="AP585" i="7"/>
  <c r="AP581" i="7"/>
  <c r="AP577" i="7"/>
  <c r="AP573" i="7"/>
  <c r="AP569" i="7"/>
  <c r="AP565" i="7"/>
  <c r="AP561" i="7"/>
  <c r="AP557" i="7"/>
  <c r="AP553" i="7"/>
  <c r="AP549" i="7"/>
  <c r="AP545" i="7"/>
  <c r="AP541" i="7"/>
  <c r="AP537" i="7"/>
  <c r="AP533" i="7"/>
  <c r="AP529" i="7"/>
  <c r="AP525" i="7"/>
  <c r="AP521" i="7"/>
  <c r="AP517" i="7"/>
  <c r="AP513" i="7"/>
  <c r="AP509" i="7"/>
  <c r="AP326" i="7"/>
  <c r="AP322" i="7"/>
  <c r="AP318" i="7"/>
  <c r="AP314" i="7"/>
  <c r="AP310" i="7"/>
  <c r="AP306" i="7"/>
  <c r="AP302" i="7"/>
  <c r="AP298" i="7"/>
  <c r="AP294" i="7"/>
  <c r="AP290" i="7"/>
  <c r="AP286" i="7"/>
  <c r="AP282" i="7"/>
  <c r="AP278" i="7"/>
  <c r="AP274" i="7"/>
  <c r="AP270" i="7"/>
  <c r="AP266" i="7"/>
  <c r="AP262" i="7"/>
  <c r="AP258" i="7"/>
  <c r="AP254" i="7"/>
  <c r="AP250" i="7"/>
  <c r="AP246" i="7"/>
  <c r="AP242" i="7"/>
  <c r="AP238" i="7"/>
  <c r="AP234" i="7"/>
  <c r="AP230" i="7"/>
  <c r="AP226" i="7"/>
  <c r="AP222" i="7"/>
  <c r="AP218" i="7"/>
  <c r="AP214" i="7"/>
  <c r="AP210" i="7"/>
  <c r="AP206" i="7"/>
  <c r="AP202" i="7"/>
  <c r="AP198" i="7"/>
  <c r="AP194" i="7"/>
  <c r="AP190" i="7"/>
  <c r="AP186" i="7"/>
  <c r="AP182" i="7"/>
  <c r="AP178" i="7"/>
  <c r="AP174" i="7"/>
  <c r="AP170" i="7"/>
  <c r="AP166" i="7"/>
  <c r="AP162" i="7"/>
  <c r="AP158" i="7"/>
  <c r="AP154" i="7"/>
  <c r="AP150" i="7"/>
  <c r="AP146" i="7"/>
  <c r="AP142" i="7"/>
  <c r="AP138" i="7"/>
  <c r="AP134" i="7"/>
  <c r="AP130" i="7"/>
  <c r="AP126" i="7"/>
  <c r="AP122" i="7"/>
  <c r="AP118" i="7"/>
  <c r="AP114" i="7"/>
  <c r="AP110" i="7"/>
  <c r="AP106" i="7"/>
  <c r="AP102" i="7"/>
  <c r="AP98" i="7"/>
  <c r="AP94" i="7"/>
  <c r="AP90" i="7"/>
  <c r="AP86" i="7"/>
  <c r="AP82" i="7"/>
  <c r="AP78" i="7"/>
  <c r="AP74" i="7"/>
  <c r="AP70" i="7"/>
  <c r="AP66" i="7"/>
  <c r="AP62" i="7"/>
  <c r="AP58" i="7"/>
  <c r="AP54" i="7"/>
  <c r="AP50" i="7"/>
  <c r="AP46" i="7"/>
  <c r="AP42" i="7"/>
  <c r="AP38" i="7"/>
  <c r="AP34" i="7"/>
  <c r="AP30" i="7"/>
  <c r="AP26" i="7"/>
  <c r="AP22" i="7"/>
  <c r="AP18" i="7"/>
  <c r="AP14" i="7"/>
  <c r="AP10" i="7"/>
  <c r="AP6" i="7"/>
  <c r="AP2" i="7"/>
  <c r="AP505" i="7"/>
  <c r="AP501" i="7"/>
  <c r="AP497" i="7"/>
  <c r="AP493" i="7"/>
  <c r="AP489" i="7"/>
  <c r="AP485" i="7"/>
  <c r="AP481" i="7"/>
  <c r="AP477" i="7"/>
  <c r="AP473" i="7"/>
  <c r="AP469" i="7"/>
  <c r="AP465" i="7"/>
  <c r="AP461" i="7"/>
  <c r="AP457" i="7"/>
  <c r="AP453" i="7"/>
  <c r="AP449" i="7"/>
  <c r="AP445" i="7"/>
  <c r="AP441" i="7"/>
  <c r="AP437" i="7"/>
  <c r="AP433" i="7"/>
  <c r="AP429" i="7"/>
  <c r="AP425" i="7"/>
  <c r="AP421" i="7"/>
  <c r="AP417" i="7"/>
  <c r="AP413" i="7"/>
  <c r="AP409" i="7"/>
  <c r="AP405" i="7"/>
  <c r="AP401" i="7"/>
  <c r="AP397" i="7"/>
  <c r="AP393" i="7"/>
  <c r="AP389" i="7"/>
  <c r="AP385" i="7"/>
  <c r="AP381" i="7"/>
  <c r="AP377" i="7"/>
  <c r="AP373" i="7"/>
  <c r="AP369" i="7"/>
  <c r="AP365" i="7"/>
  <c r="AP361" i="7"/>
  <c r="AP357" i="7"/>
  <c r="AP353" i="7"/>
  <c r="AP349" i="7"/>
  <c r="AP345" i="7"/>
  <c r="AP341" i="7"/>
  <c r="AP337" i="7"/>
  <c r="AP333" i="7"/>
  <c r="AP329" i="7"/>
  <c r="AP317" i="7"/>
  <c r="AP313" i="7"/>
  <c r="AP301" i="7"/>
  <c r="AP297" i="7"/>
  <c r="AP285" i="7"/>
  <c r="AP281" i="7"/>
  <c r="AP269" i="7"/>
  <c r="AP265" i="7"/>
  <c r="AP253" i="7"/>
  <c r="AP249" i="7"/>
  <c r="AP237" i="7"/>
  <c r="AP233" i="7"/>
  <c r="AP221" i="7"/>
  <c r="AP217" i="7"/>
  <c r="AP205" i="7"/>
  <c r="AP201" i="7"/>
  <c r="AP189" i="7"/>
  <c r="AP185" i="7"/>
  <c r="AP173" i="7"/>
  <c r="AP169" i="7"/>
  <c r="AP157" i="7"/>
  <c r="AP153" i="7"/>
  <c r="AP141" i="7"/>
  <c r="AP137" i="7"/>
  <c r="AP125" i="7"/>
  <c r="AP121" i="7"/>
  <c r="AP109" i="7"/>
  <c r="AP105" i="7"/>
  <c r="AP93" i="7"/>
  <c r="AP89" i="7"/>
  <c r="AP77" i="7"/>
  <c r="AP73" i="7"/>
  <c r="AP61" i="7"/>
  <c r="AP57" i="7"/>
  <c r="AP45" i="7"/>
  <c r="AP41" i="7"/>
  <c r="AP29" i="7"/>
  <c r="AP25" i="7"/>
  <c r="AP13" i="7"/>
  <c r="AP9" i="7"/>
  <c r="D10" i="5"/>
  <c r="D19" i="5"/>
  <c r="D17" i="5"/>
  <c r="D20" i="5"/>
  <c r="D21" i="5"/>
  <c r="D13" i="5"/>
  <c r="D9" i="5"/>
  <c r="D11" i="5"/>
  <c r="D7" i="5"/>
  <c r="D6" i="5"/>
  <c r="D4" i="5"/>
  <c r="F18" i="4"/>
  <c r="G86" i="11"/>
  <c r="F86" i="11" s="1"/>
  <c r="G83" i="11"/>
  <c r="F83" i="11" s="1"/>
  <c r="G79" i="11"/>
  <c r="F79" i="11" s="1"/>
  <c r="G78" i="11"/>
  <c r="G73" i="11"/>
  <c r="J82" i="11"/>
  <c r="J77" i="11"/>
  <c r="F74" i="11"/>
  <c r="G74" i="11" s="1"/>
  <c r="G72" i="11"/>
  <c r="F72" i="11" s="1"/>
  <c r="G69" i="11"/>
  <c r="F69" i="11" s="1"/>
  <c r="G65" i="11"/>
  <c r="F65" i="11" s="1"/>
  <c r="G64" i="11"/>
  <c r="F64" i="11" s="1"/>
  <c r="J64" i="11" s="1"/>
  <c r="F60" i="11"/>
  <c r="G59" i="11"/>
  <c r="F59" i="11"/>
  <c r="F58" i="11"/>
  <c r="J58" i="11" s="1"/>
  <c r="F57" i="11"/>
  <c r="J57" i="11" s="1"/>
  <c r="F55" i="11"/>
  <c r="J55" i="11" s="1"/>
  <c r="F51" i="11"/>
  <c r="J51" i="11" s="1"/>
  <c r="F50" i="11"/>
  <c r="J50" i="11" s="1"/>
  <c r="F45" i="11"/>
  <c r="J45" i="11" s="1"/>
  <c r="F43" i="11"/>
  <c r="J43" i="11" s="1"/>
  <c r="F44" i="11"/>
  <c r="J44" i="11" s="1"/>
  <c r="F41" i="11"/>
  <c r="J41" i="11" s="1"/>
  <c r="F37" i="11"/>
  <c r="J37" i="11" s="1"/>
  <c r="F36" i="11"/>
  <c r="J36" i="11" s="1"/>
  <c r="F31" i="11"/>
  <c r="J31" i="11" s="1"/>
  <c r="G15" i="11"/>
  <c r="G14" i="11"/>
  <c r="G13" i="11"/>
  <c r="E22" i="11" s="1"/>
  <c r="E20" i="11" s="1"/>
  <c r="F15" i="11"/>
  <c r="F14" i="11"/>
  <c r="E15" i="11"/>
  <c r="E14" i="11"/>
  <c r="F13" i="11"/>
  <c r="E13" i="11"/>
  <c r="L6" i="11"/>
  <c r="L5" i="11"/>
  <c r="L4" i="11"/>
  <c r="I6" i="11"/>
  <c r="I5" i="11"/>
  <c r="I4" i="11"/>
  <c r="H6" i="11"/>
  <c r="H5" i="11"/>
  <c r="H4" i="11"/>
  <c r="F6" i="11"/>
  <c r="F5" i="11"/>
  <c r="F4" i="11"/>
  <c r="E6" i="11"/>
  <c r="E5" i="11"/>
  <c r="E4" i="11"/>
  <c r="J81" i="11"/>
  <c r="J80" i="11"/>
  <c r="J76" i="11"/>
  <c r="J75" i="11"/>
  <c r="J70" i="11"/>
  <c r="J68" i="11"/>
  <c r="J67" i="11"/>
  <c r="J66" i="11"/>
  <c r="J63" i="11"/>
  <c r="J62" i="11"/>
  <c r="J61" i="11"/>
  <c r="J56" i="11"/>
  <c r="J54" i="11"/>
  <c r="J53" i="11"/>
  <c r="J52" i="11"/>
  <c r="J49" i="11"/>
  <c r="J48" i="11"/>
  <c r="J47" i="11"/>
  <c r="J46" i="11"/>
  <c r="J42" i="11"/>
  <c r="J40" i="11"/>
  <c r="J39" i="11"/>
  <c r="J38" i="11"/>
  <c r="J35" i="11"/>
  <c r="J34" i="11"/>
  <c r="J33" i="11"/>
  <c r="J32" i="11"/>
  <c r="D15" i="5" l="1"/>
  <c r="D28" i="5" s="1"/>
  <c r="K5" i="11"/>
  <c r="K6" i="11"/>
  <c r="K4" i="11"/>
  <c r="J5" i="11"/>
  <c r="J4" i="11"/>
  <c r="J6" i="11"/>
  <c r="G85" i="11"/>
  <c r="F78" i="11"/>
  <c r="F85" i="11" s="1"/>
  <c r="J79" i="11"/>
  <c r="J83" i="11"/>
  <c r="J86" i="11"/>
  <c r="J72" i="11"/>
  <c r="J59" i="11"/>
  <c r="J65" i="11"/>
  <c r="J69" i="11"/>
  <c r="E11" i="11"/>
  <c r="E2" i="11"/>
  <c r="G60" i="11"/>
  <c r="G71" i="11" s="1"/>
  <c r="F71" i="11" l="1"/>
  <c r="J71" i="11" s="1"/>
  <c r="J78" i="11"/>
  <c r="J74" i="11"/>
  <c r="J60" i="11"/>
  <c r="J85" i="11"/>
  <c r="E51" i="5" l="1"/>
  <c r="E48" i="5"/>
  <c r="F48" i="5"/>
  <c r="E36" i="5"/>
  <c r="E38" i="5"/>
  <c r="E37" i="5"/>
  <c r="E35" i="5"/>
  <c r="E34" i="5"/>
  <c r="E33" i="5"/>
  <c r="B38" i="5"/>
  <c r="B37" i="5"/>
  <c r="B35" i="5"/>
  <c r="B36" i="5"/>
  <c r="B34" i="5"/>
  <c r="G20" i="5"/>
  <c r="F20" i="5"/>
  <c r="J21" i="5"/>
  <c r="G21" i="5"/>
  <c r="F21" i="5"/>
  <c r="C21" i="5"/>
  <c r="B21" i="5"/>
  <c r="C52" i="5" s="1"/>
  <c r="J19" i="5"/>
  <c r="G19" i="5"/>
  <c r="F19" i="5"/>
  <c r="C19" i="5"/>
  <c r="B19" i="5"/>
  <c r="J18" i="5"/>
  <c r="G18" i="5"/>
  <c r="F18" i="5"/>
  <c r="C18" i="5"/>
  <c r="B18" i="5"/>
  <c r="C49" i="5" s="1"/>
  <c r="J17" i="5"/>
  <c r="G17" i="5"/>
  <c r="F17" i="5"/>
  <c r="C17" i="5"/>
  <c r="B17" i="5"/>
  <c r="C50" i="5" s="1"/>
  <c r="J13" i="5"/>
  <c r="G13" i="5"/>
  <c r="F13" i="5"/>
  <c r="C13" i="5"/>
  <c r="B13" i="5"/>
  <c r="J12" i="5"/>
  <c r="G12" i="5"/>
  <c r="F12" i="5"/>
  <c r="C12" i="5"/>
  <c r="B12" i="5"/>
  <c r="J11" i="5"/>
  <c r="G11" i="5"/>
  <c r="F11" i="5"/>
  <c r="C11" i="5"/>
  <c r="B11" i="5"/>
  <c r="J10" i="5"/>
  <c r="G10" i="5"/>
  <c r="F10" i="5"/>
  <c r="C10" i="5"/>
  <c r="B10" i="5"/>
  <c r="J9" i="5"/>
  <c r="G9" i="5"/>
  <c r="F9" i="5"/>
  <c r="C9" i="5"/>
  <c r="B9" i="5"/>
  <c r="C44" i="5" s="1"/>
  <c r="J7" i="5"/>
  <c r="G7" i="5"/>
  <c r="C7" i="5"/>
  <c r="B7" i="5"/>
  <c r="C47" i="5" s="1"/>
  <c r="J6" i="5"/>
  <c r="H6" i="5"/>
  <c r="G6" i="5"/>
  <c r="F6" i="5"/>
  <c r="C6" i="5"/>
  <c r="B6" i="5"/>
  <c r="C46" i="5" s="1"/>
  <c r="J5" i="5"/>
  <c r="G5" i="5"/>
  <c r="F5" i="5"/>
  <c r="C5" i="5"/>
  <c r="B5" i="5"/>
  <c r="J4" i="5"/>
  <c r="G4" i="5"/>
  <c r="F4" i="5"/>
  <c r="C4" i="5"/>
  <c r="B4" i="5"/>
  <c r="C43" i="5" s="1"/>
  <c r="K124" i="4"/>
  <c r="J124" i="4"/>
  <c r="I124" i="4"/>
  <c r="H124" i="4"/>
  <c r="K140" i="4"/>
  <c r="J140" i="4"/>
  <c r="I140" i="4"/>
  <c r="H140" i="4"/>
  <c r="K172" i="4"/>
  <c r="J172" i="4"/>
  <c r="I172" i="4"/>
  <c r="H172" i="4"/>
  <c r="K188" i="4"/>
  <c r="J188" i="4"/>
  <c r="I188" i="4"/>
  <c r="H188" i="4"/>
  <c r="K186" i="4"/>
  <c r="J186" i="4"/>
  <c r="I186" i="4"/>
  <c r="H186" i="4"/>
  <c r="K170" i="4"/>
  <c r="J170" i="4"/>
  <c r="I170" i="4"/>
  <c r="H170" i="4"/>
  <c r="K138" i="4"/>
  <c r="J138" i="4"/>
  <c r="I138" i="4"/>
  <c r="H138" i="4"/>
  <c r="K122" i="4"/>
  <c r="J122" i="4"/>
  <c r="I122" i="4"/>
  <c r="H122" i="4"/>
  <c r="K44" i="4"/>
  <c r="J44" i="4"/>
  <c r="I44" i="4"/>
  <c r="H44" i="4"/>
  <c r="I33" i="4"/>
  <c r="K33" i="4"/>
  <c r="J33" i="4"/>
  <c r="H33" i="4"/>
  <c r="J11" i="4"/>
  <c r="I11" i="4"/>
  <c r="H11" i="4"/>
  <c r="K11" i="4"/>
  <c r="G46" i="4"/>
  <c r="G51" i="4"/>
  <c r="G44" i="4"/>
  <c r="G35" i="4"/>
  <c r="G34" i="4"/>
  <c r="G33" i="4"/>
  <c r="D43" i="5" l="1"/>
  <c r="J28" i="5"/>
  <c r="E5" i="5"/>
  <c r="E17" i="5"/>
  <c r="D52" i="5"/>
  <c r="E10" i="5"/>
  <c r="C51" i="5"/>
  <c r="D44" i="5"/>
  <c r="D47" i="5"/>
  <c r="D50" i="5"/>
  <c r="D46" i="5"/>
  <c r="E18" i="5"/>
  <c r="C45" i="5"/>
  <c r="C48" i="5" s="1"/>
  <c r="I21" i="5"/>
  <c r="D45" i="5"/>
  <c r="D49" i="5"/>
  <c r="I11" i="5"/>
  <c r="E19" i="5"/>
  <c r="I5" i="5"/>
  <c r="E11" i="5"/>
  <c r="I13" i="5"/>
  <c r="I12" i="5"/>
  <c r="E21" i="5"/>
  <c r="E7" i="5"/>
  <c r="I18" i="5"/>
  <c r="I19" i="5"/>
  <c r="I6" i="5"/>
  <c r="E12" i="5"/>
  <c r="I17" i="5"/>
  <c r="I20" i="5"/>
  <c r="E20" i="5"/>
  <c r="I7" i="5"/>
  <c r="E6" i="5"/>
  <c r="E4" i="5"/>
  <c r="I9" i="5"/>
  <c r="E9" i="5"/>
  <c r="E13" i="5"/>
  <c r="I10" i="5"/>
  <c r="D51" i="5" l="1"/>
  <c r="D48" i="5"/>
  <c r="F188" i="4"/>
  <c r="F193" i="4"/>
  <c r="F186" i="4"/>
  <c r="F172" i="4"/>
  <c r="F177" i="4"/>
  <c r="F170" i="4"/>
  <c r="F145" i="4"/>
  <c r="F129" i="4"/>
  <c r="F140" i="4"/>
  <c r="F138" i="4"/>
  <c r="F124" i="4"/>
  <c r="F46" i="4"/>
  <c r="F122" i="4"/>
  <c r="F51" i="4"/>
  <c r="F44" i="4" l="1"/>
  <c r="F35" i="4"/>
  <c r="F34" i="4"/>
  <c r="F33" i="4"/>
  <c r="F13" i="4"/>
  <c r="F12" i="4"/>
  <c r="F11" i="4"/>
  <c r="B101" i="5" l="1"/>
  <c r="J23" i="5"/>
  <c r="H23" i="5"/>
  <c r="G23" i="5"/>
  <c r="F23" i="5"/>
  <c r="E23" i="5"/>
  <c r="J22" i="5"/>
  <c r="H22" i="5"/>
  <c r="G22" i="5"/>
  <c r="F22" i="5"/>
  <c r="E22" i="5"/>
  <c r="G269" i="4"/>
  <c r="F269" i="4"/>
  <c r="G268" i="4"/>
  <c r="F268" i="4"/>
  <c r="AH266" i="4"/>
  <c r="AG266" i="4"/>
  <c r="AD266" i="4"/>
  <c r="AC266" i="4"/>
  <c r="Z266" i="4"/>
  <c r="Y266" i="4"/>
  <c r="V266" i="4"/>
  <c r="U266" i="4"/>
  <c r="R266" i="4"/>
  <c r="Q266" i="4"/>
  <c r="K266" i="4"/>
  <c r="J266" i="4"/>
  <c r="G266" i="4"/>
  <c r="F266" i="4"/>
  <c r="AH265" i="4"/>
  <c r="AG265" i="4"/>
  <c r="AD265" i="4"/>
  <c r="AC265" i="4"/>
  <c r="Z265" i="4"/>
  <c r="Y265" i="4"/>
  <c r="V265" i="4"/>
  <c r="U265" i="4"/>
  <c r="R265" i="4"/>
  <c r="Q265" i="4"/>
  <c r="K265" i="4"/>
  <c r="J265" i="4"/>
  <c r="G265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K251" i="4"/>
  <c r="J251" i="4"/>
  <c r="I251" i="4"/>
  <c r="H251" i="4"/>
  <c r="G251" i="4"/>
  <c r="F251" i="4"/>
  <c r="AH246" i="4"/>
  <c r="AH259" i="4" s="1"/>
  <c r="AG246" i="4"/>
  <c r="AG259" i="4" s="1"/>
  <c r="AF246" i="4"/>
  <c r="AE246" i="4"/>
  <c r="AD246" i="4"/>
  <c r="AD259" i="4" s="1"/>
  <c r="AC246" i="4"/>
  <c r="AC259" i="4" s="1"/>
  <c r="AB246" i="4"/>
  <c r="AB259" i="4" s="1"/>
  <c r="AA246" i="4"/>
  <c r="Z246" i="4"/>
  <c r="Z259" i="4" s="1"/>
  <c r="Y246" i="4"/>
  <c r="Y259" i="4" s="1"/>
  <c r="X246" i="4"/>
  <c r="W246" i="4"/>
  <c r="V246" i="4"/>
  <c r="V259" i="4" s="1"/>
  <c r="U246" i="4"/>
  <c r="U259" i="4" s="1"/>
  <c r="T246" i="4"/>
  <c r="S246" i="4"/>
  <c r="R246" i="4"/>
  <c r="R259" i="4" s="1"/>
  <c r="Q246" i="4"/>
  <c r="Q259" i="4" s="1"/>
  <c r="P246" i="4"/>
  <c r="O246" i="4"/>
  <c r="K246" i="4"/>
  <c r="K259" i="4" s="1"/>
  <c r="J246" i="4"/>
  <c r="J259" i="4" s="1"/>
  <c r="I246" i="4"/>
  <c r="I259" i="4" s="1"/>
  <c r="H246" i="4"/>
  <c r="G246" i="4"/>
  <c r="G259" i="4" s="1"/>
  <c r="F246" i="4"/>
  <c r="F259" i="4" s="1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K235" i="4"/>
  <c r="J235" i="4"/>
  <c r="I235" i="4"/>
  <c r="H235" i="4"/>
  <c r="G235" i="4"/>
  <c r="F235" i="4"/>
  <c r="AH230" i="4"/>
  <c r="AG230" i="4"/>
  <c r="AG243" i="4" s="1"/>
  <c r="AF230" i="4"/>
  <c r="AF243" i="4" s="1"/>
  <c r="AE230" i="4"/>
  <c r="AD230" i="4"/>
  <c r="AD243" i="4" s="1"/>
  <c r="AC230" i="4"/>
  <c r="AB230" i="4"/>
  <c r="AA230" i="4"/>
  <c r="AA243" i="4" s="1"/>
  <c r="Z230" i="4"/>
  <c r="Z243" i="4" s="1"/>
  <c r="Y230" i="4"/>
  <c r="Y243" i="4" s="1"/>
  <c r="X230" i="4"/>
  <c r="X243" i="4" s="1"/>
  <c r="W230" i="4"/>
  <c r="W243" i="4" s="1"/>
  <c r="V230" i="4"/>
  <c r="V243" i="4" s="1"/>
  <c r="U230" i="4"/>
  <c r="U243" i="4" s="1"/>
  <c r="T230" i="4"/>
  <c r="S230" i="4"/>
  <c r="R230" i="4"/>
  <c r="Q230" i="4"/>
  <c r="Q243" i="4" s="1"/>
  <c r="P230" i="4"/>
  <c r="P243" i="4" s="1"/>
  <c r="O230" i="4"/>
  <c r="O243" i="4" s="1"/>
  <c r="K230" i="4"/>
  <c r="K243" i="4" s="1"/>
  <c r="J230" i="4"/>
  <c r="I230" i="4"/>
  <c r="H230" i="4"/>
  <c r="H243" i="4" s="1"/>
  <c r="G230" i="4"/>
  <c r="G243" i="4" s="1"/>
  <c r="F230" i="4"/>
  <c r="F243" i="4" s="1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P227" i="4" s="1"/>
  <c r="O219" i="4"/>
  <c r="K219" i="4"/>
  <c r="J219" i="4"/>
  <c r="I219" i="4"/>
  <c r="H219" i="4"/>
  <c r="G219" i="4"/>
  <c r="F219" i="4"/>
  <c r="AH214" i="4"/>
  <c r="AH227" i="4" s="1"/>
  <c r="AG214" i="4"/>
  <c r="AG227" i="4" s="1"/>
  <c r="AF214" i="4"/>
  <c r="AE214" i="4"/>
  <c r="AE227" i="4" s="1"/>
  <c r="AD214" i="4"/>
  <c r="AD227" i="4" s="1"/>
  <c r="AC214" i="4"/>
  <c r="AC227" i="4" s="1"/>
  <c r="AB214" i="4"/>
  <c r="AA214" i="4"/>
  <c r="Z214" i="4"/>
  <c r="Z227" i="4" s="1"/>
  <c r="Y214" i="4"/>
  <c r="Y227" i="4" s="1"/>
  <c r="X214" i="4"/>
  <c r="X227" i="4" s="1"/>
  <c r="W214" i="4"/>
  <c r="V214" i="4"/>
  <c r="V227" i="4" s="1"/>
  <c r="U214" i="4"/>
  <c r="U227" i="4" s="1"/>
  <c r="T214" i="4"/>
  <c r="S214" i="4"/>
  <c r="S227" i="4" s="1"/>
  <c r="R214" i="4"/>
  <c r="R227" i="4" s="1"/>
  <c r="Q214" i="4"/>
  <c r="Q227" i="4" s="1"/>
  <c r="P214" i="4"/>
  <c r="O214" i="4"/>
  <c r="O227" i="4" s="1"/>
  <c r="K214" i="4"/>
  <c r="K227" i="4" s="1"/>
  <c r="J214" i="4"/>
  <c r="J227" i="4" s="1"/>
  <c r="I214" i="4"/>
  <c r="H214" i="4"/>
  <c r="G214" i="4"/>
  <c r="G227" i="4" s="1"/>
  <c r="F214" i="4"/>
  <c r="F227" i="4" s="1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K203" i="4"/>
  <c r="J203" i="4"/>
  <c r="I203" i="4"/>
  <c r="H203" i="4"/>
  <c r="G203" i="4"/>
  <c r="F203" i="4"/>
  <c r="AH198" i="4"/>
  <c r="AH211" i="4" s="1"/>
  <c r="AG198" i="4"/>
  <c r="AG211" i="4" s="1"/>
  <c r="AF198" i="4"/>
  <c r="AE198" i="4"/>
  <c r="AD198" i="4"/>
  <c r="AC198" i="4"/>
  <c r="AC211" i="4" s="1"/>
  <c r="AB198" i="4"/>
  <c r="AB211" i="4" s="1"/>
  <c r="AA198" i="4"/>
  <c r="Z198" i="4"/>
  <c r="Z211" i="4" s="1"/>
  <c r="Y198" i="4"/>
  <c r="W211" i="4" s="1"/>
  <c r="X198" i="4"/>
  <c r="W198" i="4"/>
  <c r="V198" i="4"/>
  <c r="V211" i="4" s="1"/>
  <c r="U198" i="4"/>
  <c r="U211" i="4" s="1"/>
  <c r="T198" i="4"/>
  <c r="T211" i="4" s="1"/>
  <c r="S198" i="4"/>
  <c r="R198" i="4"/>
  <c r="R211" i="4" s="1"/>
  <c r="Q198" i="4"/>
  <c r="Q211" i="4" s="1"/>
  <c r="P198" i="4"/>
  <c r="O198" i="4"/>
  <c r="K198" i="4"/>
  <c r="J198" i="4"/>
  <c r="J211" i="4" s="1"/>
  <c r="I198" i="4"/>
  <c r="I211" i="4" s="1"/>
  <c r="H198" i="4"/>
  <c r="G198" i="4"/>
  <c r="G211" i="4" s="1"/>
  <c r="F198" i="4"/>
  <c r="K187" i="4"/>
  <c r="F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G187" i="4"/>
  <c r="K182" i="4"/>
  <c r="J182" i="4"/>
  <c r="H182" i="4"/>
  <c r="F182" i="4"/>
  <c r="AH182" i="4"/>
  <c r="AH195" i="4" s="1"/>
  <c r="AG182" i="4"/>
  <c r="AG195" i="4" s="1"/>
  <c r="AF182" i="4"/>
  <c r="AE182" i="4"/>
  <c r="AD182" i="4"/>
  <c r="AD195" i="4" s="1"/>
  <c r="AC182" i="4"/>
  <c r="AC195" i="4" s="1"/>
  <c r="AB182" i="4"/>
  <c r="AA182" i="4"/>
  <c r="Z182" i="4"/>
  <c r="Z195" i="4" s="1"/>
  <c r="Y182" i="4"/>
  <c r="Y195" i="4" s="1"/>
  <c r="X182" i="4"/>
  <c r="X195" i="4" s="1"/>
  <c r="W182" i="4"/>
  <c r="V182" i="4"/>
  <c r="V195" i="4" s="1"/>
  <c r="U182" i="4"/>
  <c r="U195" i="4" s="1"/>
  <c r="T182" i="4"/>
  <c r="T195" i="4" s="1"/>
  <c r="S182" i="4"/>
  <c r="R182" i="4"/>
  <c r="R195" i="4" s="1"/>
  <c r="Q182" i="4"/>
  <c r="Q195" i="4" s="1"/>
  <c r="P182" i="4"/>
  <c r="P195" i="4" s="1"/>
  <c r="O182" i="4"/>
  <c r="G182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K171" i="4"/>
  <c r="J171" i="4"/>
  <c r="I171" i="4"/>
  <c r="H171" i="4"/>
  <c r="G171" i="4"/>
  <c r="F171" i="4"/>
  <c r="K166" i="4"/>
  <c r="J166" i="4"/>
  <c r="F166" i="4"/>
  <c r="AH166" i="4"/>
  <c r="AH179" i="4" s="1"/>
  <c r="AG166" i="4"/>
  <c r="AG179" i="4" s="1"/>
  <c r="AF166" i="4"/>
  <c r="AF179" i="4" s="1"/>
  <c r="AE166" i="4"/>
  <c r="AE179" i="4" s="1"/>
  <c r="AD166" i="4"/>
  <c r="AD179" i="4" s="1"/>
  <c r="AC166" i="4"/>
  <c r="AC179" i="4" s="1"/>
  <c r="AB166" i="4"/>
  <c r="AB179" i="4" s="1"/>
  <c r="AA166" i="4"/>
  <c r="Z166" i="4"/>
  <c r="Y166" i="4"/>
  <c r="Y179" i="4" s="1"/>
  <c r="X166" i="4"/>
  <c r="W166" i="4"/>
  <c r="V166" i="4"/>
  <c r="V179" i="4" s="1"/>
  <c r="U166" i="4"/>
  <c r="U179" i="4" s="1"/>
  <c r="T166" i="4"/>
  <c r="S166" i="4"/>
  <c r="R166" i="4"/>
  <c r="R179" i="4" s="1"/>
  <c r="Q166" i="4"/>
  <c r="Q179" i="4" s="1"/>
  <c r="P166" i="4"/>
  <c r="P179" i="4" s="1"/>
  <c r="O166" i="4"/>
  <c r="O179" i="4" s="1"/>
  <c r="G166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K155" i="4"/>
  <c r="J155" i="4"/>
  <c r="I155" i="4"/>
  <c r="H155" i="4"/>
  <c r="G155" i="4"/>
  <c r="F155" i="4"/>
  <c r="AH150" i="4"/>
  <c r="AH163" i="4" s="1"/>
  <c r="AG150" i="4"/>
  <c r="AG163" i="4" s="1"/>
  <c r="AF150" i="4"/>
  <c r="AF163" i="4" s="1"/>
  <c r="AE150" i="4"/>
  <c r="AE163" i="4" s="1"/>
  <c r="AD150" i="4"/>
  <c r="AD163" i="4" s="1"/>
  <c r="AC150" i="4"/>
  <c r="AC163" i="4" s="1"/>
  <c r="AB150" i="4"/>
  <c r="AB163" i="4" s="1"/>
  <c r="AA150" i="4"/>
  <c r="AA163" i="4" s="1"/>
  <c r="Z150" i="4"/>
  <c r="Z163" i="4" s="1"/>
  <c r="Y150" i="4"/>
  <c r="X150" i="4"/>
  <c r="W150" i="4"/>
  <c r="W163" i="4" s="1"/>
  <c r="V150" i="4"/>
  <c r="V163" i="4" s="1"/>
  <c r="U150" i="4"/>
  <c r="U163" i="4" s="1"/>
  <c r="T150" i="4"/>
  <c r="T163" i="4" s="1"/>
  <c r="S150" i="4"/>
  <c r="S163" i="4" s="1"/>
  <c r="R150" i="4"/>
  <c r="R163" i="4" s="1"/>
  <c r="Q150" i="4"/>
  <c r="Q163" i="4" s="1"/>
  <c r="P150" i="4"/>
  <c r="P163" i="4" s="1"/>
  <c r="O150" i="4"/>
  <c r="O163" i="4" s="1"/>
  <c r="K150" i="4"/>
  <c r="K163" i="4" s="1"/>
  <c r="J150" i="4"/>
  <c r="J163" i="4" s="1"/>
  <c r="I150" i="4"/>
  <c r="I163" i="4" s="1"/>
  <c r="H150" i="4"/>
  <c r="H163" i="4" s="1"/>
  <c r="G150" i="4"/>
  <c r="G163" i="4" s="1"/>
  <c r="F150" i="4"/>
  <c r="F163" i="4" s="1"/>
  <c r="V147" i="4"/>
  <c r="K139" i="4"/>
  <c r="J139" i="4"/>
  <c r="F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G139" i="4"/>
  <c r="K134" i="4"/>
  <c r="J134" i="4"/>
  <c r="F134" i="4"/>
  <c r="AH134" i="4"/>
  <c r="AH147" i="4" s="1"/>
  <c r="AG134" i="4"/>
  <c r="AG147" i="4" s="1"/>
  <c r="AF134" i="4"/>
  <c r="AF147" i="4" s="1"/>
  <c r="AE134" i="4"/>
  <c r="AE147" i="4" s="1"/>
  <c r="AD134" i="4"/>
  <c r="AC134" i="4"/>
  <c r="AB134" i="4"/>
  <c r="AA134" i="4"/>
  <c r="AA147" i="4" s="1"/>
  <c r="Z134" i="4"/>
  <c r="Z147" i="4" s="1"/>
  <c r="Y134" i="4"/>
  <c r="Y147" i="4" s="1"/>
  <c r="X134" i="4"/>
  <c r="X147" i="4" s="1"/>
  <c r="W134" i="4"/>
  <c r="W147" i="4" s="1"/>
  <c r="V134" i="4"/>
  <c r="U134" i="4"/>
  <c r="U147" i="4" s="1"/>
  <c r="T134" i="4"/>
  <c r="T147" i="4" s="1"/>
  <c r="S134" i="4"/>
  <c r="S147" i="4" s="1"/>
  <c r="R134" i="4"/>
  <c r="R147" i="4" s="1"/>
  <c r="Q134" i="4"/>
  <c r="Q147" i="4" s="1"/>
  <c r="P134" i="4"/>
  <c r="P147" i="4" s="1"/>
  <c r="O134" i="4"/>
  <c r="O147" i="4" s="1"/>
  <c r="G134" i="4"/>
  <c r="K123" i="4"/>
  <c r="F123" i="4"/>
  <c r="AH123" i="4"/>
  <c r="AG123" i="4"/>
  <c r="AF123" i="4"/>
  <c r="AE123" i="4"/>
  <c r="AD123" i="4"/>
  <c r="AC123" i="4"/>
  <c r="AC112" i="4" s="1"/>
  <c r="AB123" i="4"/>
  <c r="AB112" i="4" s="1"/>
  <c r="AA123" i="4"/>
  <c r="Z123" i="4"/>
  <c r="Z112" i="4" s="1"/>
  <c r="Y123" i="4"/>
  <c r="Y112" i="4" s="1"/>
  <c r="X123" i="4"/>
  <c r="X112" i="4" s="1"/>
  <c r="W123" i="4"/>
  <c r="V123" i="4"/>
  <c r="V112" i="4" s="1"/>
  <c r="U123" i="4"/>
  <c r="S112" i="4" s="1"/>
  <c r="T123" i="4"/>
  <c r="T112" i="4" s="1"/>
  <c r="S123" i="4"/>
  <c r="R123" i="4"/>
  <c r="Q123" i="4"/>
  <c r="P123" i="4"/>
  <c r="P112" i="4" s="1"/>
  <c r="O123" i="4"/>
  <c r="G123" i="4"/>
  <c r="K118" i="4"/>
  <c r="H118" i="4"/>
  <c r="F118" i="4"/>
  <c r="AH118" i="4"/>
  <c r="AH131" i="4" s="1"/>
  <c r="AG118" i="4"/>
  <c r="AG131" i="4" s="1"/>
  <c r="AF118" i="4"/>
  <c r="AE118" i="4"/>
  <c r="AD118" i="4"/>
  <c r="AD131" i="4" s="1"/>
  <c r="AC118" i="4"/>
  <c r="AC131" i="4" s="1"/>
  <c r="AB118" i="4"/>
  <c r="AB131" i="4" s="1"/>
  <c r="AA118" i="4"/>
  <c r="Z118" i="4"/>
  <c r="Z131" i="4" s="1"/>
  <c r="Y118" i="4"/>
  <c r="Y131" i="4" s="1"/>
  <c r="X118" i="4"/>
  <c r="X131" i="4" s="1"/>
  <c r="W118" i="4"/>
  <c r="V118" i="4"/>
  <c r="V111" i="4" s="1"/>
  <c r="U118" i="4"/>
  <c r="U111" i="4" s="1"/>
  <c r="T118" i="4"/>
  <c r="T111" i="4" s="1"/>
  <c r="S118" i="4"/>
  <c r="R118" i="4"/>
  <c r="R131" i="4" s="1"/>
  <c r="Q118" i="4"/>
  <c r="Q131" i="4" s="1"/>
  <c r="P118" i="4"/>
  <c r="O118" i="4"/>
  <c r="G118" i="4"/>
  <c r="G131" i="4" s="1"/>
  <c r="G117" i="4"/>
  <c r="F117" i="4"/>
  <c r="G116" i="4"/>
  <c r="F116" i="4"/>
  <c r="L115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K114" i="4"/>
  <c r="J114" i="4"/>
  <c r="I114" i="4"/>
  <c r="H114" i="4"/>
  <c r="G114" i="4"/>
  <c r="F114" i="4"/>
  <c r="AH113" i="4"/>
  <c r="AH115" i="4" s="1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R115" i="4" s="1"/>
  <c r="Q113" i="4"/>
  <c r="P113" i="4"/>
  <c r="O113" i="4"/>
  <c r="K113" i="4"/>
  <c r="J113" i="4"/>
  <c r="I113" i="4"/>
  <c r="H113" i="4"/>
  <c r="G113" i="4"/>
  <c r="F113" i="4"/>
  <c r="AH112" i="4"/>
  <c r="AG112" i="4"/>
  <c r="AF112" i="4"/>
  <c r="R112" i="4"/>
  <c r="Q112" i="4"/>
  <c r="AH111" i="4"/>
  <c r="Z111" i="4"/>
  <c r="X111" i="4"/>
  <c r="R111" i="4"/>
  <c r="G111" i="4"/>
  <c r="AH100" i="4"/>
  <c r="AG100" i="4"/>
  <c r="AF100" i="4"/>
  <c r="AF89" i="4" s="1"/>
  <c r="AE100" i="4"/>
  <c r="AE89" i="4" s="1"/>
  <c r="AD100" i="4"/>
  <c r="AD89" i="4" s="1"/>
  <c r="AC100" i="4"/>
  <c r="AB100" i="4"/>
  <c r="AB89" i="4" s="1"/>
  <c r="AA100" i="4"/>
  <c r="Z100" i="4"/>
  <c r="Y100" i="4"/>
  <c r="X100" i="4"/>
  <c r="W100" i="4"/>
  <c r="V100" i="4"/>
  <c r="U100" i="4"/>
  <c r="T100" i="4"/>
  <c r="S100" i="4"/>
  <c r="R100" i="4"/>
  <c r="Q100" i="4"/>
  <c r="P100" i="4"/>
  <c r="P89" i="4" s="1"/>
  <c r="O100" i="4"/>
  <c r="O89" i="4" s="1"/>
  <c r="K100" i="4"/>
  <c r="J100" i="4"/>
  <c r="I100" i="4"/>
  <c r="H100" i="4"/>
  <c r="G100" i="4"/>
  <c r="F100" i="4"/>
  <c r="AH95" i="4"/>
  <c r="AG95" i="4"/>
  <c r="AG108" i="4" s="1"/>
  <c r="AF95" i="4"/>
  <c r="AE95" i="4"/>
  <c r="AD95" i="4"/>
  <c r="AD108" i="4" s="1"/>
  <c r="AC95" i="4"/>
  <c r="AC108" i="4" s="1"/>
  <c r="AB95" i="4"/>
  <c r="AA95" i="4"/>
  <c r="Z95" i="4"/>
  <c r="Z88" i="4" s="1"/>
  <c r="Y95" i="4"/>
  <c r="W88" i="4" s="1"/>
  <c r="X95" i="4"/>
  <c r="W95" i="4"/>
  <c r="V95" i="4"/>
  <c r="V88" i="4" s="1"/>
  <c r="U95" i="4"/>
  <c r="U108" i="4" s="1"/>
  <c r="T95" i="4"/>
  <c r="T108" i="4" s="1"/>
  <c r="S95" i="4"/>
  <c r="R95" i="4"/>
  <c r="Q95" i="4"/>
  <c r="Q108" i="4" s="1"/>
  <c r="P95" i="4"/>
  <c r="O95" i="4"/>
  <c r="K95" i="4"/>
  <c r="K108" i="4" s="1"/>
  <c r="J95" i="4"/>
  <c r="J108" i="4" s="1"/>
  <c r="I95" i="4"/>
  <c r="H95" i="4"/>
  <c r="G95" i="4"/>
  <c r="G88" i="4" s="1"/>
  <c r="F95" i="4"/>
  <c r="G94" i="4"/>
  <c r="F94" i="4"/>
  <c r="G93" i="4"/>
  <c r="F93" i="4"/>
  <c r="L92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K91" i="4"/>
  <c r="J91" i="4"/>
  <c r="I91" i="4"/>
  <c r="H91" i="4"/>
  <c r="G91" i="4"/>
  <c r="F91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K90" i="4"/>
  <c r="J90" i="4"/>
  <c r="I90" i="4"/>
  <c r="H90" i="4"/>
  <c r="G90" i="4"/>
  <c r="F90" i="4"/>
  <c r="U89" i="4"/>
  <c r="AG88" i="4"/>
  <c r="AE88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K77" i="4"/>
  <c r="J77" i="4"/>
  <c r="I77" i="4"/>
  <c r="H77" i="4"/>
  <c r="G77" i="4"/>
  <c r="F77" i="4"/>
  <c r="AH72" i="4"/>
  <c r="AH85" i="4" s="1"/>
  <c r="AG72" i="4"/>
  <c r="AF72" i="4"/>
  <c r="AE72" i="4"/>
  <c r="AE85" i="4" s="1"/>
  <c r="AD72" i="4"/>
  <c r="AD85" i="4" s="1"/>
  <c r="AC72" i="4"/>
  <c r="AB72" i="4"/>
  <c r="AA72" i="4"/>
  <c r="Z72" i="4"/>
  <c r="Z85" i="4" s="1"/>
  <c r="Y72" i="4"/>
  <c r="Y85" i="4" s="1"/>
  <c r="X72" i="4"/>
  <c r="X85" i="4" s="1"/>
  <c r="W72" i="4"/>
  <c r="V72" i="4"/>
  <c r="V85" i="4" s="1"/>
  <c r="U72" i="4"/>
  <c r="T72" i="4"/>
  <c r="S72" i="4"/>
  <c r="S85" i="4" s="1"/>
  <c r="R72" i="4"/>
  <c r="R85" i="4" s="1"/>
  <c r="Q72" i="4"/>
  <c r="P72" i="4"/>
  <c r="O72" i="4"/>
  <c r="O85" i="4" s="1"/>
  <c r="K72" i="4"/>
  <c r="K85" i="4" s="1"/>
  <c r="J72" i="4"/>
  <c r="I72" i="4"/>
  <c r="H72" i="4"/>
  <c r="G72" i="4"/>
  <c r="G85" i="4" s="1"/>
  <c r="F72" i="4"/>
  <c r="F85" i="4" s="1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K61" i="4"/>
  <c r="J61" i="4"/>
  <c r="I61" i="4"/>
  <c r="H61" i="4"/>
  <c r="G61" i="4"/>
  <c r="F61" i="4"/>
  <c r="AH56" i="4"/>
  <c r="AH69" i="4" s="1"/>
  <c r="AG56" i="4"/>
  <c r="AG69" i="4" s="1"/>
  <c r="AF56" i="4"/>
  <c r="AE56" i="4"/>
  <c r="AD56" i="4"/>
  <c r="AD69" i="4" s="1"/>
  <c r="AC56" i="4"/>
  <c r="AC69" i="4" s="1"/>
  <c r="AB56" i="4"/>
  <c r="AA56" i="4"/>
  <c r="Z56" i="4"/>
  <c r="Z69" i="4" s="1"/>
  <c r="Y56" i="4"/>
  <c r="X69" i="4" s="1"/>
  <c r="X56" i="4"/>
  <c r="W56" i="4"/>
  <c r="W69" i="4" s="1"/>
  <c r="V56" i="4"/>
  <c r="V69" i="4" s="1"/>
  <c r="U56" i="4"/>
  <c r="T56" i="4"/>
  <c r="S56" i="4"/>
  <c r="R56" i="4"/>
  <c r="R69" i="4" s="1"/>
  <c r="Q56" i="4"/>
  <c r="Q69" i="4" s="1"/>
  <c r="P56" i="4"/>
  <c r="O56" i="4"/>
  <c r="K56" i="4"/>
  <c r="K69" i="4" s="1"/>
  <c r="J56" i="4"/>
  <c r="J69" i="4" s="1"/>
  <c r="I56" i="4"/>
  <c r="H56" i="4"/>
  <c r="G56" i="4"/>
  <c r="G69" i="4" s="1"/>
  <c r="F56" i="4"/>
  <c r="F69" i="4" s="1"/>
  <c r="AA53" i="4"/>
  <c r="AH45" i="4"/>
  <c r="AH264" i="4" s="1"/>
  <c r="AG45" i="4"/>
  <c r="AG264" i="4" s="1"/>
  <c r="AF45" i="4"/>
  <c r="AE45" i="4"/>
  <c r="AD45" i="4"/>
  <c r="AC45" i="4"/>
  <c r="AB45" i="4"/>
  <c r="AB53" i="4" s="1"/>
  <c r="AA45" i="4"/>
  <c r="Z45" i="4"/>
  <c r="Y45" i="4"/>
  <c r="Y264" i="4" s="1"/>
  <c r="X45" i="4"/>
  <c r="W45" i="4"/>
  <c r="V45" i="4"/>
  <c r="V264" i="4" s="1"/>
  <c r="U45" i="4"/>
  <c r="U264" i="4" s="1"/>
  <c r="T45" i="4"/>
  <c r="S45" i="4"/>
  <c r="R45" i="4"/>
  <c r="R264" i="4" s="1"/>
  <c r="Q45" i="4"/>
  <c r="Q264" i="4" s="1"/>
  <c r="P45" i="4"/>
  <c r="O45" i="4"/>
  <c r="K45" i="4"/>
  <c r="J45" i="4"/>
  <c r="I45" i="4"/>
  <c r="H45" i="4"/>
  <c r="G45" i="4"/>
  <c r="G264" i="4" s="1"/>
  <c r="F45" i="4"/>
  <c r="K40" i="4"/>
  <c r="J40" i="4"/>
  <c r="H40" i="4"/>
  <c r="G40" i="4"/>
  <c r="AH40" i="4"/>
  <c r="AH53" i="4" s="1"/>
  <c r="AG40" i="4"/>
  <c r="AF40" i="4"/>
  <c r="AE40" i="4"/>
  <c r="AE53" i="4" s="1"/>
  <c r="AD40" i="4"/>
  <c r="AD263" i="4" s="1"/>
  <c r="AC40" i="4"/>
  <c r="AC53" i="4" s="1"/>
  <c r="AB40" i="4"/>
  <c r="AA40" i="4"/>
  <c r="Z40" i="4"/>
  <c r="Z53" i="4" s="1"/>
  <c r="Y40" i="4"/>
  <c r="X40" i="4"/>
  <c r="X53" i="4" s="1"/>
  <c r="W40" i="4"/>
  <c r="W53" i="4" s="1"/>
  <c r="V40" i="4"/>
  <c r="V263" i="4" s="1"/>
  <c r="V267" i="4" s="1"/>
  <c r="U40" i="4"/>
  <c r="T40" i="4"/>
  <c r="S40" i="4"/>
  <c r="S53" i="4" s="1"/>
  <c r="R40" i="4"/>
  <c r="R53" i="4" s="1"/>
  <c r="Q40" i="4"/>
  <c r="P40" i="4"/>
  <c r="O40" i="4"/>
  <c r="O53" i="4" s="1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M37" i="4"/>
  <c r="K37" i="4"/>
  <c r="J37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M30" i="4"/>
  <c r="K30" i="4"/>
  <c r="J30" i="4"/>
  <c r="I30" i="4"/>
  <c r="H30" i="4"/>
  <c r="G30" i="4"/>
  <c r="F30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M22" i="4"/>
  <c r="K22" i="4"/>
  <c r="J22" i="4"/>
  <c r="I22" i="4"/>
  <c r="H22" i="4"/>
  <c r="G22" i="4"/>
  <c r="F22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M15" i="4"/>
  <c r="G15" i="4"/>
  <c r="K15" i="4"/>
  <c r="K53" i="4" l="1"/>
  <c r="Y69" i="4"/>
  <c r="S108" i="4"/>
  <c r="Z115" i="4"/>
  <c r="U131" i="4"/>
  <c r="AB111" i="4"/>
  <c r="X89" i="4"/>
  <c r="AF195" i="4"/>
  <c r="H211" i="4"/>
  <c r="S211" i="4"/>
  <c r="AA211" i="4"/>
  <c r="F211" i="4"/>
  <c r="O211" i="4"/>
  <c r="Y211" i="4"/>
  <c r="AE211" i="4"/>
  <c r="P259" i="4"/>
  <c r="X259" i="4"/>
  <c r="AF259" i="4"/>
  <c r="P53" i="4"/>
  <c r="T53" i="4"/>
  <c r="AF53" i="4"/>
  <c r="H69" i="4"/>
  <c r="O69" i="4"/>
  <c r="S69" i="4"/>
  <c r="AA69" i="4"/>
  <c r="AE69" i="4"/>
  <c r="P69" i="4"/>
  <c r="U69" i="4"/>
  <c r="AC264" i="4"/>
  <c r="AF69" i="4"/>
  <c r="P85" i="4"/>
  <c r="T85" i="4"/>
  <c r="AF85" i="4"/>
  <c r="O88" i="4"/>
  <c r="O108" i="4"/>
  <c r="AA88" i="4"/>
  <c r="AE108" i="4"/>
  <c r="Q89" i="4"/>
  <c r="AA89" i="4"/>
  <c r="AG89" i="4"/>
  <c r="AG92" i="4" s="1"/>
  <c r="V115" i="4"/>
  <c r="V131" i="4"/>
  <c r="AC111" i="4"/>
  <c r="AC89" i="4"/>
  <c r="AC147" i="4"/>
  <c r="X163" i="4"/>
  <c r="AB195" i="4"/>
  <c r="P211" i="4"/>
  <c r="X211" i="4"/>
  <c r="AF211" i="4"/>
  <c r="K211" i="4"/>
  <c r="AD211" i="4"/>
  <c r="AF227" i="4"/>
  <c r="Q53" i="4"/>
  <c r="U263" i="4"/>
  <c r="U267" i="4" s="1"/>
  <c r="Y263" i="4"/>
  <c r="Y267" i="4" s="1"/>
  <c r="AG53" i="4"/>
  <c r="J53" i="4"/>
  <c r="U53" i="4"/>
  <c r="Y53" i="4"/>
  <c r="AD53" i="4"/>
  <c r="I69" i="4"/>
  <c r="T69" i="4"/>
  <c r="AB69" i="4"/>
  <c r="Z264" i="4"/>
  <c r="H85" i="4"/>
  <c r="Q85" i="4"/>
  <c r="U85" i="4"/>
  <c r="AC85" i="4"/>
  <c r="AG85" i="4"/>
  <c r="W85" i="4"/>
  <c r="Q88" i="4"/>
  <c r="P108" i="4"/>
  <c r="X88" i="4"/>
  <c r="AB108" i="4"/>
  <c r="AF108" i="4"/>
  <c r="R108" i="4"/>
  <c r="T89" i="4"/>
  <c r="AH108" i="4"/>
  <c r="S131" i="4"/>
  <c r="S115" i="4" s="1"/>
  <c r="W111" i="4"/>
  <c r="AA131" i="4"/>
  <c r="AA115" i="4" s="1"/>
  <c r="W112" i="4"/>
  <c r="AA112" i="4"/>
  <c r="W131" i="4"/>
  <c r="AD111" i="4"/>
  <c r="AD112" i="4"/>
  <c r="AD147" i="4"/>
  <c r="S179" i="4"/>
  <c r="W179" i="4"/>
  <c r="AA179" i="4"/>
  <c r="F179" i="4"/>
  <c r="G179" i="4"/>
  <c r="V89" i="4"/>
  <c r="V92" i="4" s="1"/>
  <c r="Z179" i="4"/>
  <c r="W195" i="4"/>
  <c r="W227" i="4"/>
  <c r="AE243" i="4"/>
  <c r="J243" i="4"/>
  <c r="S243" i="4"/>
  <c r="AC243" i="4"/>
  <c r="T259" i="4"/>
  <c r="V53" i="4"/>
  <c r="V108" i="4"/>
  <c r="O112" i="4"/>
  <c r="AE112" i="4"/>
  <c r="Y89" i="4"/>
  <c r="T179" i="4"/>
  <c r="X179" i="4"/>
  <c r="O195" i="4"/>
  <c r="S195" i="4"/>
  <c r="AA195" i="4"/>
  <c r="AE195" i="4"/>
  <c r="G195" i="4"/>
  <c r="I227" i="4"/>
  <c r="T227" i="4"/>
  <c r="AB227" i="4"/>
  <c r="I243" i="4"/>
  <c r="T243" i="4"/>
  <c r="AB243" i="4"/>
  <c r="R243" i="4"/>
  <c r="AH243" i="4"/>
  <c r="S259" i="4"/>
  <c r="W259" i="4"/>
  <c r="H259" i="4"/>
  <c r="AA259" i="4"/>
  <c r="K26" i="5"/>
  <c r="I22" i="5"/>
  <c r="I23" i="5"/>
  <c r="J26" i="5"/>
  <c r="J179" i="4"/>
  <c r="K179" i="4"/>
  <c r="G53" i="4"/>
  <c r="H134" i="4"/>
  <c r="K147" i="4"/>
  <c r="F40" i="4"/>
  <c r="F53" i="4" s="1"/>
  <c r="F37" i="4"/>
  <c r="F195" i="4"/>
  <c r="G112" i="4"/>
  <c r="G115" i="4" s="1"/>
  <c r="G147" i="4"/>
  <c r="B33" i="5"/>
  <c r="I123" i="4"/>
  <c r="J147" i="4"/>
  <c r="I187" i="4"/>
  <c r="B28" i="5"/>
  <c r="G263" i="4"/>
  <c r="G267" i="4" s="1"/>
  <c r="H123" i="4"/>
  <c r="H139" i="4"/>
  <c r="H166" i="4"/>
  <c r="H179" i="4" s="1"/>
  <c r="I15" i="4"/>
  <c r="I118" i="4"/>
  <c r="I139" i="4"/>
  <c r="K112" i="4"/>
  <c r="F15" i="5"/>
  <c r="F28" i="5" s="1"/>
  <c r="H37" i="4"/>
  <c r="I37" i="4"/>
  <c r="K264" i="4"/>
  <c r="I134" i="4"/>
  <c r="H15" i="5"/>
  <c r="K89" i="4"/>
  <c r="H187" i="4"/>
  <c r="F88" i="4"/>
  <c r="F264" i="4"/>
  <c r="F265" i="4"/>
  <c r="K111" i="4"/>
  <c r="K131" i="4"/>
  <c r="K88" i="4"/>
  <c r="AC115" i="4"/>
  <c r="Q92" i="4"/>
  <c r="H53" i="4"/>
  <c r="F147" i="4"/>
  <c r="F131" i="4"/>
  <c r="F111" i="4"/>
  <c r="F89" i="4"/>
  <c r="F112" i="4"/>
  <c r="W115" i="4"/>
  <c r="K195" i="4"/>
  <c r="X115" i="4"/>
  <c r="AC88" i="4"/>
  <c r="S89" i="4"/>
  <c r="G37" i="4"/>
  <c r="AD88" i="4"/>
  <c r="AD92" i="4" s="1"/>
  <c r="Y111" i="4"/>
  <c r="Y115" i="4" s="1"/>
  <c r="T131" i="4"/>
  <c r="T115" i="4" s="1"/>
  <c r="AB147" i="4"/>
  <c r="AB92" i="4" s="1"/>
  <c r="AC263" i="4"/>
  <c r="AC267" i="4" s="1"/>
  <c r="P88" i="4"/>
  <c r="H227" i="4"/>
  <c r="AA227" i="4"/>
  <c r="O259" i="4"/>
  <c r="AE259" i="4"/>
  <c r="AG263" i="4"/>
  <c r="AG267" i="4" s="1"/>
  <c r="Z263" i="4"/>
  <c r="Z267" i="4" s="1"/>
  <c r="AD264" i="4"/>
  <c r="AD267" i="4" s="1"/>
  <c r="I85" i="4"/>
  <c r="AH88" i="4"/>
  <c r="J85" i="4"/>
  <c r="X108" i="4"/>
  <c r="AH263" i="4"/>
  <c r="AH267" i="4" s="1"/>
  <c r="AF88" i="4"/>
  <c r="AA111" i="4"/>
  <c r="T88" i="4"/>
  <c r="G89" i="4"/>
  <c r="G92" i="4" s="1"/>
  <c r="Z89" i="4"/>
  <c r="Z92" i="4" s="1"/>
  <c r="F108" i="4"/>
  <c r="Y108" i="4"/>
  <c r="O111" i="4"/>
  <c r="AE111" i="4"/>
  <c r="U112" i="4"/>
  <c r="U115" i="4" s="1"/>
  <c r="U88" i="4"/>
  <c r="U92" i="4" s="1"/>
  <c r="G108" i="4"/>
  <c r="Z108" i="4"/>
  <c r="P111" i="4"/>
  <c r="AF111" i="4"/>
  <c r="H108" i="4"/>
  <c r="AA108" i="4"/>
  <c r="AA92" i="4" s="1"/>
  <c r="Q111" i="4"/>
  <c r="Q115" i="4" s="1"/>
  <c r="AG111" i="4"/>
  <c r="AG115" i="4" s="1"/>
  <c r="I166" i="4"/>
  <c r="I179" i="4" s="1"/>
  <c r="W89" i="4"/>
  <c r="S88" i="4"/>
  <c r="Y163" i="4"/>
  <c r="I182" i="4"/>
  <c r="J187" i="4"/>
  <c r="J195" i="4" s="1"/>
  <c r="K263" i="4"/>
  <c r="I4" i="5"/>
  <c r="I108" i="4"/>
  <c r="J15" i="4"/>
  <c r="Q263" i="4"/>
  <c r="Q267" i="4" s="1"/>
  <c r="Y88" i="4"/>
  <c r="Y92" i="4" s="1"/>
  <c r="J118" i="4"/>
  <c r="O131" i="4"/>
  <c r="O115" i="4" s="1"/>
  <c r="AE131" i="4"/>
  <c r="AE115" i="4" s="1"/>
  <c r="P131" i="4"/>
  <c r="P115" i="4" s="1"/>
  <c r="AF131" i="4"/>
  <c r="AF115" i="4" s="1"/>
  <c r="I40" i="4"/>
  <c r="I53" i="4" s="1"/>
  <c r="R263" i="4"/>
  <c r="R267" i="4" s="1"/>
  <c r="AB85" i="4"/>
  <c r="R88" i="4"/>
  <c r="W108" i="4"/>
  <c r="W92" i="4" s="1"/>
  <c r="S111" i="4"/>
  <c r="J123" i="4"/>
  <c r="AB88" i="4"/>
  <c r="R89" i="4"/>
  <c r="AH89" i="4"/>
  <c r="AA85" i="4"/>
  <c r="H15" i="4"/>
  <c r="S92" i="4" l="1"/>
  <c r="X92" i="4"/>
  <c r="AC92" i="4"/>
  <c r="AD115" i="4"/>
  <c r="AB115" i="4"/>
  <c r="L28" i="5"/>
  <c r="I28" i="5"/>
  <c r="E28" i="5"/>
  <c r="E15" i="5"/>
  <c r="B30" i="5"/>
  <c r="H147" i="4"/>
  <c r="K115" i="4"/>
  <c r="K92" i="4"/>
  <c r="K29" i="5"/>
  <c r="I195" i="4"/>
  <c r="F263" i="4"/>
  <c r="F267" i="4" s="1"/>
  <c r="F15" i="4"/>
  <c r="H88" i="4"/>
  <c r="H195" i="4"/>
  <c r="J263" i="4"/>
  <c r="H112" i="4"/>
  <c r="K267" i="4"/>
  <c r="L267" i="4" s="1"/>
  <c r="L53" i="4" s="1"/>
  <c r="I15" i="5"/>
  <c r="I147" i="4"/>
  <c r="I88" i="4"/>
  <c r="F92" i="4"/>
  <c r="J112" i="4"/>
  <c r="J89" i="4"/>
  <c r="AH92" i="4"/>
  <c r="R92" i="4"/>
  <c r="I112" i="4"/>
  <c r="F115" i="4"/>
  <c r="H89" i="4"/>
  <c r="J264" i="4"/>
  <c r="AF92" i="4"/>
  <c r="P92" i="4"/>
  <c r="I89" i="4"/>
  <c r="J88" i="4"/>
  <c r="J131" i="4"/>
  <c r="J111" i="4"/>
  <c r="T92" i="4"/>
  <c r="H111" i="4"/>
  <c r="AE92" i="4"/>
  <c r="H131" i="4"/>
  <c r="O92" i="4"/>
  <c r="I131" i="4"/>
  <c r="I111" i="4"/>
  <c r="J267" i="4" l="1"/>
  <c r="J115" i="4"/>
  <c r="H92" i="4"/>
  <c r="J92" i="4"/>
  <c r="I115" i="4"/>
  <c r="H115" i="4"/>
  <c r="I92" i="4"/>
  <c r="B2" i="1" l="1" a="1"/>
  <c r="B2" i="1" s="1"/>
  <c r="A2" i="1" a="1"/>
  <c r="A2" i="1" s="1"/>
  <c r="C2" i="1" l="1"/>
  <c r="D2" i="1" l="1"/>
  <c r="E2" i="1" s="1"/>
  <c r="G2" i="1" l="1"/>
  <c r="H2" i="1" s="1"/>
  <c r="F2" i="1"/>
  <c r="I2" i="1"/>
  <c r="J2" i="1" l="1"/>
  <c r="J84" i="11"/>
  <c r="F73" i="11"/>
  <c r="J73" i="11" s="1"/>
  <c r="E29" i="11" l="1"/>
</calcChain>
</file>

<file path=xl/connections.xml><?xml version="1.0" encoding="utf-8"?>
<connections xmlns="http://schemas.openxmlformats.org/spreadsheetml/2006/main">
  <connection id="1" keepAlive="1" name="Query - Compare" description="Connection to the 'Compare' query in the workbook." type="5" refreshedVersion="7" background="1" saveData="1">
    <dbPr connection="Provider=Microsoft.Mashup.OleDb.1;Data Source=$Workbook$;Location=Compare;Extended Properties=&quot;&quot;" command="SELECT * FROM [Compare]"/>
  </connection>
  <connection id="2" keepAlive="1" name="Query - Corp" description="Connection to the 'Corp' query in the workbook." type="5" refreshedVersion="7" background="1" saveData="1">
    <dbPr connection="Provider=Microsoft.Mashup.OleDb.1;Data Source=$Workbook$;Location=Corp;Extended Properties=&quot;&quot;" command="SELECT * FROM [Corp]"/>
  </connection>
  <connection id="3" keepAlive="1" name="Query - Corp_p" description="Connection to the 'Corp_p' query in the workbook." type="5" refreshedVersion="0" background="1">
    <dbPr connection="Provider=Microsoft.Mashup.OleDb.1;Data Source=$Workbook$;Location=Corp_p;Extended Properties=&quot;&quot;" command="SELECT * FROM [Corp_p]"/>
  </connection>
  <connection id="4" keepAlive="1" name="Query - Port" description="Connection to the 'Port' query in the workbook." type="5" refreshedVersion="7" background="1" saveData="1">
    <dbPr connection="Provider=Microsoft.Mashup.OleDb.1;Data Source=$Workbook$;Location=Port;Extended Properties=&quot;&quot;" command="SELECT * FROM [Port]"/>
  </connection>
  <connection id="5" keepAlive="1" name="Query - Port_p" description="Connection to the 'Port_p' query in the workbook." type="5" refreshedVersion="0" background="1">
    <dbPr connection="Provider=Microsoft.Mashup.OleDb.1;Data Source=$Workbook$;Location=Port_p;Extended Properties=&quot;&quot;" command="SELECT * FROM [Port_p]"/>
  </connection>
  <connection id="6" keepAlive="1" name="Query - Retail" description="Connection to the 'Retail' query in the workbook." type="5" refreshedVersion="7" background="1" saveData="1">
    <dbPr connection="Provider=Microsoft.Mashup.OleDb.1;Data Source=$Workbook$;Location=Retail;Extended Properties=&quot;&quot;" command="SELECT * FROM [Retail]"/>
  </connection>
  <connection id="7" keepAlive="1" name="Query - Retail_p" description="Connection to the 'Retail_p' query in the workbook." type="5" refreshedVersion="0" background="1">
    <dbPr connection="Provider=Microsoft.Mashup.OleDb.1;Data Source=$Workbook$;Location=Retail_p;Extended Properties=&quot;&quot;" command="SELECT * FROM [Retail_p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<sst xmlns="http://schemas.openxmlformats.org/spreadsheetml/2006/main" count="13744" uniqueCount="1354">
  <si>
    <t>Path</t>
  </si>
  <si>
    <t>Filename</t>
  </si>
  <si>
    <t>Year</t>
  </si>
  <si>
    <t>Month_text</t>
  </si>
  <si>
    <t>Month</t>
  </si>
  <si>
    <t>Year_p</t>
  </si>
  <si>
    <t>Month_p</t>
  </si>
  <si>
    <t>Month_text_p</t>
  </si>
  <si>
    <t>Y_M</t>
  </si>
  <si>
    <t>Y_M_p</t>
  </si>
  <si>
    <t>Segment</t>
  </si>
  <si>
    <t>ID</t>
  </si>
  <si>
    <t>Customer Name</t>
  </si>
  <si>
    <t>Portfolio (BOT)</t>
  </si>
  <si>
    <t>BOT Segment</t>
  </si>
  <si>
    <t>Currency</t>
  </si>
  <si>
    <t>Stage</t>
  </si>
  <si>
    <t>Loan</t>
  </si>
  <si>
    <t>(4) Wholesale and retail trade; repair of motor vehicles and motorcycles</t>
  </si>
  <si>
    <t>3. Corporate</t>
  </si>
  <si>
    <t>C</t>
  </si>
  <si>
    <t>CNY</t>
  </si>
  <si>
    <t>四川长虹佳华信息产品有限责任公司</t>
  </si>
  <si>
    <t>CD0WC04211740001</t>
  </si>
  <si>
    <t>成渝融资租赁有限公司</t>
  </si>
  <si>
    <t>(5) Financial and insurance activities</t>
  </si>
  <si>
    <t>CD0WC04212070001</t>
  </si>
  <si>
    <t>北明软件有限公司</t>
  </si>
  <si>
    <t>SH0FA02192070002</t>
  </si>
  <si>
    <t>伍鸿（江苏）塑料制品有限公司</t>
  </si>
  <si>
    <t>(3) Manufacturing</t>
  </si>
  <si>
    <t>SH0FA02192170001</t>
  </si>
  <si>
    <t>SH0FA02192550001</t>
  </si>
  <si>
    <t>SH0FA02192720001</t>
  </si>
  <si>
    <t>SH0FA02192980001</t>
  </si>
  <si>
    <t>SH0FA02193050001</t>
  </si>
  <si>
    <t>SH0FA02193360001</t>
  </si>
  <si>
    <t>SH0FA02200580001</t>
  </si>
  <si>
    <t>SH0FA02201000001</t>
  </si>
  <si>
    <t>SH0FA02201700001</t>
  </si>
  <si>
    <t>SH0FA02202260001</t>
  </si>
  <si>
    <t>SH0FA02203040001</t>
  </si>
  <si>
    <t>华宝都鼎（上海）融资租赁有限公司</t>
  </si>
  <si>
    <t>SH0WC04201760001</t>
  </si>
  <si>
    <t>好侣（中国）有限公司</t>
  </si>
  <si>
    <t>中远海运租赁有限公司</t>
  </si>
  <si>
    <t>SH0WC04211340003</t>
  </si>
  <si>
    <t>SH0WC04211410003</t>
  </si>
  <si>
    <t>SH0WC04211480001</t>
  </si>
  <si>
    <t>SH0WC04211550001</t>
  </si>
  <si>
    <t>安徽乐米共享经济信息有限公司</t>
  </si>
  <si>
    <t xml:space="preserve">北京邦泰人和企业管理咨询有限公司 </t>
  </si>
  <si>
    <t>江西职多多人力资源有限公司</t>
  </si>
  <si>
    <t>安徽傲蓝人力资源服务有限公司</t>
  </si>
  <si>
    <t>湖南蓝桥人力资源集团有限公司</t>
  </si>
  <si>
    <t>苏州凌霄管理咨询有限公司</t>
  </si>
  <si>
    <t>西安天润人力资源有限公司</t>
  </si>
  <si>
    <t>USD</t>
  </si>
  <si>
    <t>SH1WC04211940001</t>
  </si>
  <si>
    <t>SZ0FA02182840001</t>
  </si>
  <si>
    <t>广西崇左东亚糖业有限公司</t>
  </si>
  <si>
    <t>SZ0FA02183120001</t>
  </si>
  <si>
    <t>SZ0FA02183170001</t>
  </si>
  <si>
    <t>SZ0FA02183200001</t>
  </si>
  <si>
    <t>SZ0FA02183250001</t>
  </si>
  <si>
    <t>SZ0FA02183300001</t>
  </si>
  <si>
    <t>SZ0FA02183320001</t>
  </si>
  <si>
    <t>SZ0FA02183380001</t>
  </si>
  <si>
    <t>SZ0FA02183380002</t>
  </si>
  <si>
    <t>SZ0FA02183470002</t>
  </si>
  <si>
    <t>SZ0FA02183470003</t>
  </si>
  <si>
    <t>SZ0FA02183590001</t>
  </si>
  <si>
    <t>SZ0FA02183610001</t>
  </si>
  <si>
    <t>SZ0FA02183620001</t>
  </si>
  <si>
    <t>SZ0FA02190030001</t>
  </si>
  <si>
    <t>SZ0FA02190070001</t>
  </si>
  <si>
    <t>SZ0FA02190140001</t>
  </si>
  <si>
    <t>SZ0FA02190160001</t>
  </si>
  <si>
    <t>SZ0FA02190180001</t>
  </si>
  <si>
    <t>SZ0FA02190230001</t>
  </si>
  <si>
    <t>SZ0FA02190240001</t>
  </si>
  <si>
    <t>SZ0FA02190250001</t>
  </si>
  <si>
    <t>SZ0FA02190280001</t>
  </si>
  <si>
    <t>SZ0FA02190280004</t>
  </si>
  <si>
    <t>SZ0FA02190300001</t>
  </si>
  <si>
    <t>SZ0FA02190310001</t>
  </si>
  <si>
    <t>SZ0FA02190320001</t>
  </si>
  <si>
    <t>SZ0FA02190450001</t>
  </si>
  <si>
    <t>SZ0FA02190520001</t>
  </si>
  <si>
    <t>SZ0FA02190630001</t>
  </si>
  <si>
    <t>SZ0FA02190700001</t>
  </si>
  <si>
    <t>SZ0FA02190740001</t>
  </si>
  <si>
    <t>SZ0FA02190780001</t>
  </si>
  <si>
    <t>SZ0FA02190880001</t>
  </si>
  <si>
    <t>唐山万浦热电有限公司</t>
  </si>
  <si>
    <t>(8) Electricity, gas, steam and air conditioning supply</t>
  </si>
  <si>
    <t>SZ0FA02190920001</t>
  </si>
  <si>
    <t>SZ0FA02190990002</t>
  </si>
  <si>
    <t>SZ0FA02191140001</t>
  </si>
  <si>
    <t>SZ0FA02191190501</t>
  </si>
  <si>
    <t>SZ0FA02191340001</t>
  </si>
  <si>
    <t>SZ0FA02191400001</t>
  </si>
  <si>
    <t>SZ0FA02191510001</t>
  </si>
  <si>
    <t>SZ0FA02191560001</t>
  </si>
  <si>
    <t>SZ0FA02191640001</t>
  </si>
  <si>
    <t>SZ0FA02191750001</t>
  </si>
  <si>
    <t>SZ0FA02191770001</t>
  </si>
  <si>
    <t>SZ0FA02191900001</t>
  </si>
  <si>
    <t>SZ0FA02191970001</t>
  </si>
  <si>
    <t>SZ0FA02192140001</t>
  </si>
  <si>
    <t>SZ0FA02192270001</t>
  </si>
  <si>
    <t>SZ0FA02192390001</t>
  </si>
  <si>
    <t>SZ0FA02192520001</t>
  </si>
  <si>
    <t>SZ0FA02192530001</t>
  </si>
  <si>
    <t>SZ0FA02192600501</t>
  </si>
  <si>
    <t>SZ0FA02192610001</t>
  </si>
  <si>
    <t>SZ0FA02192960001</t>
  </si>
  <si>
    <t>SZ0FA02193400001</t>
  </si>
  <si>
    <t>SZ0FA02193450001</t>
  </si>
  <si>
    <t>SZ0FA02193510001</t>
  </si>
  <si>
    <t>SZ0FA02193600001</t>
  </si>
  <si>
    <t>SZ0FA02200620001</t>
  </si>
  <si>
    <t>SZ0FA02201760001</t>
  </si>
  <si>
    <t>SZ0FA02202110001</t>
  </si>
  <si>
    <t>仲利国际租赁有限公司</t>
  </si>
  <si>
    <t>SZ0WC04190510002</t>
  </si>
  <si>
    <t>SZ0WC04191350001</t>
  </si>
  <si>
    <t>SZ0WC04191750001</t>
  </si>
  <si>
    <t>SZ0WC04192030501</t>
  </si>
  <si>
    <t>SZ0WC04192100001</t>
  </si>
  <si>
    <t>SZ0WC04201430001</t>
  </si>
  <si>
    <t>中国环球租赁有限公司</t>
  </si>
  <si>
    <t>SZ0WC04202240001</t>
  </si>
  <si>
    <t>中广核国际融资租赁有限公司</t>
  </si>
  <si>
    <t>SZ0WC04202680001</t>
  </si>
  <si>
    <t>正大畜牧投资（北京）有限公司</t>
  </si>
  <si>
    <t>远东宏信（天津）融资租赁有限公司</t>
  </si>
  <si>
    <t>深圳市金华威数码科技有限公司</t>
  </si>
  <si>
    <t>佛山市普拓旺经贸有限公司</t>
  </si>
  <si>
    <t>SZ0WC04211400001</t>
  </si>
  <si>
    <t>中建投租赁股份有限公司</t>
  </si>
  <si>
    <t>SZ0WC04211510001</t>
  </si>
  <si>
    <t>远东国际融资租赁有限公司</t>
  </si>
  <si>
    <t>SZ0WC04211550001</t>
  </si>
  <si>
    <t>华润融资租赁有限公司</t>
  </si>
  <si>
    <t>SZ0WC04211670001</t>
  </si>
  <si>
    <t>招商局通商融资租赁有限公司</t>
  </si>
  <si>
    <t>SZ0WC04211810001</t>
  </si>
  <si>
    <t>山东海王银河医药有限公司</t>
  </si>
  <si>
    <t>SZ0WC04211820001</t>
  </si>
  <si>
    <t>狮桥融资租赁（中国）有限公司</t>
  </si>
  <si>
    <t>上海易鑫融资租赁有限公司</t>
  </si>
  <si>
    <t>SZ0WC04211870001</t>
  </si>
  <si>
    <t>SZ0WC04211900001</t>
  </si>
  <si>
    <t>SZ0WC04211900002</t>
  </si>
  <si>
    <t>深圳市人创人力资源有限公司</t>
  </si>
  <si>
    <t>中航现代人力资源（深圳）有限公司</t>
  </si>
  <si>
    <t>SZ0WC04212040001</t>
  </si>
  <si>
    <t>上海朋邦实业有限公司</t>
  </si>
  <si>
    <t>SZ1FA02163510002</t>
  </si>
  <si>
    <t>HONGSA POWER COMPANY LIMITED</t>
  </si>
  <si>
    <t>SZ1WC04192350002</t>
  </si>
  <si>
    <t>上海吉祥航空香港有限公司</t>
  </si>
  <si>
    <t>(11) Other (transportation and storage)</t>
  </si>
  <si>
    <t>HKD</t>
  </si>
  <si>
    <t>SZ1WC04200590001</t>
  </si>
  <si>
    <t>苏宁国际集团股份有限公司</t>
  </si>
  <si>
    <t>SZ1WC04200990501</t>
  </si>
  <si>
    <t>复星国际有限公司</t>
  </si>
  <si>
    <t>三一融资（泰国）有限公司</t>
  </si>
  <si>
    <t>THB</t>
  </si>
  <si>
    <t>MM</t>
  </si>
  <si>
    <t>2. Interbank</t>
  </si>
  <si>
    <t>F</t>
  </si>
  <si>
    <t>880MP02210880001</t>
  </si>
  <si>
    <t>NBFI</t>
  </si>
  <si>
    <t>民生金融租赁股份有限公司</t>
  </si>
  <si>
    <t>中邮消费金融有限公司</t>
  </si>
  <si>
    <t>长城国兴金融租赁有限公司</t>
  </si>
  <si>
    <t>珠江金融租赁有限公司</t>
  </si>
  <si>
    <t>前海兴邦金融租赁有限责任公司</t>
  </si>
  <si>
    <t>天津长城滨银汽车金融有限公司</t>
  </si>
  <si>
    <t>880NBFI211170001</t>
  </si>
  <si>
    <t>杭银消费金融股份有限公司</t>
  </si>
  <si>
    <t>880NBFI211180002</t>
  </si>
  <si>
    <t>国银金融租赁股份有限公司</t>
  </si>
  <si>
    <t>880NBFI211180003</t>
  </si>
  <si>
    <t>福建海西金融租赁有限责任公司</t>
  </si>
  <si>
    <t>瑞福德汽车金融有限公司</t>
  </si>
  <si>
    <t>880NBFI211380001</t>
  </si>
  <si>
    <t>华晨东亚汽车金融有限公司</t>
  </si>
  <si>
    <t>880NBFI211380002</t>
  </si>
  <si>
    <t>880NBFI211400003</t>
  </si>
  <si>
    <t>招联消费金融有限公司</t>
  </si>
  <si>
    <t>长江联合金融租赁有限公司</t>
  </si>
  <si>
    <t>880NBFI211440002</t>
  </si>
  <si>
    <t>湖北金融租赁股份有限公司</t>
  </si>
  <si>
    <t>880NBFI211460001</t>
  </si>
  <si>
    <t>880NBFI211530001</t>
  </si>
  <si>
    <t>横琴华通金融租赁有限公司</t>
  </si>
  <si>
    <t>880NBFI211600001</t>
  </si>
  <si>
    <t>马上消费金融股份有限公司</t>
  </si>
  <si>
    <t>880NBFI211720502</t>
  </si>
  <si>
    <t>永赢金融租赁有限公司</t>
  </si>
  <si>
    <t>渝农商金融租赁有限责任公司</t>
  </si>
  <si>
    <t>880NBFI211740003</t>
  </si>
  <si>
    <t>880NBFI211740004</t>
  </si>
  <si>
    <t>华融金融租赁股份有限公司</t>
  </si>
  <si>
    <t>880NBFI211740005</t>
  </si>
  <si>
    <t>吉致汽车金融有限公司</t>
  </si>
  <si>
    <t>中银消费金融有限公司</t>
  </si>
  <si>
    <t>880NBFI211890001</t>
  </si>
  <si>
    <t>880NBFI211970002</t>
  </si>
  <si>
    <t>河北省金融租赁有限公司</t>
  </si>
  <si>
    <t>880NBFI212020002</t>
  </si>
  <si>
    <t>881NBFI211800001</t>
  </si>
  <si>
    <t>光大金融租赁股份有限公司</t>
  </si>
  <si>
    <t>881NBFI212070003</t>
  </si>
  <si>
    <t>400000000016708</t>
  </si>
  <si>
    <t>Nostro</t>
  </si>
  <si>
    <t>中国银行股份有限公司深圳市分行</t>
  </si>
  <si>
    <t>400000000016559</t>
  </si>
  <si>
    <t>400000000024182</t>
  </si>
  <si>
    <t xml:space="preserve">中国工商银行股份有限公司深圳星河支行 </t>
  </si>
  <si>
    <t>400000000014746</t>
  </si>
  <si>
    <t>中信银行深圳市民中心支行</t>
  </si>
  <si>
    <t>410000000014906</t>
  </si>
  <si>
    <t>400000000001879</t>
  </si>
  <si>
    <t>CITIC SZ SMZX CNY</t>
  </si>
  <si>
    <t>400000000014870</t>
  </si>
  <si>
    <t>纽约梅隆银行</t>
  </si>
  <si>
    <t>400000000016093</t>
  </si>
  <si>
    <t>中国民生银行深圳分行</t>
  </si>
  <si>
    <t>400000000001880</t>
  </si>
  <si>
    <t>CMBC SZ CNY</t>
  </si>
  <si>
    <t>420100000014946</t>
  </si>
  <si>
    <t>KASIKORNBANK PUBLIC COMPANY LIMITED</t>
  </si>
  <si>
    <t>420100000014968</t>
  </si>
  <si>
    <t>400000000021275</t>
  </si>
  <si>
    <t>招商银行股份有限公司深圳分行</t>
  </si>
  <si>
    <t>400000000014735</t>
  </si>
  <si>
    <t>中国银行深圳罗湖支行</t>
  </si>
  <si>
    <t>400000000014860</t>
  </si>
  <si>
    <t>400000000001915</t>
  </si>
  <si>
    <t>BOC SZ SN CNY</t>
  </si>
  <si>
    <t>400000000020487</t>
  </si>
  <si>
    <t>上海浦东发展银行股份有限公司深圳分行</t>
  </si>
  <si>
    <t>400000000024014</t>
  </si>
  <si>
    <t>上海浦东发展银行股份有限公司深圳分行-IRS</t>
  </si>
  <si>
    <t>400000000014950</t>
  </si>
  <si>
    <t>中国银行股份有限公司四川省分行</t>
  </si>
  <si>
    <t>400000000014892</t>
  </si>
  <si>
    <t>渣打银行（香港）有限公司</t>
  </si>
  <si>
    <t>400000000014881</t>
  </si>
  <si>
    <t>SUMITOMO MITSUI BANKING CORPORATION</t>
  </si>
  <si>
    <t>JPY</t>
  </si>
  <si>
    <t>400000000015228</t>
  </si>
  <si>
    <t>浦发上海自贸区分行</t>
  </si>
  <si>
    <t>400000000018849</t>
  </si>
  <si>
    <t>上海票据交易所股份有限公司</t>
  </si>
  <si>
    <t>400000000019513</t>
  </si>
  <si>
    <t>深圳前海微众银行股份有限公司</t>
  </si>
  <si>
    <t>400000000023485</t>
  </si>
  <si>
    <t>深圳前海微众银行股份有限公司-应收帐款清分结算</t>
  </si>
  <si>
    <t>400000000023496</t>
  </si>
  <si>
    <t>深圳前海微众银行股份有限公司-供应商贷款发放</t>
  </si>
  <si>
    <t>400000000021355</t>
  </si>
  <si>
    <t>广发银行股份有限公司深圳分行</t>
  </si>
  <si>
    <t>400000000022369</t>
  </si>
  <si>
    <t>中信百信银行股份有限公司</t>
  </si>
  <si>
    <t>400000000022664</t>
  </si>
  <si>
    <t>上海银行股份有限公司深圳分行</t>
  </si>
  <si>
    <t>400000000025924</t>
  </si>
  <si>
    <t>富邦华一银行有限公司</t>
  </si>
  <si>
    <t>400000000016446</t>
  </si>
  <si>
    <t>PBOC</t>
  </si>
  <si>
    <t>中国人民银行深圳市中心支行 CURRENT</t>
  </si>
  <si>
    <t>160207_A1</t>
  </si>
  <si>
    <t>Bond</t>
  </si>
  <si>
    <t>China Development Bank Corp</t>
  </si>
  <si>
    <t>1. Sovereign and Central Bank</t>
  </si>
  <si>
    <t>I</t>
  </si>
  <si>
    <t>102000277_A1</t>
  </si>
  <si>
    <t>China Merchants Shekou Industrial Zone Holdings Co., Ltd.</t>
  </si>
  <si>
    <t>032000144_A1</t>
  </si>
  <si>
    <t>China Resources Leasing Co., Ltd.</t>
  </si>
  <si>
    <t>102000979_A1</t>
  </si>
  <si>
    <t>160004_H1</t>
  </si>
  <si>
    <t>MOF</t>
  </si>
  <si>
    <t>190003</t>
  </si>
  <si>
    <t>190011</t>
  </si>
  <si>
    <t>190011_H2</t>
  </si>
  <si>
    <t>200002</t>
  </si>
  <si>
    <t>200002_H2</t>
  </si>
  <si>
    <t>200005_A10</t>
  </si>
  <si>
    <t>200005_A11</t>
  </si>
  <si>
    <t>200005_A4</t>
  </si>
  <si>
    <t>200005_A5</t>
  </si>
  <si>
    <t>200005_A6</t>
  </si>
  <si>
    <t>200005_A7</t>
  </si>
  <si>
    <t>200005_A8</t>
  </si>
  <si>
    <t>200005_A9</t>
  </si>
  <si>
    <t>200005_H1</t>
  </si>
  <si>
    <t>200005_H2</t>
  </si>
  <si>
    <t>200005_H3</t>
  </si>
  <si>
    <t>200005_H4</t>
  </si>
  <si>
    <t>200005_H5</t>
  </si>
  <si>
    <t>200005_H6</t>
  </si>
  <si>
    <t>200011_H1</t>
  </si>
  <si>
    <t>200013_A1</t>
  </si>
  <si>
    <t>200013_A2</t>
  </si>
  <si>
    <t>200013_A3</t>
  </si>
  <si>
    <t>200013_A5</t>
  </si>
  <si>
    <t>200013_A6</t>
  </si>
  <si>
    <t>210002_H1</t>
  </si>
  <si>
    <t>210002_H2</t>
  </si>
  <si>
    <t>210002_H3</t>
  </si>
  <si>
    <t>210002_H4</t>
  </si>
  <si>
    <t>210002_H5</t>
  </si>
  <si>
    <t>210002_H6</t>
  </si>
  <si>
    <t>210002_H7</t>
  </si>
  <si>
    <t>210004_H1</t>
  </si>
  <si>
    <t>092000007_A1</t>
  </si>
  <si>
    <t>SUMITOMO MITSUI BANKING CORP</t>
  </si>
  <si>
    <t>102000555_A1</t>
  </si>
  <si>
    <t>中国建材集团有限公司</t>
  </si>
  <si>
    <t>102000247_A1</t>
  </si>
  <si>
    <t>华为投资控股有限公司HUAWEI</t>
  </si>
  <si>
    <t>Factoring</t>
  </si>
  <si>
    <t>盟机智能机器（广东）有限公司</t>
  </si>
  <si>
    <t>四川智龙激光科技有限公司</t>
  </si>
  <si>
    <t>东莞市协存五金机械有限公司</t>
  </si>
  <si>
    <t>东莞市井上精密机电有限公司</t>
  </si>
  <si>
    <t>深圳美克激光设备有限公司</t>
  </si>
  <si>
    <t>广东钶锐锶数控技术有限公司</t>
  </si>
  <si>
    <t>东莞市正泷机械设备有限公司</t>
  </si>
  <si>
    <t>SH0FC01212030002</t>
  </si>
  <si>
    <t>正大食品企业（上海）有限公司广州分公司</t>
  </si>
  <si>
    <t>广东绿康源美环境科技有限公司</t>
  </si>
  <si>
    <t>深圳市良井科技有限公司</t>
  </si>
  <si>
    <t>深圳市拉斯格光电有限公司</t>
  </si>
  <si>
    <t>深圳市正合安科技有限公司</t>
  </si>
  <si>
    <t>深圳市凯成致业贸易有限公司</t>
  </si>
  <si>
    <t>深圳市前海凡一供应链有限公司</t>
  </si>
  <si>
    <t>深圳市德福来贸易有限公司</t>
  </si>
  <si>
    <t>深圳市华裕鑫实业有限公司</t>
  </si>
  <si>
    <t>苏州博森电子器材有限公司</t>
  </si>
  <si>
    <t>广东湛江正大猪业有限公司</t>
  </si>
  <si>
    <t>(1) Agriculture, forestry and fishing</t>
  </si>
  <si>
    <t xml:space="preserve">深圳市中源盛星科技有限公司  </t>
  </si>
  <si>
    <t>深圳市海美思信息技术有限公司</t>
  </si>
  <si>
    <t>广州南峰实业有限公司</t>
  </si>
  <si>
    <t>上海富帑食品有限公司</t>
  </si>
  <si>
    <t>上海乐景贸易有限公司</t>
  </si>
  <si>
    <t>上海卉绿农业发展有限公司</t>
  </si>
  <si>
    <t>上海炘颂食品有限公司</t>
  </si>
  <si>
    <t>上海统利实业有限公司</t>
  </si>
  <si>
    <t>上海豪鹏食品有限公司</t>
  </si>
  <si>
    <t>上海服德工贸有限公司</t>
  </si>
  <si>
    <t>上海源笛国际贸易有限公司</t>
  </si>
  <si>
    <t>深圳市实惠家居用品有限公司</t>
  </si>
  <si>
    <t>广州市凤安贸易有限公司</t>
  </si>
  <si>
    <t>广州保泷行贸易有限公司</t>
  </si>
  <si>
    <t>广州市昇永农业有限公司</t>
  </si>
  <si>
    <t>汕头市祥和陶瓷有限公司</t>
  </si>
  <si>
    <t>广州市层云贸易有限公司</t>
  </si>
  <si>
    <t>广州市卓酝轩贸易有限公司</t>
  </si>
  <si>
    <t>东莞市良基机械设备有限公司</t>
  </si>
  <si>
    <t>上海云涛纺织品有限公司</t>
  </si>
  <si>
    <t>广东好味来食品有限公司</t>
  </si>
  <si>
    <t>广州市舒睦洁家居用品有限公司</t>
  </si>
  <si>
    <t>邵武市万家美家居用品制造有限公司</t>
  </si>
  <si>
    <t>深圳市荣林华实业有限公司</t>
  </si>
  <si>
    <t>南通百富帝家用纺织品有限公司</t>
  </si>
  <si>
    <t>广州市时代韬略科技有限公司</t>
  </si>
  <si>
    <t>汕头市灿轩贸易有限公司</t>
  </si>
  <si>
    <t>杭州华味亨销售管理有限公司</t>
  </si>
  <si>
    <t>深圳市汇先丰贸易有限公司</t>
  </si>
  <si>
    <t>SZ0SBC1193300001</t>
  </si>
  <si>
    <t>Contingent</t>
  </si>
  <si>
    <t>O</t>
  </si>
  <si>
    <t>SZ0SBC1203380001</t>
  </si>
  <si>
    <t>中兴通讯股份有限公司</t>
  </si>
  <si>
    <t>SZ0SBC1203420001</t>
  </si>
  <si>
    <t>SZ0SBC1203420002</t>
  </si>
  <si>
    <t>SZ0SBC1203430001</t>
  </si>
  <si>
    <t>SZ0SBC1203460001</t>
  </si>
  <si>
    <t>SZ0SBC1203490001</t>
  </si>
  <si>
    <t>SZ0SBC1203510001</t>
  </si>
  <si>
    <t>SZ0SBC1203560001</t>
  </si>
  <si>
    <t>SZ0SBC1203560002</t>
  </si>
  <si>
    <t>SZ0SBC1203560501</t>
  </si>
  <si>
    <t>SZ0SBC1203590001</t>
  </si>
  <si>
    <t>SZ0SBC1203590002</t>
  </si>
  <si>
    <t>SZ0SBC1203590003</t>
  </si>
  <si>
    <t>SZ0SBC1203590501</t>
  </si>
  <si>
    <t>SZ0SBC1203660001</t>
  </si>
  <si>
    <t>SZ0SBC1210060001</t>
  </si>
  <si>
    <t>SZ0SBC1210130001</t>
  </si>
  <si>
    <t>SZ0SBC1210130002</t>
  </si>
  <si>
    <t>SZ0SBC1210190001</t>
  </si>
  <si>
    <t>SZ0SBC1210280001</t>
  </si>
  <si>
    <t>SZ0SBC1210550001</t>
  </si>
  <si>
    <t>SZ0SBC1210550002</t>
  </si>
  <si>
    <t>SZ0SBC1210550003</t>
  </si>
  <si>
    <t>SZ0SBC1210550004</t>
  </si>
  <si>
    <t>SZ0SBC1210550005</t>
  </si>
  <si>
    <t>SZ0SBC1210550006</t>
  </si>
  <si>
    <t>SZ0SBC1210550501</t>
  </si>
  <si>
    <t>SZ0SBC1210550502</t>
  </si>
  <si>
    <t>SZ0SBC1210610001</t>
  </si>
  <si>
    <t>SZ0SBC1210630001</t>
  </si>
  <si>
    <t>SZ0SBC1210680001</t>
  </si>
  <si>
    <t>SZ0SBC1210690001</t>
  </si>
  <si>
    <t>SZ0SBC1210810001</t>
  </si>
  <si>
    <t>SZ0SBC1210810501</t>
  </si>
  <si>
    <t>SZ0SBC1210840001</t>
  </si>
  <si>
    <t>SZ0SBC1211170001</t>
  </si>
  <si>
    <t>SZ0SBC1211760001</t>
  </si>
  <si>
    <t>SZ0SBC1211760002</t>
  </si>
  <si>
    <t>SZ0SBC1211760003</t>
  </si>
  <si>
    <t>SZ0SBC1211810001</t>
  </si>
  <si>
    <t>SZ0SBC1211810002</t>
  </si>
  <si>
    <t>SZ0SBC1211810003</t>
  </si>
  <si>
    <t>SZ0SBC1211890001</t>
  </si>
  <si>
    <t>SZ0SBC1211950001</t>
  </si>
  <si>
    <t>SZ0SBC1211960001</t>
  </si>
  <si>
    <t>SZ0SBC1212020001</t>
  </si>
  <si>
    <t>SZ0SBC1212020002</t>
  </si>
  <si>
    <t>SZ0SBC1212030001</t>
  </si>
  <si>
    <t>SZ1SBC1200220001</t>
  </si>
  <si>
    <t>SZ1SBC1200220502</t>
  </si>
  <si>
    <t>SZ1SBC1201000001</t>
  </si>
  <si>
    <t>SZ1SBC1201200003</t>
  </si>
  <si>
    <t>SZ1SBC1201200501</t>
  </si>
  <si>
    <t>SZ1SBC1201740002</t>
  </si>
  <si>
    <t>SZ1SBC1202020002</t>
  </si>
  <si>
    <t>SZ1SBC1202090002</t>
  </si>
  <si>
    <t>SZ1SBC1202160001</t>
  </si>
  <si>
    <t>SZ1SBC1202250002</t>
  </si>
  <si>
    <t>SZ1SBC1202250501</t>
  </si>
  <si>
    <t>SZ1SBC1202250502</t>
  </si>
  <si>
    <t>SZ1SBC1202330003</t>
  </si>
  <si>
    <t>SZ1SBC1202470004</t>
  </si>
  <si>
    <t>SZ1SBC1202530501</t>
  </si>
  <si>
    <t>SZ1SBC1202530502</t>
  </si>
  <si>
    <t>SZ1SBC1202531001</t>
  </si>
  <si>
    <t>SZ1SBC1202580002</t>
  </si>
  <si>
    <t>SZ1SBC1202580501</t>
  </si>
  <si>
    <t>SZ1SBC1202581001</t>
  </si>
  <si>
    <t>SZ1SBC1202620001</t>
  </si>
  <si>
    <t>SZ1SBC1202650001</t>
  </si>
  <si>
    <t>SZ1SBC1202650002</t>
  </si>
  <si>
    <t>SZ1SBC1202720002</t>
  </si>
  <si>
    <t>SZ1SBC1202720003</t>
  </si>
  <si>
    <t>SZ1SBC1202720502</t>
  </si>
  <si>
    <t>SZ1SBC1202880004</t>
  </si>
  <si>
    <t>SZ1SBC1202880006</t>
  </si>
  <si>
    <t>SZ1SBC1202880502</t>
  </si>
  <si>
    <t>SZ1SBC1202880505</t>
  </si>
  <si>
    <t>SZ1SBC1202880506</t>
  </si>
  <si>
    <t>SZ1SBC1202950001</t>
  </si>
  <si>
    <t>SZ1SBC1202950002</t>
  </si>
  <si>
    <t>SZ1SBC1202950501</t>
  </si>
  <si>
    <t>SZ1SBC1203280001</t>
  </si>
  <si>
    <t>SZ1SBC1203360001</t>
  </si>
  <si>
    <t>SZ1SBC1203390003</t>
  </si>
  <si>
    <t>SZ1SBC1203390005</t>
  </si>
  <si>
    <t>SZ1SBC1203530002</t>
  </si>
  <si>
    <t>SZ1SBC1203530003</t>
  </si>
  <si>
    <t>SZ1SBC1203580501</t>
  </si>
  <si>
    <t>SZ1SBC1203640002</t>
  </si>
  <si>
    <t>SZ1SBC1210220001</t>
  </si>
  <si>
    <t>SZ1SBC1210320001</t>
  </si>
  <si>
    <t>SZ1SBC1210320501</t>
  </si>
  <si>
    <t>SZ1SBC1210330002</t>
  </si>
  <si>
    <t>SZ1SBC1210330502</t>
  </si>
  <si>
    <t>SZ1SBC1210331001</t>
  </si>
  <si>
    <t>SZ1SBC1210390003</t>
  </si>
  <si>
    <t>SZ1SBC1210390004</t>
  </si>
  <si>
    <t>SZ1SBC1210560001</t>
  </si>
  <si>
    <t>SZ1SBC1210560501</t>
  </si>
  <si>
    <t>SZ1SBC1210630502</t>
  </si>
  <si>
    <t>SZ1SBC1210740001</t>
  </si>
  <si>
    <t>SZ1SBC1210740002</t>
  </si>
  <si>
    <t>SZ1SBC1210760001</t>
  </si>
  <si>
    <t>SZ1SBC1210880001</t>
  </si>
  <si>
    <t>SZ1SBC1210880503</t>
  </si>
  <si>
    <t>SZ1SBC1210880504</t>
  </si>
  <si>
    <t>SZ1SBC1210900001</t>
  </si>
  <si>
    <t>SZ1SBC1211160001</t>
  </si>
  <si>
    <t>SZ1SBC1211180001</t>
  </si>
  <si>
    <t>SZ1SBC1211280001</t>
  </si>
  <si>
    <t>SZ1SBC1211280002</t>
  </si>
  <si>
    <t>SZ1SBC1211280003</t>
  </si>
  <si>
    <t>SZ1SBC1211280004</t>
  </si>
  <si>
    <t>SZ1SBC1211340001</t>
  </si>
  <si>
    <t>SZ1SBC1211340002</t>
  </si>
  <si>
    <t>SZ1SBC1211470003</t>
  </si>
  <si>
    <t>SZ1SBC1211600001</t>
  </si>
  <si>
    <t>SZ1SBC1211600002</t>
  </si>
  <si>
    <t>SZ1SBC1211600003</t>
  </si>
  <si>
    <t>SZ1SBC1211610002</t>
  </si>
  <si>
    <t>SZ1SBC1211610003</t>
  </si>
  <si>
    <t>SZ1SBC1211610004</t>
  </si>
  <si>
    <t>SZ1SBC1211720001</t>
  </si>
  <si>
    <t>SZ1SBC1211720002</t>
  </si>
  <si>
    <t>SZ1SBC1211760001</t>
  </si>
  <si>
    <t>SZ1SBC1211830001</t>
  </si>
  <si>
    <t>SZ1SBC1211880001</t>
  </si>
  <si>
    <t>SZ1SBC1211890001</t>
  </si>
  <si>
    <t>SZ1SBC1211890002</t>
  </si>
  <si>
    <t>SZ1SBC1211900001</t>
  </si>
  <si>
    <t>SZ1SBC1211930001</t>
  </si>
  <si>
    <t>SZ1SBC1211960001</t>
  </si>
  <si>
    <t>SZ1SBC1212010001</t>
  </si>
  <si>
    <t>SZ1SBC1212020501</t>
  </si>
  <si>
    <t>SZ1SBC1212030001</t>
  </si>
  <si>
    <t>SZBG19001</t>
  </si>
  <si>
    <t>新疆金风科技股份有限公司</t>
  </si>
  <si>
    <t>SZBG19015</t>
  </si>
  <si>
    <t>Lifetime</t>
  </si>
  <si>
    <t>PD_avg</t>
  </si>
  <si>
    <t>LGD_avg</t>
  </si>
  <si>
    <t>CNY -&gt; FCY</t>
  </si>
  <si>
    <t>CNY -&gt; THB</t>
  </si>
  <si>
    <t>N</t>
  </si>
  <si>
    <t>Industry</t>
  </si>
  <si>
    <t>EAD_Drawn (CNY)</t>
  </si>
  <si>
    <t>EAD_Undrawn (CNY)</t>
  </si>
  <si>
    <t>EAD</t>
  </si>
  <si>
    <t>EAD_Interest (CNY)</t>
  </si>
  <si>
    <t>ECL_Drawn (CNY)</t>
  </si>
  <si>
    <t>ECL_Undrawn (CNY)</t>
  </si>
  <si>
    <t>ECL</t>
  </si>
  <si>
    <t>ECL_Interest (CNY)</t>
  </si>
  <si>
    <t>EAD (CNY)</t>
  </si>
  <si>
    <t>ECL (CNY)</t>
  </si>
  <si>
    <t>EAD_Drawn (FCY)</t>
  </si>
  <si>
    <t>EAD_Undrawn (FCY)</t>
  </si>
  <si>
    <t>EAD (FCY)</t>
  </si>
  <si>
    <t>EAD_Interest (FCY)</t>
  </si>
  <si>
    <t>ECL_Drawn (FCY)</t>
  </si>
  <si>
    <t>ECL_Undrawn (FCY)</t>
  </si>
  <si>
    <t>ECL (FCY)</t>
  </si>
  <si>
    <t>ECL_Interest (FCY)</t>
  </si>
  <si>
    <t>EAD_Drawn (THB)</t>
  </si>
  <si>
    <t>EAD_Undrawn (THB)</t>
  </si>
  <si>
    <t>EAD (THB)</t>
  </si>
  <si>
    <t>EAD_Interest (THB)</t>
  </si>
  <si>
    <t>ECL_Drawn (THB)</t>
  </si>
  <si>
    <t>ECL_Undrawn (THB)</t>
  </si>
  <si>
    <t>ECL (THB)</t>
  </si>
  <si>
    <t>ECL_Interest (THB)</t>
  </si>
  <si>
    <t>EAD_PD (THB)</t>
  </si>
  <si>
    <t>Int_PD (THB)</t>
  </si>
  <si>
    <t>EAD_LGD (THB)</t>
  </si>
  <si>
    <t>Int_LGD (THB)</t>
  </si>
  <si>
    <r>
      <rPr>
        <b/>
        <sz val="10"/>
        <color theme="1"/>
        <rFont val="宋体"/>
        <family val="2"/>
      </rPr>
      <t>รายงานการจัดชั้นและกันเงินสำรองตาม</t>
    </r>
    <r>
      <rPr>
        <b/>
        <sz val="10"/>
        <color theme="1"/>
        <rFont val="Arial"/>
        <family val="2"/>
      </rPr>
      <t xml:space="preserve"> TFRS 9</t>
    </r>
  </si>
  <si>
    <r>
      <rPr>
        <b/>
        <sz val="10"/>
        <color rgb="FF000000"/>
        <rFont val="宋体"/>
        <family val="2"/>
      </rPr>
      <t>เดือน</t>
    </r>
  </si>
  <si>
    <r>
      <rPr>
        <b/>
        <sz val="10"/>
        <rFont val="宋体"/>
        <family val="2"/>
      </rPr>
      <t>รหัสสถาบัน</t>
    </r>
  </si>
  <si>
    <r>
      <rPr>
        <b/>
        <sz val="10"/>
        <rFont val="宋体"/>
        <family val="2"/>
      </rPr>
      <t>ชื่อสถาบัน</t>
    </r>
  </si>
  <si>
    <r>
      <rPr>
        <b/>
        <sz val="10"/>
        <color theme="1"/>
        <rFont val="宋体"/>
        <family val="2"/>
      </rPr>
      <t>หน่วย</t>
    </r>
  </si>
  <si>
    <r>
      <rPr>
        <b/>
        <sz val="10"/>
        <color theme="1"/>
        <rFont val="宋体"/>
        <family val="2"/>
      </rPr>
      <t>ล้านบาท</t>
    </r>
  </si>
  <si>
    <t>Portfolio</t>
  </si>
  <si>
    <t>Definition</t>
  </si>
  <si>
    <r>
      <t xml:space="preserve">Effective Interest Rate 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
(%)</t>
    </r>
  </si>
  <si>
    <r>
      <t xml:space="preserve">Outstanding On-Balance Sheet 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
(</t>
    </r>
    <r>
      <rPr>
        <b/>
        <sz val="10"/>
        <color theme="1"/>
        <rFont val="宋体"/>
        <family val="2"/>
      </rPr>
      <t>ล้านบาท</t>
    </r>
    <r>
      <rPr>
        <b/>
        <sz val="10"/>
        <color theme="1"/>
        <rFont val="Arial"/>
        <family val="2"/>
      </rPr>
      <t>)</t>
    </r>
  </si>
  <si>
    <r>
      <t xml:space="preserve">Outstanding Off-Balance Sheet (Notional) </t>
    </r>
    <r>
      <rPr>
        <b/>
        <vertAlign val="super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 xml:space="preserve">
(</t>
    </r>
    <r>
      <rPr>
        <b/>
        <sz val="10"/>
        <color theme="1"/>
        <rFont val="宋体"/>
        <family val="2"/>
      </rPr>
      <t>ล้านบาท</t>
    </r>
    <r>
      <rPr>
        <b/>
        <sz val="10"/>
        <color theme="1"/>
        <rFont val="Arial"/>
        <family val="2"/>
      </rPr>
      <t>)</t>
    </r>
  </si>
  <si>
    <r>
      <rPr>
        <b/>
        <sz val="10"/>
        <color theme="1"/>
        <rFont val="宋体"/>
        <family val="2"/>
      </rPr>
      <t>ค่าความเสี่ยงที่มาจาก</t>
    </r>
    <r>
      <rPr>
        <b/>
        <sz val="10"/>
        <color theme="1"/>
        <rFont val="Arial"/>
        <family val="2"/>
      </rPr>
      <t xml:space="preserve"> Probability weighted </t>
    </r>
    <r>
      <rPr>
        <b/>
        <sz val="10"/>
        <color theme="1"/>
        <rFont val="宋体"/>
        <family val="2"/>
      </rPr>
      <t>จาก</t>
    </r>
    <r>
      <rPr>
        <b/>
        <sz val="10"/>
        <color theme="1"/>
        <rFont val="Arial"/>
        <family val="2"/>
      </rPr>
      <t xml:space="preserve"> Multiple scenarios </t>
    </r>
    <r>
      <rPr>
        <b/>
        <sz val="10"/>
        <color theme="1"/>
        <rFont val="宋体"/>
        <family val="2"/>
      </rPr>
      <t>ที่นำไปใช้ในการกันสำรองจริง</t>
    </r>
    <r>
      <rPr>
        <b/>
        <vertAlign val="superscript"/>
        <sz val="10"/>
        <color theme="1"/>
        <rFont val="Arial"/>
        <family val="2"/>
      </rPr>
      <t>4, 5</t>
    </r>
  </si>
  <si>
    <t>1-year Observed Default Rate
(%)</t>
  </si>
  <si>
    <r>
      <rPr>
        <b/>
        <sz val="10"/>
        <color theme="1"/>
        <rFont val="宋体"/>
        <family val="2"/>
      </rPr>
      <t>กรุณาระบุเหตุผลของการมี</t>
    </r>
    <r>
      <rPr>
        <b/>
        <sz val="10"/>
        <color theme="1"/>
        <rFont val="Arial"/>
        <family val="2"/>
      </rPr>
      <t xml:space="preserve"> Management Overlay </t>
    </r>
    <r>
      <rPr>
        <b/>
        <sz val="10"/>
        <color theme="1"/>
        <rFont val="宋体"/>
        <family val="2"/>
      </rPr>
      <t>และเงื่อนไขในการนำ</t>
    </r>
    <r>
      <rPr>
        <b/>
        <sz val="10"/>
        <color theme="1"/>
        <rFont val="Arial"/>
        <family val="2"/>
      </rPr>
      <t xml:space="preserve"> Overlay </t>
    </r>
    <r>
      <rPr>
        <b/>
        <sz val="10"/>
        <color theme="1"/>
        <rFont val="宋体"/>
        <family val="2"/>
      </rPr>
      <t>ออก</t>
    </r>
  </si>
  <si>
    <r>
      <rPr>
        <b/>
        <sz val="10"/>
        <color theme="1"/>
        <rFont val="宋体"/>
        <family val="2"/>
      </rPr>
      <t>ค่าความเสี่ยงสำหรับ</t>
    </r>
    <r>
      <rPr>
        <b/>
        <sz val="10"/>
        <color theme="1"/>
        <rFont val="Arial"/>
        <family val="2"/>
      </rPr>
      <t xml:space="preserve"> Scenario </t>
    </r>
    <r>
      <rPr>
        <b/>
        <sz val="10"/>
        <color theme="1"/>
        <rFont val="宋体"/>
        <family val="2"/>
      </rPr>
      <t>ที่</t>
    </r>
    <r>
      <rPr>
        <b/>
        <sz val="10"/>
        <color theme="1"/>
        <rFont val="Arial"/>
        <family val="2"/>
      </rPr>
      <t xml:space="preserve"> 1</t>
    </r>
  </si>
  <si>
    <r>
      <rPr>
        <b/>
        <sz val="10"/>
        <color theme="1"/>
        <rFont val="宋体"/>
        <family val="2"/>
      </rPr>
      <t>ค่าความเสี่ยงสำหรับ</t>
    </r>
    <r>
      <rPr>
        <b/>
        <sz val="10"/>
        <color theme="1"/>
        <rFont val="Arial"/>
        <family val="2"/>
      </rPr>
      <t xml:space="preserve"> Scenario </t>
    </r>
    <r>
      <rPr>
        <b/>
        <sz val="10"/>
        <color theme="1"/>
        <rFont val="宋体"/>
        <family val="2"/>
      </rPr>
      <t>ที่</t>
    </r>
    <r>
      <rPr>
        <b/>
        <sz val="10"/>
        <color theme="1"/>
        <rFont val="Arial"/>
        <family val="2"/>
      </rPr>
      <t xml:space="preserve"> 2</t>
    </r>
  </si>
  <si>
    <r>
      <rPr>
        <b/>
        <sz val="10"/>
        <color theme="1"/>
        <rFont val="宋体"/>
        <family val="2"/>
      </rPr>
      <t>ค่าความเสี่ยงสำหรับ</t>
    </r>
    <r>
      <rPr>
        <b/>
        <sz val="10"/>
        <color theme="1"/>
        <rFont val="Arial"/>
        <family val="2"/>
      </rPr>
      <t xml:space="preserve"> Scenario </t>
    </r>
    <r>
      <rPr>
        <b/>
        <sz val="10"/>
        <color theme="1"/>
        <rFont val="宋体"/>
        <family val="2"/>
      </rPr>
      <t>ที่</t>
    </r>
    <r>
      <rPr>
        <b/>
        <sz val="10"/>
        <color theme="1"/>
        <rFont val="Arial"/>
        <family val="2"/>
      </rPr>
      <t xml:space="preserve"> 3</t>
    </r>
  </si>
  <si>
    <r>
      <rPr>
        <b/>
        <sz val="10"/>
        <color theme="1"/>
        <rFont val="宋体"/>
        <family val="2"/>
      </rPr>
      <t>ค่าความเสี่ยงสำหรับ</t>
    </r>
    <r>
      <rPr>
        <b/>
        <sz val="10"/>
        <color theme="1"/>
        <rFont val="Arial"/>
        <family val="2"/>
      </rPr>
      <t xml:space="preserve"> Scenario </t>
    </r>
    <r>
      <rPr>
        <b/>
        <sz val="10"/>
        <color theme="1"/>
        <rFont val="宋体"/>
        <family val="2"/>
      </rPr>
      <t>ที่</t>
    </r>
    <r>
      <rPr>
        <b/>
        <sz val="10"/>
        <color theme="1"/>
        <rFont val="Arial"/>
        <family val="2"/>
      </rPr>
      <t xml:space="preserve"> 4</t>
    </r>
  </si>
  <si>
    <r>
      <rPr>
        <b/>
        <sz val="10"/>
        <color theme="1"/>
        <rFont val="宋体"/>
        <family val="2"/>
      </rPr>
      <t>ค่าความเสี่ยงสำหรับ</t>
    </r>
    <r>
      <rPr>
        <b/>
        <sz val="10"/>
        <color theme="1"/>
        <rFont val="Arial"/>
        <family val="2"/>
      </rPr>
      <t xml:space="preserve"> Scenario </t>
    </r>
    <r>
      <rPr>
        <b/>
        <sz val="10"/>
        <color theme="1"/>
        <rFont val="宋体"/>
        <family val="2"/>
      </rPr>
      <t>ที่</t>
    </r>
    <r>
      <rPr>
        <b/>
        <sz val="10"/>
        <color theme="1"/>
        <rFont val="Arial"/>
        <family val="2"/>
      </rPr>
      <t xml:space="preserve"> 5</t>
    </r>
  </si>
  <si>
    <r>
      <t>Remark
(</t>
    </r>
    <r>
      <rPr>
        <b/>
        <sz val="10"/>
        <color theme="1"/>
        <rFont val="宋体"/>
        <family val="2"/>
      </rPr>
      <t>คำอธิบายเพิ่มเติม</t>
    </r>
    <r>
      <rPr>
        <b/>
        <sz val="10"/>
        <color theme="1"/>
        <rFont val="Arial"/>
        <family val="2"/>
      </rPr>
      <t xml:space="preserve"> (</t>
    </r>
    <r>
      <rPr>
        <b/>
        <sz val="10"/>
        <color theme="1"/>
        <rFont val="宋体"/>
        <family val="2"/>
      </rPr>
      <t>ถ้ามี</t>
    </r>
    <r>
      <rPr>
        <b/>
        <sz val="10"/>
        <color theme="1"/>
        <rFont val="Arial"/>
        <family val="2"/>
      </rPr>
      <t>))</t>
    </r>
  </si>
  <si>
    <r>
      <t xml:space="preserve">PD </t>
    </r>
    <r>
      <rPr>
        <b/>
        <vertAlign val="superscript"/>
        <sz val="10"/>
        <rFont val="Arial"/>
        <family val="2"/>
      </rPr>
      <t xml:space="preserve">6
</t>
    </r>
    <r>
      <rPr>
        <b/>
        <sz val="10"/>
        <rFont val="Arial"/>
        <family val="2"/>
      </rPr>
      <t>(%)</t>
    </r>
  </si>
  <si>
    <r>
      <t xml:space="preserve">LGD </t>
    </r>
    <r>
      <rPr>
        <b/>
        <vertAlign val="superscript"/>
        <sz val="10"/>
        <rFont val="Arial"/>
        <family val="2"/>
      </rPr>
      <t xml:space="preserve">6
</t>
    </r>
    <r>
      <rPr>
        <b/>
        <sz val="10"/>
        <rFont val="Arial"/>
        <family val="2"/>
      </rPr>
      <t>(%)</t>
    </r>
  </si>
  <si>
    <r>
      <t xml:space="preserve">EAD </t>
    </r>
    <r>
      <rPr>
        <b/>
        <vertAlign val="superscript"/>
        <sz val="10"/>
        <rFont val="Arial"/>
        <family val="2"/>
      </rPr>
      <t>6</t>
    </r>
    <r>
      <rPr>
        <b/>
        <sz val="10"/>
        <rFont val="Arial"/>
        <family val="2"/>
      </rPr>
      <t xml:space="preserve">
(</t>
    </r>
    <r>
      <rPr>
        <b/>
        <sz val="10"/>
        <rFont val="宋体"/>
        <family val="2"/>
      </rPr>
      <t>ล้านบาท</t>
    </r>
    <r>
      <rPr>
        <b/>
        <sz val="10"/>
        <rFont val="Arial"/>
        <family val="2"/>
      </rPr>
      <t>)</t>
    </r>
  </si>
  <si>
    <r>
      <t>ECL (</t>
    </r>
    <r>
      <rPr>
        <b/>
        <sz val="10"/>
        <rFont val="宋体"/>
        <family val="2"/>
      </rPr>
      <t>ไม่รวม</t>
    </r>
    <r>
      <rPr>
        <b/>
        <sz val="10"/>
        <rFont val="Arial"/>
        <family val="2"/>
      </rPr>
      <t xml:space="preserve"> Management Overlay) </t>
    </r>
    <r>
      <rPr>
        <b/>
        <vertAlign val="superscript"/>
        <sz val="10"/>
        <rFont val="Arial"/>
        <family val="2"/>
      </rPr>
      <t>7</t>
    </r>
    <r>
      <rPr>
        <b/>
        <sz val="10"/>
        <rFont val="Arial"/>
        <family val="2"/>
      </rPr>
      <t xml:space="preserve">
(</t>
    </r>
    <r>
      <rPr>
        <b/>
        <sz val="10"/>
        <rFont val="宋体"/>
        <family val="2"/>
      </rPr>
      <t>ล้านบาท</t>
    </r>
    <r>
      <rPr>
        <b/>
        <sz val="10"/>
        <rFont val="Arial"/>
        <family val="2"/>
      </rPr>
      <t>)</t>
    </r>
  </si>
  <si>
    <r>
      <t>Management Overlay (</t>
    </r>
    <r>
      <rPr>
        <b/>
        <sz val="10"/>
        <color theme="1"/>
        <rFont val="宋体"/>
        <family val="2"/>
      </rPr>
      <t>ถ้ามี</t>
    </r>
    <r>
      <rPr>
        <b/>
        <sz val="10"/>
        <color theme="1"/>
        <rFont val="Arial"/>
        <family val="2"/>
      </rPr>
      <t xml:space="preserve">) </t>
    </r>
    <r>
      <rPr>
        <b/>
        <vertAlign val="superscript"/>
        <sz val="10"/>
        <color theme="1"/>
        <rFont val="Arial"/>
        <family val="2"/>
      </rPr>
      <t>8</t>
    </r>
    <r>
      <rPr>
        <b/>
        <sz val="10"/>
        <color theme="1"/>
        <rFont val="Arial"/>
        <family val="2"/>
      </rPr>
      <t xml:space="preserve">
(</t>
    </r>
    <r>
      <rPr>
        <b/>
        <sz val="10"/>
        <color theme="1"/>
        <rFont val="宋体"/>
        <family val="2"/>
      </rPr>
      <t>ล้านบาท</t>
    </r>
    <r>
      <rPr>
        <b/>
        <sz val="10"/>
        <color theme="1"/>
        <rFont val="Arial"/>
        <family val="2"/>
      </rPr>
      <t>)</t>
    </r>
  </si>
  <si>
    <r>
      <t xml:space="preserve">PD </t>
    </r>
    <r>
      <rPr>
        <b/>
        <vertAlign val="superscript"/>
        <sz val="10"/>
        <rFont val="Arial"/>
        <family val="2"/>
      </rPr>
      <t xml:space="preserve">16
</t>
    </r>
    <r>
      <rPr>
        <b/>
        <sz val="10"/>
        <rFont val="Arial"/>
        <family val="2"/>
      </rPr>
      <t>(%)</t>
    </r>
  </si>
  <si>
    <r>
      <t xml:space="preserve">LGD </t>
    </r>
    <r>
      <rPr>
        <b/>
        <vertAlign val="superscript"/>
        <sz val="10"/>
        <rFont val="Arial"/>
        <family val="2"/>
      </rPr>
      <t xml:space="preserve">16
</t>
    </r>
    <r>
      <rPr>
        <b/>
        <sz val="10"/>
        <rFont val="Arial"/>
        <family val="2"/>
      </rPr>
      <t>(%)</t>
    </r>
  </si>
  <si>
    <r>
      <t xml:space="preserve">EAD </t>
    </r>
    <r>
      <rPr>
        <b/>
        <vertAlign val="superscript"/>
        <sz val="10"/>
        <rFont val="Arial"/>
        <family val="2"/>
      </rPr>
      <t>16</t>
    </r>
    <r>
      <rPr>
        <b/>
        <sz val="10"/>
        <rFont val="Arial"/>
        <family val="2"/>
      </rPr>
      <t xml:space="preserve">
(</t>
    </r>
    <r>
      <rPr>
        <b/>
        <sz val="10"/>
        <rFont val="宋体"/>
        <family val="2"/>
      </rPr>
      <t>ล้านบาท</t>
    </r>
    <r>
      <rPr>
        <b/>
        <sz val="10"/>
        <rFont val="Arial"/>
        <family val="2"/>
      </rPr>
      <t>)</t>
    </r>
  </si>
  <si>
    <r>
      <t xml:space="preserve">ECL </t>
    </r>
    <r>
      <rPr>
        <b/>
        <vertAlign val="superscript"/>
        <sz val="10"/>
        <color theme="1"/>
        <rFont val="Arial"/>
        <family val="2"/>
      </rPr>
      <t>16</t>
    </r>
    <r>
      <rPr>
        <b/>
        <sz val="10"/>
        <color theme="1"/>
        <rFont val="Arial"/>
        <family val="2"/>
      </rPr>
      <t xml:space="preserve">
(</t>
    </r>
    <r>
      <rPr>
        <b/>
        <sz val="10"/>
        <color theme="1"/>
        <rFont val="宋体"/>
        <family val="2"/>
      </rPr>
      <t>ล้านบาท</t>
    </r>
    <r>
      <rPr>
        <b/>
        <sz val="10"/>
        <color theme="1"/>
        <rFont val="Arial"/>
        <family val="2"/>
      </rPr>
      <t>)</t>
    </r>
  </si>
  <si>
    <t>Investment (Debt Securities)</t>
  </si>
  <si>
    <t>Stage 1</t>
  </si>
  <si>
    <t>Stage 2</t>
  </si>
  <si>
    <t>Stage 3</t>
  </si>
  <si>
    <t>POCI</t>
  </si>
  <si>
    <t>Total</t>
  </si>
  <si>
    <r>
      <t xml:space="preserve">Write Off (YTD) </t>
    </r>
    <r>
      <rPr>
        <b/>
        <vertAlign val="superscript"/>
        <sz val="10"/>
        <color theme="1"/>
        <rFont val="Arial"/>
        <family val="2"/>
      </rPr>
      <t xml:space="preserve">19 </t>
    </r>
  </si>
  <si>
    <r>
      <rPr>
        <b/>
        <sz val="10"/>
        <color theme="1"/>
        <rFont val="宋体"/>
        <family val="2"/>
      </rPr>
      <t>ขายหนี้</t>
    </r>
    <r>
      <rPr>
        <b/>
        <sz val="10"/>
        <color theme="1"/>
        <rFont val="Arial"/>
        <family val="2"/>
      </rPr>
      <t xml:space="preserve"> (YTD) </t>
    </r>
    <r>
      <rPr>
        <b/>
        <vertAlign val="superscript"/>
        <sz val="10"/>
        <color theme="1"/>
        <rFont val="Arial"/>
        <family val="2"/>
      </rPr>
      <t>19</t>
    </r>
  </si>
  <si>
    <t>2. Private Enterprises</t>
  </si>
  <si>
    <t>Lending &amp; Contingent Claims</t>
  </si>
  <si>
    <t>1. Sovereign</t>
  </si>
  <si>
    <r>
      <t>Stage 1</t>
    </r>
    <r>
      <rPr>
        <b/>
        <vertAlign val="superscript"/>
        <sz val="10"/>
        <color theme="1"/>
        <rFont val="Arial"/>
        <family val="2"/>
      </rPr>
      <t>17</t>
    </r>
  </si>
  <si>
    <r>
      <rPr>
        <sz val="10"/>
        <color theme="1" tint="0.499984740745262"/>
        <rFont val="宋体"/>
        <family val="2"/>
      </rPr>
      <t>ลูกหนี้ปรับปรุงโครงสร้างหนี้ที่มีปัญหา</t>
    </r>
    <r>
      <rPr>
        <sz val="10"/>
        <color theme="1" tint="0.499984740745262"/>
        <rFont val="Arial"/>
        <family val="2"/>
      </rPr>
      <t xml:space="preserve"> TDR</t>
    </r>
  </si>
  <si>
    <r>
      <rPr>
        <sz val="10"/>
        <color theme="1" tint="0.499984740745262"/>
        <rFont val="宋体"/>
        <family val="2"/>
      </rPr>
      <t>ลูกหนี้ปรับปรุงโครงสร้างหนี้เชิงป้องกัน</t>
    </r>
    <r>
      <rPr>
        <sz val="10"/>
        <color theme="1" tint="0.499984740745262"/>
        <rFont val="Arial"/>
        <family val="2"/>
      </rPr>
      <t xml:space="preserve"> (pre-emptive)</t>
    </r>
  </si>
  <si>
    <r>
      <rPr>
        <sz val="10"/>
        <color theme="1" tint="0.499984740745262"/>
        <rFont val="宋体"/>
        <family val="2"/>
      </rPr>
      <t>ลูกหนี้</t>
    </r>
    <r>
      <rPr>
        <sz val="10"/>
        <color theme="1" tint="0.499984740745262"/>
        <rFont val="Arial"/>
        <family val="2"/>
      </rPr>
      <t xml:space="preserve"> Watch list</t>
    </r>
  </si>
  <si>
    <r>
      <rPr>
        <sz val="10"/>
        <color theme="1" tint="0.499984740745262"/>
        <rFont val="宋体"/>
        <family val="2"/>
      </rPr>
      <t>ลูกหนี้อื่นๆ</t>
    </r>
  </si>
  <si>
    <r>
      <t xml:space="preserve">Stage 2 </t>
    </r>
    <r>
      <rPr>
        <b/>
        <vertAlign val="superscript"/>
        <sz val="10"/>
        <color theme="1"/>
        <rFont val="Arial"/>
        <family val="2"/>
      </rPr>
      <t>18</t>
    </r>
  </si>
  <si>
    <r>
      <rPr>
        <sz val="10"/>
        <color theme="1" tint="0.499984740745262"/>
        <rFont val="宋体"/>
        <family val="2"/>
      </rPr>
      <t>ลูกหนี้ที่มี</t>
    </r>
    <r>
      <rPr>
        <sz val="10"/>
        <color theme="1" tint="0.499984740745262"/>
        <rFont val="Arial"/>
        <family val="2"/>
      </rPr>
      <t xml:space="preserve"> DPD </t>
    </r>
    <r>
      <rPr>
        <sz val="10"/>
        <color theme="1" tint="0.499984740745262"/>
        <rFont val="宋体"/>
        <family val="2"/>
      </rPr>
      <t>เกิน</t>
    </r>
    <r>
      <rPr>
        <sz val="10"/>
        <color theme="1" tint="0.499984740745262"/>
        <rFont val="Arial"/>
        <family val="2"/>
      </rPr>
      <t xml:space="preserve"> 30 </t>
    </r>
    <r>
      <rPr>
        <sz val="10"/>
        <color theme="1" tint="0.499984740745262"/>
        <rFont val="宋体"/>
        <family val="2"/>
      </rPr>
      <t>วัน</t>
    </r>
  </si>
  <si>
    <r>
      <t xml:space="preserve">4. SMEs </t>
    </r>
    <r>
      <rPr>
        <b/>
        <vertAlign val="superscript"/>
        <sz val="10"/>
        <rFont val="Arial"/>
        <family val="2"/>
      </rPr>
      <t>10</t>
    </r>
  </si>
  <si>
    <t>5. Small SMEs</t>
  </si>
  <si>
    <r>
      <t xml:space="preserve">6. Retail </t>
    </r>
    <r>
      <rPr>
        <b/>
        <vertAlign val="superscript"/>
        <sz val="10"/>
        <rFont val="Arial"/>
        <family val="2"/>
      </rPr>
      <t>11</t>
    </r>
  </si>
  <si>
    <r>
      <t xml:space="preserve">Write Off (YTD) </t>
    </r>
    <r>
      <rPr>
        <b/>
        <vertAlign val="superscript"/>
        <sz val="10"/>
        <color theme="1"/>
        <rFont val="Arial"/>
        <family val="2"/>
      </rPr>
      <t>19</t>
    </r>
  </si>
  <si>
    <r>
      <t>6.1 Housing Loan</t>
    </r>
    <r>
      <rPr>
        <b/>
        <vertAlign val="superscript"/>
        <sz val="10"/>
        <rFont val="Arial"/>
        <family val="2"/>
      </rPr>
      <t>15</t>
    </r>
  </si>
  <si>
    <r>
      <t xml:space="preserve">- </t>
    </r>
    <r>
      <rPr>
        <sz val="10"/>
        <rFont val="宋体"/>
        <family val="2"/>
      </rPr>
      <t>ไม่รวม</t>
    </r>
    <r>
      <rPr>
        <sz val="10"/>
        <rFont val="Arial"/>
        <family val="2"/>
      </rPr>
      <t xml:space="preserve"> Top-up loan </t>
    </r>
    <r>
      <rPr>
        <sz val="10"/>
        <rFont val="宋体"/>
        <family val="2"/>
      </rPr>
      <t>ให้กรอกข้อมูลที่</t>
    </r>
    <r>
      <rPr>
        <sz val="10"/>
        <rFont val="Arial"/>
        <family val="2"/>
      </rPr>
      <t xml:space="preserve"> Other Retail Loan</t>
    </r>
  </si>
  <si>
    <r>
      <t xml:space="preserve">6.2 Hire Purchase </t>
    </r>
    <r>
      <rPr>
        <b/>
        <vertAlign val="superscript"/>
        <sz val="10"/>
        <rFont val="Arial"/>
        <family val="2"/>
      </rPr>
      <t>12</t>
    </r>
  </si>
  <si>
    <r>
      <t xml:space="preserve">- </t>
    </r>
    <r>
      <rPr>
        <sz val="10"/>
        <rFont val="宋体"/>
        <family val="2"/>
      </rPr>
      <t>ไม่รวม</t>
    </r>
    <r>
      <rPr>
        <sz val="10"/>
        <rFont val="Arial"/>
        <family val="2"/>
      </rPr>
      <t xml:space="preserve"> Top-up loan </t>
    </r>
    <r>
      <rPr>
        <sz val="10"/>
        <rFont val="宋体"/>
        <family val="2"/>
      </rPr>
      <t>ที่เกี่ยวข้องกับรถยนต์</t>
    </r>
    <r>
      <rPr>
        <sz val="10"/>
        <rFont val="Arial"/>
        <family val="2"/>
      </rPr>
      <t xml:space="preserve"> </t>
    </r>
    <r>
      <rPr>
        <sz val="10"/>
        <rFont val="宋体"/>
        <family val="2"/>
      </rPr>
      <t>ให้กรอกข้อมูลที่</t>
    </r>
    <r>
      <rPr>
        <sz val="10"/>
        <rFont val="Arial"/>
        <family val="2"/>
      </rPr>
      <t xml:space="preserve"> Other Retail Loan</t>
    </r>
  </si>
  <si>
    <t>6.2.1 New Cars</t>
  </si>
  <si>
    <r>
      <rPr>
        <sz val="10"/>
        <color theme="1" tint="0.499984740745262"/>
        <rFont val="宋体"/>
        <family val="2"/>
        <charset val="134"/>
      </rPr>
      <t>ลูกหนี้อื่นๆ</t>
    </r>
  </si>
  <si>
    <r>
      <rPr>
        <sz val="10"/>
        <color theme="1" tint="0.499984740745262"/>
        <rFont val="宋体"/>
        <family val="2"/>
        <charset val="134"/>
      </rPr>
      <t>ลูกหนี้ที่มี</t>
    </r>
    <r>
      <rPr>
        <sz val="10"/>
        <color theme="1" tint="0.499984740745262"/>
        <rFont val="Arial"/>
        <family val="2"/>
      </rPr>
      <t xml:space="preserve"> DPD </t>
    </r>
    <r>
      <rPr>
        <sz val="10"/>
        <color theme="1" tint="0.499984740745262"/>
        <rFont val="宋体"/>
        <family val="2"/>
        <charset val="134"/>
      </rPr>
      <t>เกิน</t>
    </r>
    <r>
      <rPr>
        <sz val="10"/>
        <color theme="1" tint="0.499984740745262"/>
        <rFont val="Arial"/>
        <family val="2"/>
      </rPr>
      <t xml:space="preserve"> 30 </t>
    </r>
    <r>
      <rPr>
        <sz val="10"/>
        <color theme="1" tint="0.499984740745262"/>
        <rFont val="宋体"/>
        <family val="2"/>
        <charset val="134"/>
      </rPr>
      <t>วัน</t>
    </r>
  </si>
  <si>
    <t>6.2.2 Used Cars</t>
  </si>
  <si>
    <t>6.3 Credit card</t>
  </si>
  <si>
    <r>
      <t xml:space="preserve">6.4 Personal Loan </t>
    </r>
    <r>
      <rPr>
        <b/>
        <vertAlign val="superscript"/>
        <sz val="10"/>
        <rFont val="Arial"/>
        <family val="2"/>
      </rPr>
      <t>13</t>
    </r>
  </si>
  <si>
    <r>
      <t>-</t>
    </r>
    <r>
      <rPr>
        <sz val="10"/>
        <rFont val="宋体"/>
        <family val="2"/>
      </rPr>
      <t>หากเป็นสินเชื่อบุคคลที่มีหลักประกัน</t>
    </r>
    <r>
      <rPr>
        <sz val="10"/>
        <rFont val="Arial"/>
        <family val="2"/>
      </rPr>
      <t xml:space="preserve"> </t>
    </r>
    <r>
      <rPr>
        <sz val="10"/>
        <rFont val="宋体"/>
        <family val="2"/>
      </rPr>
      <t>ให้กรอกข้อมูลที่</t>
    </r>
    <r>
      <rPr>
        <sz val="10"/>
        <rFont val="Arial"/>
        <family val="2"/>
      </rPr>
      <t xml:space="preserve"> Other Retail Loan</t>
    </r>
  </si>
  <si>
    <r>
      <t xml:space="preserve">6.5 Other Retail Loan 1 </t>
    </r>
    <r>
      <rPr>
        <b/>
        <vertAlign val="superscript"/>
        <sz val="10"/>
        <rFont val="Arial"/>
        <family val="2"/>
      </rPr>
      <t>14</t>
    </r>
  </si>
  <si>
    <t xml:space="preserve">6.6 Other Retail Loan 2 </t>
  </si>
  <si>
    <t xml:space="preserve">6.7 Other Retail Loan 3 </t>
  </si>
  <si>
    <t>6.8 Other Retail Loan 4</t>
  </si>
  <si>
    <t>7. Other Loan</t>
  </si>
  <si>
    <r>
      <rPr>
        <b/>
        <sz val="18"/>
        <rFont val="宋体"/>
        <family val="2"/>
      </rPr>
      <t>สำรองที่มีอยู่</t>
    </r>
  </si>
  <si>
    <t>Total Stage 1</t>
  </si>
  <si>
    <t>Total Stage 2</t>
  </si>
  <si>
    <t>Total Stage 3</t>
  </si>
  <si>
    <t>Total POCI</t>
  </si>
  <si>
    <t>Grand Total</t>
  </si>
  <si>
    <r>
      <t xml:space="preserve">Write Off (YTD) </t>
    </r>
    <r>
      <rPr>
        <b/>
        <vertAlign val="superscript"/>
        <sz val="10"/>
        <rFont val="Arial"/>
        <family val="2"/>
      </rPr>
      <t>19</t>
    </r>
  </si>
  <si>
    <r>
      <rPr>
        <b/>
        <sz val="10"/>
        <rFont val="宋体"/>
        <family val="2"/>
      </rPr>
      <t>ขายหนี้</t>
    </r>
    <r>
      <rPr>
        <b/>
        <sz val="10"/>
        <rFont val="Arial"/>
        <family val="2"/>
      </rPr>
      <t xml:space="preserve"> (YTD) </t>
    </r>
    <r>
      <rPr>
        <b/>
        <vertAlign val="superscript"/>
        <sz val="10"/>
        <rFont val="Arial"/>
        <family val="2"/>
      </rPr>
      <t>19</t>
    </r>
  </si>
  <si>
    <r>
      <rPr>
        <b/>
        <u/>
        <sz val="16"/>
        <color rgb="FF0000FF"/>
        <rFont val="宋体"/>
        <family val="2"/>
      </rPr>
      <t>หมายเหตุ</t>
    </r>
  </si>
  <si>
    <r>
      <t xml:space="preserve">1. </t>
    </r>
    <r>
      <rPr>
        <b/>
        <sz val="16"/>
        <color rgb="FF0000FF"/>
        <rFont val="宋体"/>
        <family val="2"/>
      </rPr>
      <t>การรายงาน</t>
    </r>
    <r>
      <rPr>
        <b/>
        <sz val="16"/>
        <color rgb="FF0000FF"/>
        <rFont val="Arial"/>
        <family val="2"/>
      </rPr>
      <t xml:space="preserve"> Effective Interest Rate (EIR) </t>
    </r>
    <r>
      <rPr>
        <b/>
        <sz val="16"/>
        <color rgb="FF0000FF"/>
        <rFont val="宋体"/>
        <family val="2"/>
      </rPr>
      <t>ให้รายงานด้วยค่าเฉลี่ยแบบ</t>
    </r>
    <r>
      <rPr>
        <b/>
        <sz val="16"/>
        <color rgb="FF0000FF"/>
        <rFont val="Arial"/>
        <family val="2"/>
      </rPr>
      <t xml:space="preserve"> Principal weighted</t>
    </r>
  </si>
  <si>
    <r>
      <t xml:space="preserve">2. Outstanding on Balance Sheet = </t>
    </r>
    <r>
      <rPr>
        <b/>
        <sz val="16"/>
        <color rgb="FF0000FF"/>
        <rFont val="宋体"/>
        <family val="2"/>
      </rPr>
      <t>เงินต้นคงเหลือบนงบดุล</t>
    </r>
    <r>
      <rPr>
        <b/>
        <sz val="16"/>
        <color rgb="FF0000FF"/>
        <rFont val="Arial"/>
        <family val="2"/>
      </rPr>
      <t xml:space="preserve"> (Remaining Principal) + </t>
    </r>
    <r>
      <rPr>
        <b/>
        <sz val="16"/>
        <color rgb="FF0000FF"/>
        <rFont val="宋体"/>
        <family val="2"/>
      </rPr>
      <t>ดอกเบี้ยค้างรับตาม</t>
    </r>
    <r>
      <rPr>
        <b/>
        <sz val="16"/>
        <color rgb="FF0000FF"/>
        <rFont val="Arial"/>
        <family val="2"/>
      </rPr>
      <t xml:space="preserve"> EIR (Accrued Interest)</t>
    </r>
  </si>
  <si>
    <r>
      <t xml:space="preserve">3. </t>
    </r>
    <r>
      <rPr>
        <b/>
        <sz val="16"/>
        <color rgb="FF0000FF"/>
        <rFont val="宋体"/>
        <family val="2"/>
      </rPr>
      <t>ให้รายงาน</t>
    </r>
    <r>
      <rPr>
        <b/>
        <sz val="16"/>
        <color rgb="FF0000FF"/>
        <rFont val="Arial"/>
        <family val="2"/>
      </rPr>
      <t xml:space="preserve"> Notional amount </t>
    </r>
    <r>
      <rPr>
        <b/>
        <sz val="16"/>
        <color rgb="FF0000FF"/>
        <rFont val="宋体"/>
        <family val="2"/>
      </rPr>
      <t>ของภาระผูกพันทางการเงิน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ที่เข้าลักษณะต้องกันเงินสำรองตาม</t>
    </r>
    <r>
      <rPr>
        <b/>
        <sz val="16"/>
        <color rgb="FF0000FF"/>
        <rFont val="Arial"/>
        <family val="2"/>
      </rPr>
      <t xml:space="preserve"> TFRS 9 </t>
    </r>
  </si>
  <si>
    <r>
      <t xml:space="preserve">4. </t>
    </r>
    <r>
      <rPr>
        <b/>
        <sz val="16"/>
        <color rgb="FF0000FF"/>
        <rFont val="宋体"/>
        <family val="2"/>
      </rPr>
      <t>ให้กรอกค่า</t>
    </r>
    <r>
      <rPr>
        <b/>
        <sz val="16"/>
        <color rgb="FF0000FF"/>
        <rFont val="Arial"/>
        <family val="2"/>
      </rPr>
      <t xml:space="preserve"> PD, LGD, EAD, ECL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Management overlay (</t>
    </r>
    <r>
      <rPr>
        <b/>
        <sz val="16"/>
        <color rgb="FF0000FF"/>
        <rFont val="宋体"/>
        <family val="2"/>
      </rPr>
      <t>ถ้ามี</t>
    </r>
    <r>
      <rPr>
        <b/>
        <sz val="16"/>
        <color rgb="FF0000FF"/>
        <rFont val="Arial"/>
        <family val="2"/>
      </rPr>
      <t xml:space="preserve">) </t>
    </r>
    <r>
      <rPr>
        <b/>
        <sz val="16"/>
        <color rgb="FF0000FF"/>
        <rFont val="宋体"/>
        <family val="2"/>
      </rPr>
      <t>ของ</t>
    </r>
    <r>
      <rPr>
        <b/>
        <sz val="16"/>
        <color rgb="FF0000FF"/>
        <rFont val="Arial"/>
        <family val="2"/>
      </rPr>
      <t xml:space="preserve"> Outstanding Balance (On-Balance sheet) </t>
    </r>
    <r>
      <rPr>
        <b/>
        <sz val="16"/>
        <color rgb="FF0000FF"/>
        <rFont val="宋体"/>
        <family val="2"/>
      </rPr>
      <t>และภาระผูกพันทางการเงิน</t>
    </r>
    <r>
      <rPr>
        <b/>
        <sz val="16"/>
        <color rgb="FF0000FF"/>
        <rFont val="Arial"/>
        <family val="2"/>
      </rPr>
      <t xml:space="preserve"> (Off-Balance sheet) </t>
    </r>
    <r>
      <rPr>
        <b/>
        <sz val="16"/>
        <color rgb="FF0000FF"/>
        <rFont val="宋体"/>
        <family val="2"/>
      </rPr>
      <t>ตามวิธีการคำนวณที่ระบุในหมายเหตุข้อที่</t>
    </r>
    <r>
      <rPr>
        <b/>
        <sz val="16"/>
        <color rgb="FF0000FF"/>
        <rFont val="Arial"/>
        <family val="2"/>
      </rPr>
      <t xml:space="preserve"> 5</t>
    </r>
  </si>
  <si>
    <r>
      <t xml:space="preserve">5. </t>
    </r>
    <r>
      <rPr>
        <b/>
        <sz val="16"/>
        <color rgb="FF0000FF"/>
        <rFont val="宋体"/>
        <family val="2"/>
      </rPr>
      <t>หากมีพอร์ตสินเชื่อใดที่ไม่ได้ใช้วิธี</t>
    </r>
    <r>
      <rPr>
        <b/>
        <sz val="16"/>
        <color rgb="FF0000FF"/>
        <rFont val="Arial"/>
        <family val="2"/>
      </rPr>
      <t xml:space="preserve"> PD LGD EAD </t>
    </r>
    <r>
      <rPr>
        <b/>
        <sz val="16"/>
        <color rgb="FF0000FF"/>
        <rFont val="宋体"/>
        <family val="2"/>
      </rPr>
      <t>ในการคำนวณ</t>
    </r>
    <r>
      <rPr>
        <b/>
        <sz val="16"/>
        <color rgb="FF0000FF"/>
        <rFont val="Arial"/>
        <family val="2"/>
      </rPr>
      <t xml:space="preserve"> ECL </t>
    </r>
    <r>
      <rPr>
        <b/>
        <sz val="16"/>
        <color rgb="FF0000FF"/>
        <rFont val="宋体"/>
        <family val="2"/>
      </rPr>
      <t>ให้กรอกเฉพาะค่า</t>
    </r>
    <r>
      <rPr>
        <b/>
        <sz val="16"/>
        <color rgb="FF0000FF"/>
        <rFont val="Arial"/>
        <family val="2"/>
      </rPr>
      <t xml:space="preserve"> ECL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Management overlay (</t>
    </r>
    <r>
      <rPr>
        <b/>
        <sz val="16"/>
        <color rgb="FF0000FF"/>
        <rFont val="宋体"/>
        <family val="2"/>
      </rPr>
      <t>ถ้ามี</t>
    </r>
    <r>
      <rPr>
        <b/>
        <sz val="16"/>
        <color rgb="FF0000FF"/>
        <rFont val="Arial"/>
        <family val="2"/>
      </rPr>
      <t xml:space="preserve">) </t>
    </r>
    <r>
      <rPr>
        <b/>
        <sz val="16"/>
        <color rgb="FF0000FF"/>
        <rFont val="宋体"/>
        <family val="2"/>
      </rPr>
      <t>ลงใน</t>
    </r>
    <r>
      <rPr>
        <b/>
        <sz val="16"/>
        <color rgb="FF0000FF"/>
        <rFont val="Arial"/>
        <family val="2"/>
      </rPr>
      <t xml:space="preserve"> Column K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L </t>
    </r>
    <r>
      <rPr>
        <b/>
        <sz val="16"/>
        <color rgb="FF0000FF"/>
        <rFont val="宋体"/>
        <family val="2"/>
      </rPr>
      <t>ตามลำดับ</t>
    </r>
  </si>
  <si>
    <r>
      <t xml:space="preserve">6. </t>
    </r>
    <r>
      <rPr>
        <b/>
        <sz val="16"/>
        <color rgb="FF0000FF"/>
        <rFont val="宋体"/>
        <family val="2"/>
      </rPr>
      <t>สำหรับการคำนวณเงินกันสำรองตาม</t>
    </r>
    <r>
      <rPr>
        <b/>
        <sz val="16"/>
        <color rgb="FF0000FF"/>
        <rFont val="Arial"/>
        <family val="2"/>
      </rPr>
      <t xml:space="preserve"> TFRS9 </t>
    </r>
    <r>
      <rPr>
        <b/>
        <sz val="16"/>
        <color rgb="FF0000FF"/>
        <rFont val="宋体"/>
        <family val="2"/>
      </rPr>
      <t>ในทุก</t>
    </r>
    <r>
      <rPr>
        <b/>
        <sz val="16"/>
        <color rgb="FF0000FF"/>
        <rFont val="Arial"/>
        <family val="2"/>
      </rPr>
      <t xml:space="preserve"> Stage </t>
    </r>
    <r>
      <rPr>
        <b/>
        <sz val="16"/>
        <color rgb="FF0000FF"/>
        <rFont val="宋体"/>
        <family val="2"/>
      </rPr>
      <t>ให้รายงานค่าเฉลี่ย</t>
    </r>
    <r>
      <rPr>
        <b/>
        <sz val="16"/>
        <color rgb="FF0000FF"/>
        <rFont val="Arial"/>
        <family val="2"/>
      </rPr>
      <t xml:space="preserve"> 1-year PD </t>
    </r>
    <r>
      <rPr>
        <b/>
        <sz val="16"/>
        <color rgb="FF0000FF"/>
        <rFont val="宋体"/>
        <family val="2"/>
      </rPr>
      <t>ในปีแรก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และรายงานค่าเฉลี่ย</t>
    </r>
    <r>
      <rPr>
        <b/>
        <sz val="16"/>
        <color rgb="FF0000FF"/>
        <rFont val="Arial"/>
        <family val="2"/>
      </rPr>
      <t xml:space="preserve"> LGD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EAD </t>
    </r>
    <r>
      <rPr>
        <b/>
        <sz val="16"/>
        <color rgb="FF0000FF"/>
        <rFont val="宋体"/>
        <family val="2"/>
      </rPr>
      <t>ด้วยค่าในปี</t>
    </r>
    <r>
      <rPr>
        <b/>
        <sz val="16"/>
        <color rgb="FF0000FF"/>
        <rFont val="Arial"/>
        <family val="2"/>
      </rPr>
      <t>/</t>
    </r>
    <r>
      <rPr>
        <b/>
        <sz val="16"/>
        <color rgb="FF0000FF"/>
        <rFont val="宋体"/>
        <family val="2"/>
      </rPr>
      <t>งวดแรก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โดยค่าทั้ง</t>
    </r>
    <r>
      <rPr>
        <b/>
        <sz val="16"/>
        <color rgb="FF0000FF"/>
        <rFont val="Arial"/>
        <family val="2"/>
      </rPr>
      <t xml:space="preserve"> 3 </t>
    </r>
    <r>
      <rPr>
        <b/>
        <sz val="16"/>
        <color rgb="FF0000FF"/>
        <rFont val="宋体"/>
        <family val="2"/>
      </rPr>
      <t>เป็นค่าเฉลี่ยแบบ</t>
    </r>
    <r>
      <rPr>
        <b/>
        <sz val="16"/>
        <color rgb="FF0000FF"/>
        <rFont val="Arial"/>
        <family val="2"/>
      </rPr>
      <t xml:space="preserve"> EAD weighted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Multiple scenarios weighted </t>
    </r>
    <r>
      <rPr>
        <b/>
        <sz val="16"/>
        <color rgb="FF0000FF"/>
        <rFont val="宋体"/>
        <family val="2"/>
      </rPr>
      <t>ตาม</t>
    </r>
    <r>
      <rPr>
        <b/>
        <sz val="16"/>
        <color rgb="FF0000FF"/>
        <rFont val="Arial"/>
        <family val="2"/>
      </rPr>
      <t xml:space="preserve"> Probability </t>
    </r>
    <r>
      <rPr>
        <b/>
        <sz val="16"/>
        <color rgb="FF0000FF"/>
        <rFont val="宋体"/>
        <family val="2"/>
      </rPr>
      <t>พร้อมๆ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กัน</t>
    </r>
    <r>
      <rPr>
        <b/>
        <sz val="16"/>
        <color rgb="FF0000FF"/>
        <rFont val="Arial"/>
        <family val="2"/>
      </rPr>
      <t xml:space="preserve"> </t>
    </r>
    <r>
      <rPr>
        <b/>
        <u/>
        <sz val="16"/>
        <rFont val="Arial"/>
        <family val="2"/>
      </rPr>
      <t>(</t>
    </r>
    <r>
      <rPr>
        <b/>
        <u/>
        <sz val="16"/>
        <rFont val="宋体"/>
        <family val="2"/>
      </rPr>
      <t>ดังตัวอย่างใน</t>
    </r>
    <r>
      <rPr>
        <b/>
        <u/>
        <sz val="16"/>
        <rFont val="Arial"/>
        <family val="2"/>
      </rPr>
      <t xml:space="preserve"> Sheet "</t>
    </r>
    <r>
      <rPr>
        <b/>
        <u/>
        <sz val="16"/>
        <rFont val="宋体"/>
        <family val="2"/>
      </rPr>
      <t>ตัวอย่างการคำนวณค่าเฉลี่ย</t>
    </r>
    <r>
      <rPr>
        <b/>
        <u/>
        <sz val="16"/>
        <rFont val="Arial"/>
        <family val="2"/>
      </rPr>
      <t xml:space="preserve">") </t>
    </r>
    <r>
      <rPr>
        <b/>
        <sz val="16"/>
        <rFont val="宋体"/>
        <family val="2"/>
      </rPr>
      <t>ในขณะที่ค่า</t>
    </r>
    <r>
      <rPr>
        <b/>
        <sz val="16"/>
        <rFont val="Arial"/>
        <family val="2"/>
      </rPr>
      <t xml:space="preserve"> ECL </t>
    </r>
    <r>
      <rPr>
        <b/>
        <sz val="16"/>
        <rFont val="宋体"/>
        <family val="2"/>
      </rPr>
      <t>เป็นค่าที่สถาบันการเงินคำนวณได้และใช้ในการกันสำรองจริงตาม</t>
    </r>
    <r>
      <rPr>
        <b/>
        <sz val="16"/>
        <rFont val="Arial"/>
        <family val="2"/>
      </rPr>
      <t xml:space="preserve"> TFRS9</t>
    </r>
  </si>
  <si>
    <r>
      <t xml:space="preserve">7. </t>
    </r>
    <r>
      <rPr>
        <b/>
        <sz val="16"/>
        <color rgb="FF0000FF"/>
        <rFont val="宋体"/>
        <family val="2"/>
      </rPr>
      <t>ค่า</t>
    </r>
    <r>
      <rPr>
        <b/>
        <sz val="16"/>
        <color rgb="FF0000FF"/>
        <rFont val="Arial"/>
        <family val="2"/>
      </rPr>
      <t xml:space="preserve"> ECL </t>
    </r>
    <r>
      <rPr>
        <b/>
        <sz val="16"/>
        <color rgb="FF0000FF"/>
        <rFont val="宋体"/>
        <family val="2"/>
      </rPr>
      <t>เป็นค่าที่ได้จากแบบจำลองโดย</t>
    </r>
    <r>
      <rPr>
        <b/>
        <u/>
        <sz val="16"/>
        <color rgb="FF0000FF"/>
        <rFont val="宋体"/>
        <family val="2"/>
      </rPr>
      <t>ยังไม่รวม</t>
    </r>
    <r>
      <rPr>
        <b/>
        <u/>
        <sz val="16"/>
        <color rgb="FF0000FF"/>
        <rFont val="Arial"/>
        <family val="2"/>
      </rPr>
      <t xml:space="preserve"> Management Overlay</t>
    </r>
  </si>
  <si>
    <r>
      <t xml:space="preserve">8. </t>
    </r>
    <r>
      <rPr>
        <b/>
        <sz val="16"/>
        <color rgb="FF0000FF"/>
        <rFont val="宋体"/>
        <family val="2"/>
      </rPr>
      <t>ให้กรอก</t>
    </r>
    <r>
      <rPr>
        <b/>
        <sz val="16"/>
        <color rgb="FF0000FF"/>
        <rFont val="Arial"/>
        <family val="2"/>
      </rPr>
      <t xml:space="preserve"> Management overlay </t>
    </r>
    <r>
      <rPr>
        <b/>
        <sz val="16"/>
        <color rgb="FF0000FF"/>
        <rFont val="宋体"/>
        <family val="2"/>
      </rPr>
      <t>ในระดับพอร์ต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โดยกรอกที่บรรทัด</t>
    </r>
    <r>
      <rPr>
        <b/>
        <sz val="16"/>
        <color rgb="FF0000FF"/>
        <rFont val="Arial"/>
        <family val="2"/>
      </rPr>
      <t xml:space="preserve"> Total </t>
    </r>
    <r>
      <rPr>
        <b/>
        <sz val="16"/>
        <color rgb="FF0000FF"/>
        <rFont val="宋体"/>
        <family val="2"/>
      </rPr>
      <t>ของแต่ละพอร์ต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พร้อมทั้งระบุเหตุผลของการมี</t>
    </r>
    <r>
      <rPr>
        <b/>
        <sz val="16"/>
        <color rgb="FF0000FF"/>
        <rFont val="Arial"/>
        <family val="2"/>
      </rPr>
      <t xml:space="preserve"> Management Overlay </t>
    </r>
    <r>
      <rPr>
        <b/>
        <sz val="16"/>
        <color rgb="FF0000FF"/>
        <rFont val="宋体"/>
        <family val="2"/>
      </rPr>
      <t>ใน</t>
    </r>
    <r>
      <rPr>
        <b/>
        <sz val="16"/>
        <color rgb="FF0000FF"/>
        <rFont val="Arial"/>
        <family val="2"/>
      </rPr>
      <t xml:space="preserve"> Column N</t>
    </r>
  </si>
  <si>
    <r>
      <t xml:space="preserve">9. </t>
    </r>
    <r>
      <rPr>
        <b/>
        <sz val="16"/>
        <color rgb="FF0000FF"/>
        <rFont val="宋体"/>
        <family val="2"/>
      </rPr>
      <t>หาก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ธพ</t>
    </r>
    <r>
      <rPr>
        <b/>
        <sz val="16"/>
        <color rgb="FF0000FF"/>
        <rFont val="Arial"/>
        <family val="2"/>
      </rPr>
      <t xml:space="preserve">. </t>
    </r>
    <r>
      <rPr>
        <b/>
        <sz val="16"/>
        <color rgb="FF0000FF"/>
        <rFont val="宋体"/>
        <family val="2"/>
      </rPr>
      <t>ไม่มีข้อมูลในพอร์ตสินเชื่อใดให้</t>
    </r>
    <r>
      <rPr>
        <b/>
        <u/>
        <sz val="16"/>
        <color indexed="12"/>
        <rFont val="宋体"/>
        <family val="2"/>
      </rPr>
      <t>เว้นว่าง</t>
    </r>
    <r>
      <rPr>
        <b/>
        <sz val="16"/>
        <color indexed="12"/>
        <rFont val="宋体"/>
        <family val="2"/>
      </rPr>
      <t>ไว้</t>
    </r>
  </si>
  <si>
    <r>
      <t xml:space="preserve">10. </t>
    </r>
    <r>
      <rPr>
        <b/>
        <sz val="16"/>
        <color rgb="FF0000FF"/>
        <rFont val="宋体"/>
        <family val="2"/>
      </rPr>
      <t>หาก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ธพ</t>
    </r>
    <r>
      <rPr>
        <b/>
        <sz val="16"/>
        <color rgb="FF0000FF"/>
        <rFont val="Arial"/>
        <family val="2"/>
      </rPr>
      <t xml:space="preserve">. </t>
    </r>
    <r>
      <rPr>
        <b/>
        <sz val="16"/>
        <color rgb="FF0000FF"/>
        <rFont val="宋体"/>
        <family val="2"/>
      </rPr>
      <t>ไม่ได้แยกพอร์ตสินเชื่อ</t>
    </r>
    <r>
      <rPr>
        <b/>
        <sz val="16"/>
        <color rgb="FF0000FF"/>
        <rFont val="Arial"/>
        <family val="2"/>
      </rPr>
      <t xml:space="preserve"> SMEs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Small SMEs </t>
    </r>
    <r>
      <rPr>
        <b/>
        <sz val="16"/>
        <color rgb="FF0000FF"/>
        <rFont val="宋体"/>
        <family val="2"/>
      </rPr>
      <t>ให้รายงานข้อมูลรวมในพอร์ตสินเชื่อ</t>
    </r>
    <r>
      <rPr>
        <b/>
        <sz val="16"/>
        <color rgb="FF0000FF"/>
        <rFont val="Arial"/>
        <family val="2"/>
      </rPr>
      <t xml:space="preserve"> SMEs </t>
    </r>
    <r>
      <rPr>
        <b/>
        <sz val="16"/>
        <color rgb="FF0000FF"/>
        <rFont val="宋体"/>
        <family val="2"/>
      </rPr>
      <t>ได้</t>
    </r>
  </si>
  <si>
    <r>
      <t xml:space="preserve">11. </t>
    </r>
    <r>
      <rPr>
        <b/>
        <sz val="16"/>
        <color rgb="FF0000FF"/>
        <rFont val="宋体"/>
        <family val="2"/>
      </rPr>
      <t>พอร์ตสินเชื่อ</t>
    </r>
    <r>
      <rPr>
        <b/>
        <sz val="16"/>
        <color rgb="FF0000FF"/>
        <rFont val="Arial"/>
        <family val="2"/>
      </rPr>
      <t xml:space="preserve"> Retail </t>
    </r>
    <r>
      <rPr>
        <b/>
        <sz val="16"/>
        <color rgb="FF0000FF"/>
        <rFont val="宋体"/>
        <family val="2"/>
      </rPr>
      <t>หมายถึง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พอร์ตสินเชื่อ</t>
    </r>
    <r>
      <rPr>
        <b/>
        <sz val="16"/>
        <color rgb="FF0000FF"/>
        <rFont val="Arial"/>
        <family val="2"/>
      </rPr>
      <t xml:space="preserve"> Housing Loan, Hire Purchase, Personal Loan, Credit Card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Other Retail Loan</t>
    </r>
  </si>
  <si>
    <r>
      <t xml:space="preserve">12. </t>
    </r>
    <r>
      <rPr>
        <b/>
        <sz val="16"/>
        <color rgb="FF0000FF"/>
        <rFont val="宋体"/>
        <family val="2"/>
      </rPr>
      <t>พอร์ตสินเชื่อ</t>
    </r>
    <r>
      <rPr>
        <b/>
        <sz val="16"/>
        <color rgb="FF0000FF"/>
        <rFont val="Arial"/>
        <family val="2"/>
      </rPr>
      <t xml:space="preserve"> Hire Purchase </t>
    </r>
    <r>
      <rPr>
        <b/>
        <sz val="16"/>
        <color rgb="FF0000FF"/>
        <rFont val="宋体"/>
        <family val="2"/>
      </rPr>
      <t>หาก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ธพ</t>
    </r>
    <r>
      <rPr>
        <b/>
        <sz val="16"/>
        <color rgb="FF0000FF"/>
        <rFont val="Arial"/>
        <family val="2"/>
      </rPr>
      <t xml:space="preserve">. </t>
    </r>
    <r>
      <rPr>
        <b/>
        <sz val="16"/>
        <color rgb="FF0000FF"/>
        <rFont val="宋体"/>
        <family val="2"/>
      </rPr>
      <t>ไม่ได้มีข้อมูลพอร์ตสินเชื่อกลุ่มย่อยที่แบ่งตามประเภท</t>
    </r>
    <r>
      <rPr>
        <b/>
        <sz val="16"/>
        <color rgb="FF0000FF"/>
        <rFont val="Arial"/>
        <family val="2"/>
      </rPr>
      <t xml:space="preserve"> New Car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Used Car </t>
    </r>
    <r>
      <rPr>
        <b/>
        <sz val="16"/>
        <color rgb="FF0000FF"/>
        <rFont val="宋体"/>
        <family val="2"/>
      </rPr>
      <t>สามารถใส่ข้อมูลรวมในพอร์ตสินเชื่อ</t>
    </r>
    <r>
      <rPr>
        <b/>
        <sz val="16"/>
        <color rgb="FF0000FF"/>
        <rFont val="Arial"/>
        <family val="2"/>
      </rPr>
      <t xml:space="preserve"> Hire Purchase </t>
    </r>
    <r>
      <rPr>
        <b/>
        <sz val="16"/>
        <color rgb="FF0000FF"/>
        <rFont val="宋体"/>
        <family val="2"/>
      </rPr>
      <t>แทนได้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โดยแยกกลุ่ม</t>
    </r>
    <r>
      <rPr>
        <b/>
        <sz val="16"/>
        <color rgb="FF0000FF"/>
        <rFont val="Arial"/>
        <family val="2"/>
      </rPr>
      <t xml:space="preserve"> Top-up loan </t>
    </r>
    <r>
      <rPr>
        <b/>
        <sz val="16"/>
        <color rgb="FF0000FF"/>
        <rFont val="宋体"/>
        <family val="2"/>
      </rPr>
      <t>ที่เกี่ยวข้องกับรถยนต์ใส่ในช่อง</t>
    </r>
    <r>
      <rPr>
        <b/>
        <sz val="16"/>
        <color rgb="FF0000FF"/>
        <rFont val="Arial"/>
        <family val="2"/>
      </rPr>
      <t xml:space="preserve"> Other Loan</t>
    </r>
  </si>
  <si>
    <r>
      <t xml:space="preserve">13. </t>
    </r>
    <r>
      <rPr>
        <b/>
        <sz val="16"/>
        <color rgb="FF0000FF"/>
        <rFont val="宋体"/>
        <family val="2"/>
      </rPr>
      <t>พอร์ตสินเชื่อ</t>
    </r>
    <r>
      <rPr>
        <b/>
        <sz val="16"/>
        <color rgb="FF0000FF"/>
        <rFont val="Arial"/>
        <family val="2"/>
      </rPr>
      <t xml:space="preserve"> Personal Loan </t>
    </r>
    <r>
      <rPr>
        <b/>
        <sz val="16"/>
        <color rgb="FF0000FF"/>
        <rFont val="宋体"/>
        <family val="2"/>
      </rPr>
      <t>หมายถึง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สินเชื่อบุคคลที่ไม่มีหลักประกัน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เช่น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สินเชื่อประเภท</t>
    </r>
    <r>
      <rPr>
        <b/>
        <sz val="16"/>
        <color rgb="FF0000FF"/>
        <rFont val="Arial"/>
        <family val="2"/>
      </rPr>
      <t xml:space="preserve"> Installment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Revolving </t>
    </r>
    <r>
      <rPr>
        <b/>
        <sz val="16"/>
        <color rgb="FF0000FF"/>
        <rFont val="宋体"/>
        <family val="2"/>
      </rPr>
      <t>ที่สัดส่วนสินเชื่อมีนัยสำคัญ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หากเป็นสินเชื่อบุคคลที่มีหลักประกันให้กรอกข้อมูลที่</t>
    </r>
    <r>
      <rPr>
        <b/>
        <sz val="16"/>
        <color rgb="FF0000FF"/>
        <rFont val="Arial"/>
        <family val="2"/>
      </rPr>
      <t xml:space="preserve"> Other Loan</t>
    </r>
  </si>
  <si>
    <r>
      <t xml:space="preserve">14. </t>
    </r>
    <r>
      <rPr>
        <b/>
        <sz val="16"/>
        <color rgb="FF0000FF"/>
        <rFont val="宋体"/>
        <family val="2"/>
      </rPr>
      <t>พอร์ตสินเชื่อ</t>
    </r>
    <r>
      <rPr>
        <b/>
        <sz val="16"/>
        <color rgb="FF0000FF"/>
        <rFont val="Arial"/>
        <family val="2"/>
      </rPr>
      <t xml:space="preserve"> Other Retail Loan </t>
    </r>
    <r>
      <rPr>
        <b/>
        <sz val="16"/>
        <color rgb="FF0000FF"/>
        <rFont val="宋体"/>
        <family val="2"/>
      </rPr>
      <t>คือ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พอร์ตสินเชื่อรายย่อยอื่นที่ไม่ได้อยู่ในพอร์ตหลักที่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ธปท</t>
    </r>
    <r>
      <rPr>
        <b/>
        <sz val="16"/>
        <color rgb="FF0000FF"/>
        <rFont val="Arial"/>
        <family val="2"/>
      </rPr>
      <t xml:space="preserve">. </t>
    </r>
    <r>
      <rPr>
        <b/>
        <sz val="16"/>
        <color rgb="FF0000FF"/>
        <rFont val="宋体"/>
        <family val="2"/>
      </rPr>
      <t>กำหนด</t>
    </r>
    <r>
      <rPr>
        <b/>
        <sz val="16"/>
        <color rgb="FF0000FF"/>
        <rFont val="Arial"/>
        <family val="2"/>
      </rPr>
      <t xml:space="preserve"> (</t>
    </r>
    <r>
      <rPr>
        <b/>
        <sz val="16"/>
        <color rgb="FF0000FF"/>
        <rFont val="宋体"/>
        <family val="2"/>
      </rPr>
      <t>เช่น</t>
    </r>
    <r>
      <rPr>
        <b/>
        <sz val="16"/>
        <color rgb="FF0000FF"/>
        <rFont val="Arial"/>
        <family val="2"/>
      </rPr>
      <t xml:space="preserve"> Top Up </t>
    </r>
    <r>
      <rPr>
        <b/>
        <sz val="16"/>
        <color rgb="FF0000FF"/>
        <rFont val="宋体"/>
        <family val="2"/>
      </rPr>
      <t>บ้าน</t>
    </r>
    <r>
      <rPr>
        <b/>
        <sz val="16"/>
        <color rgb="FF0000FF"/>
        <rFont val="Arial"/>
        <family val="2"/>
      </rPr>
      <t xml:space="preserve">, Top Up </t>
    </r>
    <r>
      <rPr>
        <b/>
        <sz val="16"/>
        <color rgb="FF0000FF"/>
        <rFont val="宋体"/>
        <family val="2"/>
      </rPr>
      <t>รถยนต์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หรือสินเชื่อส่วนบุคคลที่มีหลักประกันอื่นจนไม่สามารถจัดกลุ่มข้างต้นได้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เช่น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ทองคำ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เป็นต้น</t>
    </r>
    <r>
      <rPr>
        <b/>
        <sz val="16"/>
        <color rgb="FF0000FF"/>
        <rFont val="Arial"/>
        <family val="2"/>
      </rPr>
      <t>)</t>
    </r>
  </si>
  <si>
    <r>
      <t xml:space="preserve">15. </t>
    </r>
    <r>
      <rPr>
        <b/>
        <sz val="16"/>
        <color rgb="FF0000FF"/>
        <rFont val="宋体"/>
        <family val="2"/>
      </rPr>
      <t>พอร์ตสินเชื่อ</t>
    </r>
    <r>
      <rPr>
        <b/>
        <sz val="16"/>
        <color rgb="FF0000FF"/>
        <rFont val="Arial"/>
        <family val="2"/>
      </rPr>
      <t xml:space="preserve"> Housing Loan </t>
    </r>
    <r>
      <rPr>
        <b/>
        <sz val="16"/>
        <color rgb="FF0000FF"/>
        <rFont val="宋体"/>
        <family val="2"/>
      </rPr>
      <t>ให้แยกกลุ่ม</t>
    </r>
    <r>
      <rPr>
        <b/>
        <sz val="16"/>
        <color rgb="FF0000FF"/>
        <rFont val="Arial"/>
        <family val="2"/>
      </rPr>
      <t xml:space="preserve"> Top-up loan </t>
    </r>
    <r>
      <rPr>
        <b/>
        <sz val="16"/>
        <color rgb="FF0000FF"/>
        <rFont val="宋体"/>
        <family val="2"/>
      </rPr>
      <t>ที่เกี่ยวข้องกับสินเชื่อ</t>
    </r>
    <r>
      <rPr>
        <b/>
        <sz val="16"/>
        <color rgb="FF0000FF"/>
        <rFont val="Arial"/>
        <family val="2"/>
      </rPr>
      <t xml:space="preserve"> Housing Loan</t>
    </r>
    <r>
      <rPr>
        <b/>
        <sz val="16"/>
        <color rgb="FF0000FF"/>
        <rFont val="宋体"/>
        <family val="2"/>
      </rPr>
      <t>ใส่ในช่อง</t>
    </r>
    <r>
      <rPr>
        <b/>
        <sz val="16"/>
        <color rgb="FF0000FF"/>
        <rFont val="Arial"/>
        <family val="2"/>
      </rPr>
      <t xml:space="preserve"> Other Loan</t>
    </r>
  </si>
  <si>
    <r>
      <t xml:space="preserve">16. </t>
    </r>
    <r>
      <rPr>
        <b/>
        <sz val="16"/>
        <color rgb="FF0000FF"/>
        <rFont val="宋体"/>
        <family val="2"/>
      </rPr>
      <t>ให้กรอกค่า</t>
    </r>
    <r>
      <rPr>
        <b/>
        <sz val="16"/>
        <color rgb="FF0000FF"/>
        <rFont val="Arial"/>
        <family val="2"/>
      </rPr>
      <t xml:space="preserve"> PD LGD EAD </t>
    </r>
    <r>
      <rPr>
        <b/>
        <sz val="16"/>
        <color rgb="FF0000FF"/>
        <rFont val="宋体"/>
        <family val="2"/>
      </rPr>
      <t>และ</t>
    </r>
    <r>
      <rPr>
        <b/>
        <sz val="16"/>
        <color rgb="FF0000FF"/>
        <rFont val="Arial"/>
        <family val="2"/>
      </rPr>
      <t xml:space="preserve"> ECL </t>
    </r>
    <r>
      <rPr>
        <b/>
        <sz val="16"/>
        <color rgb="FF0000FF"/>
        <rFont val="宋体"/>
        <family val="2"/>
      </rPr>
      <t>ของแต่ละ</t>
    </r>
    <r>
      <rPr>
        <b/>
        <sz val="16"/>
        <color rgb="FF0000FF"/>
        <rFont val="Arial"/>
        <family val="2"/>
      </rPr>
      <t xml:space="preserve"> Scenario </t>
    </r>
    <r>
      <rPr>
        <b/>
        <sz val="16"/>
        <color rgb="FF0000FF"/>
        <rFont val="宋体"/>
        <family val="2"/>
      </rPr>
      <t>ตามวิธีคำนวณเดียวกับที่ระบุในหมายเหตุข้อ</t>
    </r>
    <r>
      <rPr>
        <b/>
        <sz val="16"/>
        <color rgb="FF0000FF"/>
        <rFont val="Arial"/>
        <family val="2"/>
      </rPr>
      <t xml:space="preserve"> 5 </t>
    </r>
    <r>
      <rPr>
        <b/>
        <sz val="16"/>
        <color rgb="FF0000FF"/>
        <rFont val="宋体"/>
        <family val="2"/>
      </rPr>
      <t>โดยที่ไม่ต้องทำ</t>
    </r>
    <r>
      <rPr>
        <b/>
        <sz val="16"/>
        <color rgb="FF0000FF"/>
        <rFont val="Arial"/>
        <family val="2"/>
      </rPr>
      <t xml:space="preserve"> Probability weighted </t>
    </r>
    <r>
      <rPr>
        <b/>
        <sz val="16"/>
        <color rgb="FF0000FF"/>
        <rFont val="宋体"/>
        <family val="2"/>
      </rPr>
      <t>ของ</t>
    </r>
    <r>
      <rPr>
        <b/>
        <sz val="16"/>
        <color rgb="FF0000FF"/>
        <rFont val="Arial"/>
        <family val="2"/>
      </rPr>
      <t xml:space="preserve"> Multiple scenarios</t>
    </r>
  </si>
  <si>
    <r>
      <t xml:space="preserve">17. </t>
    </r>
    <r>
      <rPr>
        <b/>
        <sz val="16"/>
        <color rgb="FF0000FF"/>
        <rFont val="宋体"/>
        <family val="2"/>
      </rPr>
      <t>หากลูกหนี้ใน</t>
    </r>
    <r>
      <rPr>
        <b/>
        <sz val="16"/>
        <color rgb="FF0000FF"/>
        <rFont val="Arial"/>
        <family val="2"/>
      </rPr>
      <t xml:space="preserve"> Stage 1 </t>
    </r>
    <r>
      <rPr>
        <b/>
        <sz val="16"/>
        <color rgb="FF0000FF"/>
        <rFont val="宋体"/>
        <family val="2"/>
      </rPr>
      <t>เข้าข่ายมากกว่า</t>
    </r>
    <r>
      <rPr>
        <b/>
        <sz val="16"/>
        <color rgb="FF0000FF"/>
        <rFont val="Arial"/>
        <family val="2"/>
      </rPr>
      <t xml:space="preserve"> 1 </t>
    </r>
    <r>
      <rPr>
        <b/>
        <sz val="16"/>
        <color rgb="FF0000FF"/>
        <rFont val="宋体"/>
        <family val="2"/>
      </rPr>
      <t>เงื่อนไข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ให้เลือกกรอกลงในช่องโดยเรียงตามความเสี่ยงของลูกหนี้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ดังนี้</t>
    </r>
    <r>
      <rPr>
        <b/>
        <sz val="16"/>
        <color rgb="FF0000FF"/>
        <rFont val="Arial"/>
        <family val="2"/>
      </rPr>
      <t xml:space="preserve"> 1) </t>
    </r>
    <r>
      <rPr>
        <b/>
        <sz val="16"/>
        <color rgb="FF0000FF"/>
        <rFont val="宋体"/>
        <family val="2"/>
      </rPr>
      <t>ลูกหนี้ปรับปรุงโครงสร้างหนี้ที่มีปัญหา</t>
    </r>
    <r>
      <rPr>
        <b/>
        <sz val="16"/>
        <color rgb="FF0000FF"/>
        <rFont val="Arial"/>
        <family val="2"/>
      </rPr>
      <t xml:space="preserve"> TDR 2) </t>
    </r>
    <r>
      <rPr>
        <b/>
        <sz val="16"/>
        <color rgb="FF0000FF"/>
        <rFont val="宋体"/>
        <family val="2"/>
      </rPr>
      <t>ลูกหนี้ปรับปรุงโครงสร้างหนี้เชิงป้องกัน</t>
    </r>
    <r>
      <rPr>
        <b/>
        <sz val="16"/>
        <color rgb="FF0000FF"/>
        <rFont val="Arial"/>
        <family val="2"/>
      </rPr>
      <t xml:space="preserve"> (pre-emptive) 3) </t>
    </r>
    <r>
      <rPr>
        <b/>
        <sz val="16"/>
        <color rgb="FF0000FF"/>
        <rFont val="宋体"/>
        <family val="2"/>
      </rPr>
      <t>ลูกหนี้</t>
    </r>
    <r>
      <rPr>
        <b/>
        <sz val="16"/>
        <color rgb="FF0000FF"/>
        <rFont val="Arial"/>
        <family val="2"/>
      </rPr>
      <t xml:space="preserve"> Watch list </t>
    </r>
    <r>
      <rPr>
        <b/>
        <sz val="16"/>
        <color rgb="FF0000FF"/>
        <rFont val="宋体"/>
        <family val="2"/>
      </rPr>
      <t>ตัวอย่างเช่น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ลูกหนี้เคยทำ</t>
    </r>
    <r>
      <rPr>
        <b/>
        <sz val="16"/>
        <color rgb="FF0000FF"/>
        <rFont val="Arial"/>
        <family val="2"/>
      </rPr>
      <t xml:space="preserve"> TDR </t>
    </r>
    <r>
      <rPr>
        <b/>
        <sz val="16"/>
        <color rgb="FF0000FF"/>
        <rFont val="宋体"/>
        <family val="2"/>
      </rPr>
      <t>และอยู่ใน</t>
    </r>
    <r>
      <rPr>
        <b/>
        <sz val="16"/>
        <color rgb="FF0000FF"/>
        <rFont val="Arial"/>
        <family val="2"/>
      </rPr>
      <t xml:space="preserve"> Watch list </t>
    </r>
    <r>
      <rPr>
        <b/>
        <sz val="16"/>
        <color rgb="FF0000FF"/>
        <rFont val="宋体"/>
        <family val="2"/>
      </rPr>
      <t>ให้กรอกลูกหนี้รายนี้ในช่อง</t>
    </r>
    <r>
      <rPr>
        <b/>
        <sz val="16"/>
        <color rgb="FF0000FF"/>
        <rFont val="Arial"/>
        <family val="2"/>
      </rPr>
      <t xml:space="preserve"> 1) </t>
    </r>
    <r>
      <rPr>
        <b/>
        <sz val="16"/>
        <color rgb="FF0000FF"/>
        <rFont val="宋体"/>
        <family val="2"/>
      </rPr>
      <t>ลูกหนี้ปรับปรุงโครงสร้างหนี้ที่มีปัญหา</t>
    </r>
    <r>
      <rPr>
        <b/>
        <sz val="16"/>
        <color rgb="FF0000FF"/>
        <rFont val="Arial"/>
        <family val="2"/>
      </rPr>
      <t xml:space="preserve"> TDR </t>
    </r>
    <r>
      <rPr>
        <b/>
        <sz val="16"/>
        <color rgb="FF0000FF"/>
        <rFont val="宋体"/>
        <family val="2"/>
      </rPr>
      <t>เป็นต้น</t>
    </r>
  </si>
  <si>
    <r>
      <t xml:space="preserve">18. </t>
    </r>
    <r>
      <rPr>
        <b/>
        <sz val="16"/>
        <color rgb="FF0000FF"/>
        <rFont val="宋体"/>
        <family val="2"/>
      </rPr>
      <t>หากลูกหนี้ใน</t>
    </r>
    <r>
      <rPr>
        <b/>
        <sz val="16"/>
        <color rgb="FF0000FF"/>
        <rFont val="Arial"/>
        <family val="2"/>
      </rPr>
      <t xml:space="preserve"> Stage 2 </t>
    </r>
    <r>
      <rPr>
        <b/>
        <sz val="16"/>
        <color rgb="FF0000FF"/>
        <rFont val="宋体"/>
        <family val="2"/>
      </rPr>
      <t>เข้าข่ายมากกว่า</t>
    </r>
    <r>
      <rPr>
        <b/>
        <sz val="16"/>
        <color rgb="FF0000FF"/>
        <rFont val="Arial"/>
        <family val="2"/>
      </rPr>
      <t xml:space="preserve"> 1 </t>
    </r>
    <r>
      <rPr>
        <b/>
        <sz val="16"/>
        <color rgb="FF0000FF"/>
        <rFont val="宋体"/>
        <family val="2"/>
      </rPr>
      <t>เงื่อนไข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ให้เลือกกรอกลงในช่องโดยเรียงตามความเสี่ยงของลูกหนี้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ดังนี้</t>
    </r>
    <r>
      <rPr>
        <b/>
        <sz val="16"/>
        <color rgb="FF0000FF"/>
        <rFont val="Arial"/>
        <family val="2"/>
      </rPr>
      <t xml:space="preserve"> 1) </t>
    </r>
    <r>
      <rPr>
        <b/>
        <sz val="16"/>
        <color rgb="FF0000FF"/>
        <rFont val="宋体"/>
        <family val="2"/>
      </rPr>
      <t>ลูกหนี้ที่มี</t>
    </r>
    <r>
      <rPr>
        <b/>
        <sz val="16"/>
        <color rgb="FF0000FF"/>
        <rFont val="Arial"/>
        <family val="2"/>
      </rPr>
      <t xml:space="preserve"> DPD </t>
    </r>
    <r>
      <rPr>
        <b/>
        <sz val="16"/>
        <color rgb="FF0000FF"/>
        <rFont val="宋体"/>
        <family val="2"/>
      </rPr>
      <t>เกิน</t>
    </r>
    <r>
      <rPr>
        <b/>
        <sz val="16"/>
        <color rgb="FF0000FF"/>
        <rFont val="Arial"/>
        <family val="2"/>
      </rPr>
      <t xml:space="preserve"> 30 </t>
    </r>
    <r>
      <rPr>
        <b/>
        <sz val="16"/>
        <color rgb="FF0000FF"/>
        <rFont val="宋体"/>
        <family val="2"/>
      </rPr>
      <t>วัน</t>
    </r>
    <r>
      <rPr>
        <b/>
        <sz val="16"/>
        <color rgb="FF0000FF"/>
        <rFont val="Arial"/>
        <family val="2"/>
      </rPr>
      <t xml:space="preserve"> 2) </t>
    </r>
    <r>
      <rPr>
        <b/>
        <sz val="16"/>
        <color rgb="FF0000FF"/>
        <rFont val="宋体"/>
        <family val="2"/>
      </rPr>
      <t>ลูกหนี้ปรับปรุงโครงสร้างหนี้ที่มีปัญหา</t>
    </r>
    <r>
      <rPr>
        <b/>
        <sz val="16"/>
        <color rgb="FF0000FF"/>
        <rFont val="Arial"/>
        <family val="2"/>
      </rPr>
      <t xml:space="preserve"> TDR 3) </t>
    </r>
    <r>
      <rPr>
        <b/>
        <sz val="16"/>
        <color rgb="FF0000FF"/>
        <rFont val="宋体"/>
        <family val="2"/>
      </rPr>
      <t>ลูกหนี้ปรับปรุงโครงสร้างหนี้เชิงป้องกัน</t>
    </r>
    <r>
      <rPr>
        <b/>
        <sz val="16"/>
        <color rgb="FF0000FF"/>
        <rFont val="Arial"/>
        <family val="2"/>
      </rPr>
      <t xml:space="preserve"> (pre-emptive) 4) </t>
    </r>
    <r>
      <rPr>
        <b/>
        <sz val="16"/>
        <color rgb="FF0000FF"/>
        <rFont val="宋体"/>
        <family val="2"/>
      </rPr>
      <t>ลูกหนี้</t>
    </r>
    <r>
      <rPr>
        <b/>
        <sz val="16"/>
        <color rgb="FF0000FF"/>
        <rFont val="Arial"/>
        <family val="2"/>
      </rPr>
      <t xml:space="preserve"> Watch list </t>
    </r>
    <r>
      <rPr>
        <b/>
        <sz val="16"/>
        <color rgb="FF0000FF"/>
        <rFont val="宋体"/>
        <family val="2"/>
      </rPr>
      <t>ตัวอย่างเช่น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ลูกหนี้เคยทำ</t>
    </r>
    <r>
      <rPr>
        <b/>
        <sz val="16"/>
        <color rgb="FF0000FF"/>
        <rFont val="Arial"/>
        <family val="2"/>
      </rPr>
      <t xml:space="preserve"> TDR </t>
    </r>
    <r>
      <rPr>
        <b/>
        <sz val="16"/>
        <color rgb="FF0000FF"/>
        <rFont val="宋体"/>
        <family val="2"/>
      </rPr>
      <t>และมี</t>
    </r>
    <r>
      <rPr>
        <b/>
        <sz val="16"/>
        <color rgb="FF0000FF"/>
        <rFont val="Arial"/>
        <family val="2"/>
      </rPr>
      <t xml:space="preserve"> DPD </t>
    </r>
    <r>
      <rPr>
        <b/>
        <sz val="16"/>
        <color rgb="FF0000FF"/>
        <rFont val="宋体"/>
        <family val="2"/>
      </rPr>
      <t>เกิน</t>
    </r>
    <r>
      <rPr>
        <b/>
        <sz val="16"/>
        <color rgb="FF0000FF"/>
        <rFont val="Arial"/>
        <family val="2"/>
      </rPr>
      <t xml:space="preserve"> 30 </t>
    </r>
    <r>
      <rPr>
        <b/>
        <sz val="16"/>
        <color rgb="FF0000FF"/>
        <rFont val="宋体"/>
        <family val="2"/>
      </rPr>
      <t>วัน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ให้กรอกลูกหนี้รายนี้ในช่อง</t>
    </r>
    <r>
      <rPr>
        <b/>
        <sz val="16"/>
        <color rgb="FF0000FF"/>
        <rFont val="Arial"/>
        <family val="2"/>
      </rPr>
      <t xml:space="preserve"> 1) </t>
    </r>
    <r>
      <rPr>
        <b/>
        <sz val="16"/>
        <color rgb="FF0000FF"/>
        <rFont val="宋体"/>
        <family val="2"/>
      </rPr>
      <t>ลูกหนี้ที่มี</t>
    </r>
    <r>
      <rPr>
        <b/>
        <sz val="16"/>
        <color rgb="FF0000FF"/>
        <rFont val="Arial"/>
        <family val="2"/>
      </rPr>
      <t xml:space="preserve"> DPD </t>
    </r>
    <r>
      <rPr>
        <b/>
        <sz val="16"/>
        <color rgb="FF0000FF"/>
        <rFont val="宋体"/>
        <family val="2"/>
      </rPr>
      <t>เกิน</t>
    </r>
    <r>
      <rPr>
        <b/>
        <sz val="16"/>
        <color rgb="FF0000FF"/>
        <rFont val="Arial"/>
        <family val="2"/>
      </rPr>
      <t xml:space="preserve"> 30 </t>
    </r>
    <r>
      <rPr>
        <b/>
        <sz val="16"/>
        <color rgb="FF0000FF"/>
        <rFont val="宋体"/>
        <family val="2"/>
      </rPr>
      <t>วัน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เป็นต้น</t>
    </r>
  </si>
  <si>
    <r>
      <t xml:space="preserve">19. </t>
    </r>
    <r>
      <rPr>
        <b/>
        <sz val="16"/>
        <color rgb="FF0000FF"/>
        <rFont val="宋体"/>
        <family val="2"/>
      </rPr>
      <t>รายงานข้อมูล</t>
    </r>
    <r>
      <rPr>
        <b/>
        <sz val="16"/>
        <color rgb="FF0000FF"/>
        <rFont val="Arial"/>
        <family val="2"/>
      </rPr>
      <t xml:space="preserve"> Write off </t>
    </r>
    <r>
      <rPr>
        <b/>
        <sz val="16"/>
        <color rgb="FF0000FF"/>
        <rFont val="宋体"/>
        <family val="2"/>
      </rPr>
      <t>และการขายหนี้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ให้เป็นแบบสะสม</t>
    </r>
    <r>
      <rPr>
        <b/>
        <sz val="16"/>
        <color rgb="FF0000FF"/>
        <rFont val="Arial"/>
        <family val="2"/>
      </rPr>
      <t xml:space="preserve"> (Year to date) </t>
    </r>
    <r>
      <rPr>
        <b/>
        <sz val="16"/>
        <color rgb="FF0000FF"/>
        <rFont val="宋体"/>
        <family val="2"/>
      </rPr>
      <t>โดยนับจากเดือนแรกคือ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ม</t>
    </r>
    <r>
      <rPr>
        <b/>
        <sz val="16"/>
        <color rgb="FF0000FF"/>
        <rFont val="Arial"/>
        <family val="2"/>
      </rPr>
      <t>.</t>
    </r>
    <r>
      <rPr>
        <b/>
        <sz val="16"/>
        <color rgb="FF0000FF"/>
        <rFont val="宋体"/>
        <family val="2"/>
      </rPr>
      <t>ค</t>
    </r>
    <r>
      <rPr>
        <b/>
        <sz val="16"/>
        <color rgb="FF0000FF"/>
        <rFont val="Arial"/>
        <family val="2"/>
      </rPr>
      <t xml:space="preserve">. </t>
    </r>
    <r>
      <rPr>
        <b/>
        <sz val="16"/>
        <color rgb="FF0000FF"/>
        <rFont val="宋体"/>
        <family val="2"/>
      </rPr>
      <t>ของแต่ละปี</t>
    </r>
    <r>
      <rPr>
        <b/>
        <sz val="16"/>
        <color rgb="FF0000FF"/>
        <rFont val="Arial"/>
        <family val="2"/>
      </rPr>
      <t xml:space="preserve"> </t>
    </r>
    <r>
      <rPr>
        <b/>
        <sz val="16"/>
        <color rgb="FF0000FF"/>
        <rFont val="宋体"/>
        <family val="2"/>
      </rPr>
      <t>โดยกรอกข้อมูลการขายหนี้ตามมูลค่าที่ขายได้จริง</t>
    </r>
  </si>
  <si>
    <t>CHINA</t>
  </si>
  <si>
    <t>IFRS9 Including HQ Transaction</t>
    <phoneticPr fontId="11" type="noConversion"/>
  </si>
  <si>
    <t>IFRS9 Excluding HQ</t>
  </si>
  <si>
    <t>LII</t>
  </si>
  <si>
    <t>Principal including HQ Transaction</t>
  </si>
  <si>
    <t xml:space="preserve">Accured Interest </t>
  </si>
  <si>
    <t>%</t>
  </si>
  <si>
    <t>Principal excluding  HQ Transaction</t>
  </si>
  <si>
    <t xml:space="preserve">Accured interest </t>
  </si>
  <si>
    <t xml:space="preserve">ECL </t>
  </si>
  <si>
    <t xml:space="preserve">Principal </t>
  </si>
  <si>
    <t>Provision</t>
  </si>
  <si>
    <t>Loan to Customer</t>
  </si>
  <si>
    <t>BADD</t>
  </si>
  <si>
    <t>CADD</t>
  </si>
  <si>
    <t>Trade</t>
  </si>
  <si>
    <t>Retail project _WCD</t>
  </si>
  <si>
    <t>Retail project _AiBank</t>
  </si>
  <si>
    <t>Cushion</t>
    <phoneticPr fontId="0" type="noConversion"/>
  </si>
  <si>
    <t xml:space="preserve">Total Loan to Customer </t>
  </si>
  <si>
    <t>xx%</t>
  </si>
  <si>
    <t>WCD</t>
  </si>
  <si>
    <t>Loan to NBFI</t>
  </si>
  <si>
    <t>TBADD</t>
  </si>
  <si>
    <t>Contingent</t>
    <phoneticPr fontId="0" type="noConversion"/>
  </si>
  <si>
    <t>x%</t>
  </si>
  <si>
    <t>MM,Nostro</t>
  </si>
  <si>
    <t>Investment</t>
  </si>
  <si>
    <t>Other_accured int</t>
  </si>
  <si>
    <t>Int loan to NBFI</t>
  </si>
  <si>
    <t>total other_accured int</t>
  </si>
  <si>
    <t>Cushion</t>
  </si>
  <si>
    <t xml:space="preserve">Grand total </t>
  </si>
  <si>
    <t>Provision Ratio</t>
  </si>
  <si>
    <t>Loan to customer &amp; contingent :</t>
  </si>
  <si>
    <t>PD Weight</t>
  </si>
  <si>
    <t>EAD DRAWN</t>
  </si>
  <si>
    <t>LGD</t>
  </si>
  <si>
    <t>EAD UNDRAWN</t>
  </si>
  <si>
    <t>EAD_Contingent</t>
  </si>
  <si>
    <t>ECL unused/undrawn</t>
  </si>
  <si>
    <t>NOT_LOAN(undrawn/unused)</t>
  </si>
  <si>
    <t>ECL drawn (P)</t>
  </si>
  <si>
    <t xml:space="preserve">NOT_FIN_GUARTE </t>
  </si>
  <si>
    <t>ECL contingent</t>
  </si>
  <si>
    <t>Loan adjustment</t>
  </si>
  <si>
    <t>On Book provision</t>
  </si>
  <si>
    <t>OGL Code</t>
  </si>
  <si>
    <t xml:space="preserve">Loan outstanding </t>
  </si>
  <si>
    <t>Loan provision</t>
  </si>
  <si>
    <t>Country Risk provision</t>
  </si>
  <si>
    <t>Total provision</t>
  </si>
  <si>
    <t>Corp. Loan</t>
  </si>
  <si>
    <t>Online personal car co-lending (WCD)</t>
  </si>
  <si>
    <t>Retail Loan -Others(AiBank&amp;CUP)</t>
    <phoneticPr fontId="0" type="noConversion"/>
  </si>
  <si>
    <t>Trade Finance</t>
  </si>
  <si>
    <t xml:space="preserve">Loan to Customer </t>
  </si>
  <si>
    <t>XXx</t>
  </si>
  <si>
    <t>Loan to FI</t>
  </si>
  <si>
    <t>XXX</t>
  </si>
  <si>
    <t>Currency</t>
    <phoneticPr fontId="0" type="noConversion"/>
  </si>
  <si>
    <t>Exchange Rate</t>
    <phoneticPr fontId="0" type="noConversion"/>
  </si>
  <si>
    <t>BOT</t>
    <phoneticPr fontId="0" type="noConversion"/>
  </si>
  <si>
    <t>JPY</t>
    <phoneticPr fontId="0" type="noConversion"/>
  </si>
  <si>
    <t>Car Loan(New)_WCD_S1</t>
  </si>
  <si>
    <t>(10.2) motor vehicles and motorcycles</t>
  </si>
  <si>
    <t>Car Loan(New)_WCD_S2</t>
  </si>
  <si>
    <t>Car Loan(Used)_WCD_S1</t>
  </si>
  <si>
    <t>Car Loan(Used)_WCD_S2</t>
  </si>
  <si>
    <t>Car Loan(New)_WCD II_S1</t>
  </si>
  <si>
    <t>Car Loan(New)_WCD II_S2</t>
  </si>
  <si>
    <t>Car Loan(New)_WCD II_S3</t>
  </si>
  <si>
    <t>Car Loan(Used)_WCD II_S1</t>
  </si>
  <si>
    <t>Car Loan(Used)_WCD II_S2</t>
  </si>
  <si>
    <t>Car Loan(New)_WCD IV_S1</t>
  </si>
  <si>
    <t>Car Loan(New)_WCD IV_S2</t>
  </si>
  <si>
    <t>Car Loan(Used)_WCD IV_S1</t>
  </si>
  <si>
    <t>YIXIN_S1</t>
  </si>
  <si>
    <t>Yixin</t>
  </si>
  <si>
    <t>6.5 Other Retail Loan 1 14</t>
  </si>
  <si>
    <t>YIXIN_S2</t>
  </si>
  <si>
    <t>Personal Loan_S1</t>
  </si>
  <si>
    <t>AiBank</t>
  </si>
  <si>
    <t>(10.3) Personal</t>
  </si>
  <si>
    <t>6.4 Personal Loan 10</t>
  </si>
  <si>
    <t>XBD_S1</t>
  </si>
  <si>
    <t>XBD</t>
  </si>
  <si>
    <t>Y</t>
  </si>
  <si>
    <t>Retail project _XBD</t>
  </si>
  <si>
    <t>Retail project _Yixin</t>
  </si>
  <si>
    <t>Retail project _OffCN</t>
  </si>
  <si>
    <t xml:space="preserve"> </t>
  </si>
  <si>
    <t>Stage T</t>
  </si>
  <si>
    <t>Lifetime T</t>
  </si>
  <si>
    <t>CNY -&gt; FCY T</t>
  </si>
  <si>
    <t>CNY -&gt; THB T</t>
  </si>
  <si>
    <t>ECL_Drawn (CNY) T</t>
  </si>
  <si>
    <t>ECL_Undrawn (CNY) T</t>
  </si>
  <si>
    <t>ECL (CNY) T</t>
  </si>
  <si>
    <t>ECL_Interest (CNY) T</t>
  </si>
  <si>
    <t>Stage T-1</t>
  </si>
  <si>
    <t>Lifetime T-1</t>
  </si>
  <si>
    <t>CNY -&gt; FCY T-1</t>
  </si>
  <si>
    <t>CNY -&gt; THB T-1</t>
  </si>
  <si>
    <t>ECL_Drawn (CNY) T-1</t>
  </si>
  <si>
    <t>ECL_Undrawn (CNY) T-1</t>
  </si>
  <si>
    <t>ECL (CNY) T-1</t>
  </si>
  <si>
    <t>ECL_Interest (CNY) T-1</t>
  </si>
  <si>
    <t>ECL_Drawn&amp;Int (CNY) T</t>
  </si>
  <si>
    <t>ECL_Drawn&amp;Int (CNY) T-1</t>
  </si>
  <si>
    <t>ECL_Drawn&amp;Int (THB) T</t>
  </si>
  <si>
    <t>ECL_Drawn&amp;Int (THB) T-1</t>
  </si>
  <si>
    <t>ECL_Drawn&amp;Int RE (THB) T-1</t>
  </si>
  <si>
    <t>ECL_Drawn&amp;Int Total Change (THB)</t>
  </si>
  <si>
    <t>ECL_Drawn&amp;Int Notional Change (THB)</t>
  </si>
  <si>
    <t>ECL_Drawn&amp;Int FX Change (THB)</t>
  </si>
  <si>
    <t>ECL_Drawn&amp;Int New FA (THB)</t>
  </si>
  <si>
    <t>ECL_Drawn&amp;Int Derecognise (THB)</t>
  </si>
  <si>
    <t>ECL_Undrawn (THB) T</t>
  </si>
  <si>
    <t>ECL_Undrawn (THB) T-1</t>
  </si>
  <si>
    <t>ECL_Undrawn RE (THB) T-1</t>
  </si>
  <si>
    <t>ECL_Undrawn Total Change (THB)</t>
  </si>
  <si>
    <t>ECL_Undrawn Notional Change (THB)</t>
  </si>
  <si>
    <t>ECL_Undrawn FX Change (THB)</t>
  </si>
  <si>
    <t>ECL_Undrawn New FA (THB)</t>
  </si>
  <si>
    <t>ECL_Undrawn Derecognise (THB)</t>
  </si>
  <si>
    <t>src_chn_ac_status_qly_yyyymmdd.xlsx</t>
    <phoneticPr fontId="10" type="noConversion"/>
  </si>
  <si>
    <t>NET_PRINCIPAL_BAL</t>
  </si>
  <si>
    <t>COMPANY_CODE</t>
  </si>
  <si>
    <t>REPT_TYPE</t>
  </si>
  <si>
    <t>REPT_DATE</t>
  </si>
  <si>
    <t>REPT_ITEM</t>
  </si>
  <si>
    <t>ACCRUED_INTEREST</t>
  </si>
  <si>
    <t>LOAN_ADJUSTMENT</t>
  </si>
  <si>
    <t>EAD_DRAWN</t>
  </si>
  <si>
    <t>EAD_UNDRAWN</t>
  </si>
  <si>
    <t>PD</t>
  </si>
  <si>
    <t>KB_CHN</t>
  </si>
  <si>
    <t>PERFORMING</t>
  </si>
  <si>
    <t>UNDER_PERFORMING</t>
  </si>
  <si>
    <t>NON_PERFORMING</t>
  </si>
  <si>
    <t>src_chn_prov_ac_status_qly_yyyymmdd.xlsx</t>
    <phoneticPr fontId="10" type="noConversion"/>
  </si>
  <si>
    <t>\</t>
  </si>
  <si>
    <t>NOT_LOAN_FIN_GUARTEE</t>
  </si>
  <si>
    <t>EAD_LOAN_FIN_GUARTEE</t>
  </si>
  <si>
    <t>ALLOW_12M_ECL</t>
  </si>
  <si>
    <t>ALLOW_ECL_NOT_CR_IMPAIR</t>
  </si>
  <si>
    <t>ALLOW_ECL_CR_IMPAIR</t>
  </si>
  <si>
    <t>ALLOW_POCI</t>
  </si>
  <si>
    <t>src_chn_prov_by_type_qly_yyyymmdd.xlsx</t>
    <phoneticPr fontId="10" type="noConversion"/>
  </si>
  <si>
    <t>ECL_LOAN_FIN_GUARTEE</t>
  </si>
  <si>
    <r>
      <rPr>
        <sz val="10"/>
        <color theme="1"/>
        <rFont val="宋体"/>
        <family val="2"/>
        <charset val="134"/>
      </rPr>
      <t>รวม</t>
    </r>
    <r>
      <rPr>
        <sz val="10"/>
        <color theme="1"/>
        <rFont val="Arial"/>
        <family val="2"/>
      </rPr>
      <t xml:space="preserve"> NBFI </t>
    </r>
    <r>
      <rPr>
        <sz val="10"/>
        <color theme="1"/>
        <rFont val="宋体"/>
        <family val="2"/>
        <charset val="134"/>
      </rPr>
      <t>ด้วย</t>
    </r>
    <r>
      <rPr>
        <sz val="10"/>
        <color theme="1"/>
        <rFont val="Arial"/>
        <family val="2"/>
      </rPr>
      <t xml:space="preserve"> </t>
    </r>
  </si>
  <si>
    <t>EYEE_RETIRE_BENEFIT</t>
  </si>
  <si>
    <t>OTHER</t>
  </si>
  <si>
    <t>src_chn_allow_ecl_qly_yyyymmdd.xlsx</t>
    <phoneticPr fontId="10" type="noConversion"/>
  </si>
  <si>
    <t>12_MONTH_ECL</t>
  </si>
  <si>
    <t>FINANCIAL_ASSETS_TYPE</t>
  </si>
  <si>
    <t>ECL_NOT_CR_IMPAIR</t>
    <phoneticPr fontId="10" type="noConversion"/>
  </si>
  <si>
    <t>ECL_CR_IMPAIR</t>
  </si>
  <si>
    <t>Total</t>
    <phoneticPr fontId="10" type="noConversion"/>
  </si>
  <si>
    <t>INTERBK_MM_ASSET</t>
  </si>
  <si>
    <t>OPENING_BAL</t>
  </si>
  <si>
    <t>TFR_12M_ECL</t>
  </si>
  <si>
    <t>TFR_ECL_NOT_CR_IMPAIR</t>
  </si>
  <si>
    <t>TFR_ECL_CR_IMPAIR</t>
  </si>
  <si>
    <t>NET_REMEASURE_ECL</t>
  </si>
  <si>
    <t>NEW_FA_ORIGIN_PURC</t>
  </si>
  <si>
    <t>FA_DERECOGNISED</t>
  </si>
  <si>
    <t>WRITE_OFF</t>
  </si>
  <si>
    <t>RECOVER_WRITE_OFF</t>
  </si>
  <si>
    <t>CHG_MODEL_RISK_PARA</t>
  </si>
  <si>
    <t>FOREIGN_EXC</t>
  </si>
  <si>
    <t>TOTAL_MOVEMENT</t>
  </si>
  <si>
    <t>CLOSING_BAL</t>
  </si>
  <si>
    <t>INVESTMENT</t>
  </si>
  <si>
    <t>LOAN_TO_CUST</t>
  </si>
  <si>
    <t>LOAN_FIN_GUARTEE</t>
  </si>
  <si>
    <t>881FITF212150502</t>
  </si>
  <si>
    <t>广西北部湾银行股份有限公司</t>
  </si>
  <si>
    <t>CD0WC04212110001</t>
  </si>
  <si>
    <t>中建材信息技术股份有限公司</t>
  </si>
  <si>
    <t>CD0WC04212210001</t>
  </si>
  <si>
    <t>CD0WC04212290001</t>
  </si>
  <si>
    <t>CD0WC04212390001</t>
  </si>
  <si>
    <t>CD0WC04212860001</t>
  </si>
  <si>
    <t>合肥神州数码有限公司</t>
  </si>
  <si>
    <t>CD0WC04212880001</t>
  </si>
  <si>
    <t>CD0WC04212990001</t>
  </si>
  <si>
    <t>CD0WC04213020001</t>
  </si>
  <si>
    <t>CD0WC04213020501</t>
  </si>
  <si>
    <t>CD0WC04213080001</t>
  </si>
  <si>
    <t>CD0WC04213090001</t>
  </si>
  <si>
    <t>CD0WC04213150001</t>
  </si>
  <si>
    <t>CD0WC04213210001</t>
  </si>
  <si>
    <t>CD0WC04213300001</t>
  </si>
  <si>
    <t>CD0WC04213440001</t>
  </si>
  <si>
    <t>陕西捷登人力资源有限公司</t>
  </si>
  <si>
    <t>CD0WC04213480001</t>
  </si>
  <si>
    <t>成都交子商业保理有限公司</t>
  </si>
  <si>
    <t>CD0WC04213480002</t>
  </si>
  <si>
    <t>SH0WC04212230001</t>
  </si>
  <si>
    <t>SH0WC04212250001</t>
  </si>
  <si>
    <t>SH0WC04212290001</t>
  </si>
  <si>
    <t>SH0WC04212320001</t>
  </si>
  <si>
    <t>SH0WC04212370003</t>
  </si>
  <si>
    <t>SH0WC04212390001</t>
  </si>
  <si>
    <t>SH0WC04212430001</t>
  </si>
  <si>
    <t>SH0WC04212460001</t>
  </si>
  <si>
    <t>SH0WC04212520001</t>
  </si>
  <si>
    <t>SH0WC04212560001</t>
  </si>
  <si>
    <t>SH0WC04212600001</t>
  </si>
  <si>
    <t>上海宏信设备工程有限公司</t>
  </si>
  <si>
    <t>SH0WC04212600002</t>
  </si>
  <si>
    <t>SH0WC04212700001</t>
  </si>
  <si>
    <t>SH0WC04213020001</t>
  </si>
  <si>
    <t>SH0WC04213300001</t>
  </si>
  <si>
    <t>SH0WC04213300002</t>
  </si>
  <si>
    <t>SH0WC04213340501</t>
  </si>
  <si>
    <t>SH0WC04213370001</t>
  </si>
  <si>
    <t>SH0WC04213370501</t>
  </si>
  <si>
    <t>安睿杰翻译（上海）有限公司</t>
  </si>
  <si>
    <t>SH0WC04213370502</t>
  </si>
  <si>
    <t>SH0WC04213400001</t>
  </si>
  <si>
    <t>上实融资租赁有限公司</t>
  </si>
  <si>
    <t>SH0WC04213430501</t>
  </si>
  <si>
    <t>甘肃蓝海人力资源有限公司</t>
  </si>
  <si>
    <t>SH0WC04213440001</t>
  </si>
  <si>
    <t>SH0WC04213440501</t>
  </si>
  <si>
    <t>SH0WC04213440502</t>
  </si>
  <si>
    <t>SH0WC04213440503</t>
  </si>
  <si>
    <t>常州汇贤人力资源服务有限公司</t>
  </si>
  <si>
    <t>SH0WC04213440504</t>
  </si>
  <si>
    <t>上海陟明信息技术有限责任公司</t>
  </si>
  <si>
    <t>SH0WC04213470001</t>
  </si>
  <si>
    <t>SH0WC04213470501</t>
  </si>
  <si>
    <t>SH0WC04213480002</t>
  </si>
  <si>
    <t>百协（上海）人力资源有限公司</t>
  </si>
  <si>
    <t>SH0WC04213490001</t>
  </si>
  <si>
    <t>上海安乐网络科技有限公司</t>
  </si>
  <si>
    <t>SH0WC04213490002</t>
  </si>
  <si>
    <t>SH0WC04213490003</t>
  </si>
  <si>
    <t>SH0WC04213490502</t>
  </si>
  <si>
    <t>SH0WC04213510001</t>
  </si>
  <si>
    <t>SH0WC04213540001</t>
  </si>
  <si>
    <t>SH0WC04213540002</t>
  </si>
  <si>
    <t>山东智成达网络科技有限公司</t>
  </si>
  <si>
    <t>SH0WC04213550001</t>
  </si>
  <si>
    <t>SH0WC04213560002</t>
  </si>
  <si>
    <t>苏州豫志达企业管理服务有限公司</t>
  </si>
  <si>
    <t>SH0WC04213560501</t>
  </si>
  <si>
    <t>SH0WC04213560502</t>
  </si>
  <si>
    <t>SH0WC04213580001</t>
  </si>
  <si>
    <t>SH1WC04212230001</t>
  </si>
  <si>
    <t>SH1WC04212520001</t>
  </si>
  <si>
    <t>SH1WC04213220001</t>
  </si>
  <si>
    <t>SZ0WC04212150002</t>
  </si>
  <si>
    <t>平安国际融资租赁有限公司</t>
  </si>
  <si>
    <t>SZ0WC04212360003</t>
  </si>
  <si>
    <t>SZ0WC04212370003</t>
  </si>
  <si>
    <t>浙江新威能源贸易有限公司</t>
  </si>
  <si>
    <t>SZ0WC04212420001</t>
  </si>
  <si>
    <t>SZ0WC04212430001</t>
  </si>
  <si>
    <t>SZ0WC04212600002</t>
  </si>
  <si>
    <t>中集商业保理有限公司</t>
  </si>
  <si>
    <t>SZ0WC04212610001</t>
  </si>
  <si>
    <t>SZ0WC04212610002</t>
  </si>
  <si>
    <t>SZ0WC04212660002</t>
  </si>
  <si>
    <t>SZ0WC04212700001</t>
  </si>
  <si>
    <t>西安秉信环保包装有限公司</t>
  </si>
  <si>
    <t>SZ0WC04212730001</t>
  </si>
  <si>
    <t>SZ0WC04212870002</t>
  </si>
  <si>
    <t>SZ0WC04212880001</t>
  </si>
  <si>
    <t>SZ0WC04212880003</t>
  </si>
  <si>
    <t>中国康富国际租赁股份有限公司</t>
  </si>
  <si>
    <t>SZ0WC04212990002</t>
  </si>
  <si>
    <t>上海伟仕佳杰科技有限公司</t>
  </si>
  <si>
    <t>SZ0WC04212990004</t>
  </si>
  <si>
    <t>SZ0WC04212990005</t>
  </si>
  <si>
    <t>慧择保险经纪有限公司</t>
  </si>
  <si>
    <t>SZ0WC04213020001</t>
  </si>
  <si>
    <t>(12) Other (Information and communication)</t>
  </si>
  <si>
    <t>SZ0WC04213020002</t>
  </si>
  <si>
    <t>SZ0WC04213020003</t>
  </si>
  <si>
    <t>SZ0WC04213090001</t>
  </si>
  <si>
    <t>SZ0WC04213150001</t>
  </si>
  <si>
    <t>SZ0WC04213210001</t>
  </si>
  <si>
    <t>SZ0WC04213220001</t>
  </si>
  <si>
    <t>SZ0WC04213300001</t>
  </si>
  <si>
    <t>黑龙江正大实业有限公司</t>
  </si>
  <si>
    <t>SZ0WC04213340002</t>
  </si>
  <si>
    <t>宁沪商业保理（广州）有限公司</t>
  </si>
  <si>
    <t>SZ0WC04213360001</t>
  </si>
  <si>
    <t>深圳前海盈峰商业保理有限公司</t>
  </si>
  <si>
    <t>SZ0WC04213360501</t>
  </si>
  <si>
    <t>SZ0WC04213410001</t>
  </si>
  <si>
    <t>深圳市富龙小额贷款有限公司</t>
  </si>
  <si>
    <t>SZ0WC04213430002</t>
  </si>
  <si>
    <t>SZ0WC04213440002</t>
  </si>
  <si>
    <t>江苏通用科技股份有限公司</t>
  </si>
  <si>
    <t>SZ0WC04213440003</t>
  </si>
  <si>
    <t>保达实业（深圳）有限公司</t>
  </si>
  <si>
    <t>SZ0WC04213500001</t>
  </si>
  <si>
    <t>SZ0WC04213570001</t>
  </si>
  <si>
    <t>广州易初莲花连锁超市有限公司</t>
  </si>
  <si>
    <t>SZ0WC04213580001</t>
  </si>
  <si>
    <t>SZ0WC04213580501</t>
  </si>
  <si>
    <t>SZ1WC04213010002</t>
  </si>
  <si>
    <t>SZ1WC04213010003</t>
  </si>
  <si>
    <t>‭SZ0CA02212730002‬</t>
  </si>
  <si>
    <t>中山市茂腾金属制品有限公司</t>
  </si>
  <si>
    <t>‭SZ0CA02212870001‬</t>
  </si>
  <si>
    <t>深圳市拓普泰克技术股份有限公司</t>
  </si>
  <si>
    <t>‭SZ0CA02212920001‬</t>
  </si>
  <si>
    <t>珠海市华亚机械科技有限公司</t>
  </si>
  <si>
    <t>‭SZ0CA02212940001‬</t>
  </si>
  <si>
    <t>广东广深环保科技股份有限公司</t>
  </si>
  <si>
    <t>‭SZ0CA02213000001‬</t>
  </si>
  <si>
    <t>佛山市飞元科技有限公司</t>
  </si>
  <si>
    <t>‭SZ0CA02213080001‬</t>
  </si>
  <si>
    <t>深圳市邦安精密机械有限公司</t>
  </si>
  <si>
    <t>881MP11213610001</t>
  </si>
  <si>
    <t>880LP02213610001</t>
  </si>
  <si>
    <t>招商永隆银行有限公司深圳分行</t>
  </si>
  <si>
    <t>880NBFI212100002</t>
  </si>
  <si>
    <t>880NBFI212110001</t>
  </si>
  <si>
    <t>880NBFI212150501</t>
  </si>
  <si>
    <t>880NBFI212230001</t>
  </si>
  <si>
    <t>880NBFI212290002</t>
  </si>
  <si>
    <t>880NBFI212360001</t>
  </si>
  <si>
    <t>厦门金美信消费金融有限责任公司</t>
  </si>
  <si>
    <t>880NBFI212360501</t>
  </si>
  <si>
    <t>880NBFI212580002</t>
  </si>
  <si>
    <t>880NBFI212610002</t>
  </si>
  <si>
    <t>海尔消费金融有限公司</t>
  </si>
  <si>
    <t>880NBFI212610005</t>
  </si>
  <si>
    <t>山东汇通金融租赁有限公司</t>
  </si>
  <si>
    <t>880NBFI212650001</t>
  </si>
  <si>
    <t>880NBFI212690001</t>
  </si>
  <si>
    <t>重庆小米消费金融有限公司</t>
  </si>
  <si>
    <t>880NBFI212700002</t>
  </si>
  <si>
    <t>中煤科工金融租赁股份有限公司</t>
  </si>
  <si>
    <t>880NBFI212710001</t>
  </si>
  <si>
    <t>880NBFI212720001</t>
  </si>
  <si>
    <t>880NBFI212720002</t>
  </si>
  <si>
    <t>兴业消费金融股份公司</t>
  </si>
  <si>
    <t>880NBFI212730001</t>
  </si>
  <si>
    <t>880NBFI212860002</t>
  </si>
  <si>
    <t>880NBFI212920001</t>
  </si>
  <si>
    <t>880NBFI213260004</t>
  </si>
  <si>
    <t>880NBFI213300501</t>
  </si>
  <si>
    <t>880NBFI213330001</t>
  </si>
  <si>
    <t>农银金融租赁有限公司</t>
  </si>
  <si>
    <t>880NBFI213340001</t>
  </si>
  <si>
    <t>880NBFI213490002</t>
  </si>
  <si>
    <t>880NBFI213580004</t>
  </si>
  <si>
    <t>四川省唯品富邦消费金融有限公司</t>
  </si>
  <si>
    <t>880NBFI213580006</t>
  </si>
  <si>
    <t>400000000025935</t>
  </si>
  <si>
    <t>深圳前海微众银行股份有限公司-信保贷</t>
  </si>
  <si>
    <t>SZ1EXTL213550001</t>
  </si>
  <si>
    <t>锐伟通讯技术有限公司</t>
  </si>
  <si>
    <t>TF</t>
  </si>
  <si>
    <t>SZ1EXTL213610002</t>
  </si>
  <si>
    <t>400200000014727</t>
  </si>
  <si>
    <t>中国人民银行深圳市中心支行</t>
  </si>
  <si>
    <t>400200000015399</t>
  </si>
  <si>
    <t>中国人民银行深圳市中心支行境外银行准备金</t>
  </si>
  <si>
    <t>400100000014844</t>
  </si>
  <si>
    <t>160004_H2</t>
  </si>
  <si>
    <t>160010_H1</t>
  </si>
  <si>
    <t>160010_H2</t>
  </si>
  <si>
    <t>160017_H1</t>
  </si>
  <si>
    <t>160017_H2</t>
  </si>
  <si>
    <t>160023_H1</t>
  </si>
  <si>
    <t>160023_H2</t>
  </si>
  <si>
    <t>160023_H3</t>
  </si>
  <si>
    <t>210008_A1</t>
  </si>
  <si>
    <t>210008_A2</t>
  </si>
  <si>
    <t>210008_A3</t>
  </si>
  <si>
    <t>210011_H1</t>
  </si>
  <si>
    <t>210011_H2</t>
  </si>
  <si>
    <t>210011_H3</t>
  </si>
  <si>
    <t>210011_H4</t>
  </si>
  <si>
    <t>210011_H5</t>
  </si>
  <si>
    <t>210011_H6</t>
  </si>
  <si>
    <t>210011_H7</t>
  </si>
  <si>
    <t>210011_H8</t>
  </si>
  <si>
    <t>219933_H1</t>
  </si>
  <si>
    <t>219949_H1</t>
  </si>
  <si>
    <t>219954_H1</t>
  </si>
  <si>
    <t>SH0FC01212090001</t>
  </si>
  <si>
    <t>SH0FC01212090002</t>
  </si>
  <si>
    <t>SH0FC01212090003</t>
  </si>
  <si>
    <t>SH0FC01212100001</t>
  </si>
  <si>
    <t>SH0FC01212100002</t>
  </si>
  <si>
    <t>SH0FC01212100003</t>
  </si>
  <si>
    <t>广州市大影易科技有限公司</t>
  </si>
  <si>
    <t>SH0FC01212150001</t>
  </si>
  <si>
    <t>SH0FC01212150002</t>
  </si>
  <si>
    <t>SH0FC01212180001</t>
  </si>
  <si>
    <t>SH0FC01212240001</t>
  </si>
  <si>
    <t>SH0FC01212240002</t>
  </si>
  <si>
    <t>SH0FC01212380001</t>
  </si>
  <si>
    <t>SH0FC01212380002</t>
  </si>
  <si>
    <t>SH0FC01212390001</t>
  </si>
  <si>
    <t>SH0FC01212390002</t>
  </si>
  <si>
    <t>SH0FC01212570006</t>
  </si>
  <si>
    <t>北京智信恒诚科技有限公司</t>
  </si>
  <si>
    <t>SH0FC01212570007</t>
  </si>
  <si>
    <t>SH0FC01212850001</t>
  </si>
  <si>
    <t>SH0FC01213020001</t>
  </si>
  <si>
    <t>SH0FC01213360002</t>
  </si>
  <si>
    <t>SH0FC01213480001</t>
  </si>
  <si>
    <t>广东台诚数控机械有限公司</t>
  </si>
  <si>
    <t>SH0FC01213550001</t>
  </si>
  <si>
    <t>SZ0FC01212320008</t>
  </si>
  <si>
    <t>SZ0FC01212360001</t>
  </si>
  <si>
    <t>深圳市胜荣辉贸易有限公司</t>
  </si>
  <si>
    <t>SZ0FC01212360002</t>
  </si>
  <si>
    <t>上海宁尔环保科技有限公司</t>
  </si>
  <si>
    <t>SZ0FC01212360003</t>
  </si>
  <si>
    <t>SZ0FC01212360004</t>
  </si>
  <si>
    <t>SZ0FC01212380001</t>
  </si>
  <si>
    <t>深圳前海智慧集势实业有限公司</t>
  </si>
  <si>
    <t>SZ0FC01212380002</t>
  </si>
  <si>
    <t>SZ0FC01212440007</t>
  </si>
  <si>
    <t>SZ0FC01212440009</t>
  </si>
  <si>
    <t>广东福生国际贸易有限公司</t>
  </si>
  <si>
    <t>SZ0FC01212440011</t>
  </si>
  <si>
    <t>广州市茂衡国际贸易有限责任公司</t>
  </si>
  <si>
    <t>SZ0FC01212440012</t>
  </si>
  <si>
    <t>上海锐芙贸易有限公司</t>
  </si>
  <si>
    <t>SZ0FC01212440013</t>
  </si>
  <si>
    <t>北京艾鲜美贸易有限公司</t>
  </si>
  <si>
    <t>SZ0FC01212600001</t>
  </si>
  <si>
    <t>SZ0FC01212600002</t>
  </si>
  <si>
    <t>SZ0FC01212600003</t>
  </si>
  <si>
    <t>SZ0FC01212600004</t>
  </si>
  <si>
    <t>广州山珍海味食品有限公司</t>
  </si>
  <si>
    <t>SZ0FC01212650002</t>
  </si>
  <si>
    <t>上海乐美文具有限公司</t>
  </si>
  <si>
    <t>SZ0FC01212650003</t>
  </si>
  <si>
    <t>SZ0FC01212710001</t>
  </si>
  <si>
    <t>广州市琪宝贸易有限公司</t>
  </si>
  <si>
    <t>SZ0FC01212710002</t>
  </si>
  <si>
    <t>SZ0FC01212710003</t>
  </si>
  <si>
    <t>深圳市佳鑫业贸易有限公司</t>
  </si>
  <si>
    <t>SZ0FC01212710004</t>
  </si>
  <si>
    <t>SZ0FC01212710005</t>
  </si>
  <si>
    <t>SZ0FC01212710006</t>
  </si>
  <si>
    <t>SZ0FC01212710007</t>
  </si>
  <si>
    <t>SZ0FC01212710008</t>
  </si>
  <si>
    <t>SZ0FC01212710009</t>
  </si>
  <si>
    <t>SZ0FC01212730001</t>
  </si>
  <si>
    <t>SZ0FC01212730002</t>
  </si>
  <si>
    <t>SZ0FC01212730003</t>
  </si>
  <si>
    <t>SZ0FC01212730004</t>
  </si>
  <si>
    <t>中山市络华制衣有限公司</t>
  </si>
  <si>
    <t>SZ0FC01212730005</t>
  </si>
  <si>
    <t>SZ0FC01212730006</t>
  </si>
  <si>
    <t>SZ0FC01212730007</t>
  </si>
  <si>
    <t>SZ0FC01212730008</t>
  </si>
  <si>
    <t>SZ0FC01212730009</t>
  </si>
  <si>
    <t>SZ0FC01212730010</t>
  </si>
  <si>
    <t>广州市震强贸易有限公司</t>
  </si>
  <si>
    <t>SZ0FC01212810001</t>
  </si>
  <si>
    <t>广州市鋈达日用品有限公司</t>
  </si>
  <si>
    <t>SZ0FC01212840001</t>
  </si>
  <si>
    <t>SZ0FC01212840002</t>
  </si>
  <si>
    <t>SZ0FC01212860001</t>
  </si>
  <si>
    <t>深圳市麦士金实业有限公司</t>
  </si>
  <si>
    <t>SZ0FC01212860002</t>
  </si>
  <si>
    <t>广州鼎超酒业有限公司</t>
  </si>
  <si>
    <t>SZ0FC01212870001</t>
  </si>
  <si>
    <t>SZ0FC01212880001</t>
  </si>
  <si>
    <t>SZ0FC01212880002</t>
  </si>
  <si>
    <t>SZ0FC01212920001</t>
  </si>
  <si>
    <t>SZ0FC01212920002</t>
  </si>
  <si>
    <t>SZ0FC01212920003</t>
  </si>
  <si>
    <t>SZ0FC01212920004</t>
  </si>
  <si>
    <t>SZ0FC01212920005</t>
  </si>
  <si>
    <t>SZ0FC01212930001</t>
  </si>
  <si>
    <t>SZ0FC01212930002</t>
  </si>
  <si>
    <t>SZ0FC01212930003</t>
  </si>
  <si>
    <t>SZ0FC01212940001</t>
  </si>
  <si>
    <t>SZ0FC01212940002</t>
  </si>
  <si>
    <t>SZ0FC01212940003</t>
  </si>
  <si>
    <t>SZ0FC01212940004</t>
  </si>
  <si>
    <t>SZ0FC01212940005</t>
  </si>
  <si>
    <t>SZ0FC01212940006</t>
  </si>
  <si>
    <t>SZ0FC01212940007</t>
  </si>
  <si>
    <t>SZ0FC01212940008</t>
  </si>
  <si>
    <t>SZ0FC01212940009</t>
  </si>
  <si>
    <t>上海申威塑胶制品有限公司</t>
  </si>
  <si>
    <t>SZ0FC01212940011</t>
  </si>
  <si>
    <t>SZ0FC01212940012</t>
  </si>
  <si>
    <t>SZ0FC01212940013</t>
  </si>
  <si>
    <t>SZ0FC01212950001</t>
  </si>
  <si>
    <t>SZ0FC01212950002</t>
  </si>
  <si>
    <t>SZ0FC01212950003</t>
  </si>
  <si>
    <t>SZ0FC01212950006</t>
  </si>
  <si>
    <t>SZ0FC01212950007</t>
  </si>
  <si>
    <t>SZ0FC01212950008</t>
  </si>
  <si>
    <t>SZ0FC01212950009</t>
  </si>
  <si>
    <t>SZ0FC01212950010</t>
  </si>
  <si>
    <t>SZ0FC01212950011</t>
  </si>
  <si>
    <t>SZ0FC01212950012</t>
  </si>
  <si>
    <t>SZ0FC01212950013</t>
  </si>
  <si>
    <t>SZ0FC01212950014</t>
  </si>
  <si>
    <t>SZ0FC01212950015</t>
  </si>
  <si>
    <t>SZ0FC01212950016</t>
  </si>
  <si>
    <t>SZ0FC01212950017</t>
  </si>
  <si>
    <t>SZ0FC01212950018</t>
  </si>
  <si>
    <t>SZ0FC01212980002</t>
  </si>
  <si>
    <t>SZ0FC01212980003</t>
  </si>
  <si>
    <t>SZ0FC01212980004</t>
  </si>
  <si>
    <t>广州润上贸易有限公司</t>
  </si>
  <si>
    <t>SZ0FC01212980005</t>
  </si>
  <si>
    <t>SZ0FC01212980006</t>
  </si>
  <si>
    <t>SZ0FC01212980007</t>
  </si>
  <si>
    <t>SZ0FC01212980008</t>
  </si>
  <si>
    <t>SZ0FC01212990002</t>
  </si>
  <si>
    <t>SZ0FC01212990003</t>
  </si>
  <si>
    <t>SZ0FC01213000002</t>
  </si>
  <si>
    <t>SZ0FC01213000003</t>
  </si>
  <si>
    <t>SZ0FC01213000004</t>
  </si>
  <si>
    <t>SZ0FC01213000005</t>
  </si>
  <si>
    <t>SZ0FC01213000006</t>
  </si>
  <si>
    <t>SZ0FC01213000007</t>
  </si>
  <si>
    <t>SZ0FC01213000008</t>
  </si>
  <si>
    <t>SZ0FC01213000009</t>
  </si>
  <si>
    <t>SZ0FC01213000010</t>
  </si>
  <si>
    <t>SZ0FC01213000011</t>
  </si>
  <si>
    <t>SZ0FC01213010001</t>
  </si>
  <si>
    <t>SZ0FC01213010002</t>
  </si>
  <si>
    <t>SZ0FC01213010003</t>
  </si>
  <si>
    <t>SZ0FC01213010004</t>
  </si>
  <si>
    <t>湖州市对外贸易股份有限公司</t>
  </si>
  <si>
    <t>SZ0FC01213010005</t>
  </si>
  <si>
    <t>SZ0FC01213020001</t>
  </si>
  <si>
    <t>SZ0FC01213020002</t>
  </si>
  <si>
    <t>SZ0FC01213020003</t>
  </si>
  <si>
    <t>广东有孚农业食品有限公司</t>
  </si>
  <si>
    <t>SZ0FC01213020004</t>
  </si>
  <si>
    <t>SZ0FC01213020005</t>
  </si>
  <si>
    <t>SZ0FC01213020006</t>
  </si>
  <si>
    <t>SZ0FC01213020007</t>
  </si>
  <si>
    <t>SZ0FC01213070001</t>
  </si>
  <si>
    <t>SZ0FC01213070002</t>
  </si>
  <si>
    <t>SZ0FC01213120003</t>
  </si>
  <si>
    <t>SZ0FC01213120004</t>
  </si>
  <si>
    <t>SZ0FC01213120005</t>
  </si>
  <si>
    <t>SZ0FC01213140001</t>
  </si>
  <si>
    <t>SZ0FC01213140002</t>
  </si>
  <si>
    <t>SZ0FC01213140003</t>
  </si>
  <si>
    <t>SZ0FC01213140004</t>
  </si>
  <si>
    <t>SZ0FC01213140005</t>
  </si>
  <si>
    <t>SZ0FC01213140006</t>
  </si>
  <si>
    <t>SZ0FC01213140007</t>
  </si>
  <si>
    <t>正大食品（襄阳）有限公司</t>
  </si>
  <si>
    <t>SZ0FC01213160001</t>
  </si>
  <si>
    <t>湖州亿米供应链科技有限公司</t>
  </si>
  <si>
    <t>SZ0FC01213210001</t>
  </si>
  <si>
    <t>上海优牧国际贸易有限公司</t>
  </si>
  <si>
    <t>SZ0FC01213210002</t>
  </si>
  <si>
    <t>SZ0FC01213260001</t>
  </si>
  <si>
    <t>SZ0FC01213260002</t>
  </si>
  <si>
    <t>SZ0FC01213420001</t>
  </si>
  <si>
    <t>SZ0FC01213420501</t>
  </si>
  <si>
    <t>SZ0FC01213420502</t>
  </si>
  <si>
    <t>SZ0FC01213420503</t>
  </si>
  <si>
    <t>SZ0FC01213430001</t>
  </si>
  <si>
    <t>SZ0FC01213430002</t>
  </si>
  <si>
    <t>上海御华果品有限公司</t>
  </si>
  <si>
    <t>SZ0FC01213430003</t>
  </si>
  <si>
    <t>上海洁蔻日用化学品有限公司</t>
  </si>
  <si>
    <t>SZ0FC01213430004</t>
  </si>
  <si>
    <t>上海丽昆楼食品有限公司</t>
  </si>
  <si>
    <t>SZ0FC01213440001</t>
  </si>
  <si>
    <t>福建仁达渔业资源开发有限公司</t>
  </si>
  <si>
    <t>SZ0FC01213440002</t>
  </si>
  <si>
    <t>SZ0FC01213440003</t>
  </si>
  <si>
    <t>SZ0FC01213440004</t>
  </si>
  <si>
    <t>SZ0FC01213440005</t>
  </si>
  <si>
    <t>济南舜德隆商贸有限公司</t>
  </si>
  <si>
    <t>SZ0FC01213440006</t>
  </si>
  <si>
    <t>上海鑫时行商贸有限公司</t>
  </si>
  <si>
    <t>SZ0FC01213440007</t>
  </si>
  <si>
    <t>SZ0FC01213440008</t>
  </si>
  <si>
    <t>杭州三联商贸有限公司</t>
  </si>
  <si>
    <t>SZ0FC01213440501</t>
  </si>
  <si>
    <t>SZ0FC01213480001</t>
  </si>
  <si>
    <t>上海悠祥贸易有限公司</t>
  </si>
  <si>
    <t>SZ0FC01213480002</t>
  </si>
  <si>
    <t>重庆食在家餐饮管理有限公司</t>
  </si>
  <si>
    <t>SZ0FC01213480003</t>
  </si>
  <si>
    <t>SZ0FC01213480501</t>
  </si>
  <si>
    <t>上海能的贸易有限公司</t>
  </si>
  <si>
    <t>SZ0FC01213480502</t>
  </si>
  <si>
    <t>上海百展实业有限公司</t>
  </si>
  <si>
    <t>SZ0FC01213480503</t>
  </si>
  <si>
    <t>SZ0FC01213490001</t>
  </si>
  <si>
    <t>上海东浪粮油工业有限公司</t>
  </si>
  <si>
    <t>SZ0FC01213490002</t>
  </si>
  <si>
    <t>北京合和鑫商贸有限公司</t>
  </si>
  <si>
    <t>SZ0FC01213490003</t>
  </si>
  <si>
    <t>山东健先商贸有限公司</t>
  </si>
  <si>
    <t>SZ0FC01213490501</t>
  </si>
  <si>
    <t>西安合众和餐饮管理有限公司</t>
  </si>
  <si>
    <t>SZ0FC01213490502</t>
  </si>
  <si>
    <t>北京口口得贸易有限公司</t>
  </si>
  <si>
    <t>SZ0FC01213490503</t>
  </si>
  <si>
    <t>池州市长山生态农业旅游开发有限公司</t>
  </si>
  <si>
    <t>SZ0FC01213500001</t>
  </si>
  <si>
    <t>上海锦沪酒店管理有限公司</t>
  </si>
  <si>
    <t>SZ0FC01213500002</t>
  </si>
  <si>
    <t>广州美珑美利家居用品有限公司</t>
  </si>
  <si>
    <t>SZ0FC01213500501</t>
  </si>
  <si>
    <t>深圳市鑫龙港记食品有限公司</t>
  </si>
  <si>
    <t>SZ0FC01213510001</t>
  </si>
  <si>
    <t>上海简优商贸有限公司</t>
  </si>
  <si>
    <t>SZ0FC01213540001</t>
  </si>
  <si>
    <t>天津嘉百味餐饮管理有限公司</t>
  </si>
  <si>
    <t>SZ0FC01213570001</t>
  </si>
  <si>
    <t>SZ0FC01213570002</t>
  </si>
  <si>
    <t>上海尼卡其诺食品销售有限公司</t>
  </si>
  <si>
    <t>SZ0FC01213570003</t>
  </si>
  <si>
    <t>青岛日正商贸有限公司</t>
  </si>
  <si>
    <t>SZ0FC01213570004</t>
  </si>
  <si>
    <t>弥杰贸易（上海）有限公司</t>
  </si>
  <si>
    <t>SZ0FC01213570005</t>
  </si>
  <si>
    <t>SZ0FC01213570006</t>
  </si>
  <si>
    <t>SZ0FC01213580501</t>
  </si>
  <si>
    <t>SZ0FC01213610001</t>
  </si>
  <si>
    <t>SZ0SBC1212220001</t>
  </si>
  <si>
    <t>SZ0SBC1212220002</t>
  </si>
  <si>
    <t>SZ0SBC1212220501</t>
  </si>
  <si>
    <t>SZ0SBC1212220502</t>
  </si>
  <si>
    <t>SZ0SBC1212380001</t>
  </si>
  <si>
    <t>SZ0SBC1212380002</t>
  </si>
  <si>
    <t>SZ0SBC1212390001</t>
  </si>
  <si>
    <t>SZ0SBC1212500001</t>
  </si>
  <si>
    <t>SZ0SBC1212500002</t>
  </si>
  <si>
    <t>SZ0SBC1212560001</t>
  </si>
  <si>
    <t>SZ0SBC1212590001</t>
  </si>
  <si>
    <t>SZ0SBC1212670001</t>
  </si>
  <si>
    <t>SZ0SBC1213400001</t>
  </si>
  <si>
    <t>SZ0SBC1213470001</t>
  </si>
  <si>
    <t>SZ0SBC1213470501</t>
  </si>
  <si>
    <t>SZ1SBC1212090001</t>
  </si>
  <si>
    <t>SZ1SBC1212220001</t>
  </si>
  <si>
    <t>SZ1SBC1212220003</t>
  </si>
  <si>
    <t>SZ1SBC1212220501</t>
  </si>
  <si>
    <t>SZ1SBC1212290001</t>
  </si>
  <si>
    <t>SZ1SBC1212290002</t>
  </si>
  <si>
    <t>SZ1SBC1212310001</t>
  </si>
  <si>
    <t>SZ1SBC1212320001</t>
  </si>
  <si>
    <t>SZ1SBC1212380001</t>
  </si>
  <si>
    <t>SZ1SBC1212380002</t>
  </si>
  <si>
    <t>SZ1SBC1212380003</t>
  </si>
  <si>
    <t>SZ1SBC1212380004</t>
  </si>
  <si>
    <t>SZ1SBC1212500003</t>
  </si>
  <si>
    <t>SZ1SBC1212520001</t>
  </si>
  <si>
    <t>SZ1SBC1212520002</t>
  </si>
  <si>
    <t>SZ1SBC1212530001</t>
  </si>
  <si>
    <t>SZ1SBC1212530002</t>
  </si>
  <si>
    <t>SZ1SBC1212590001</t>
  </si>
  <si>
    <t>SZ1SBC1212590002</t>
  </si>
  <si>
    <t>SZ1SBC1212600001</t>
  </si>
  <si>
    <t>SZ1SBC1212600002</t>
  </si>
  <si>
    <t>SZ1SBC1212600003</t>
  </si>
  <si>
    <t>SZ1SBC1212650001</t>
  </si>
  <si>
    <t>SZ1SBC1213430001</t>
  </si>
  <si>
    <t>SZ1SBC1213430002</t>
  </si>
  <si>
    <t>SZ1SBC1213430004</t>
  </si>
  <si>
    <t>SZ1SBC1213550001</t>
  </si>
  <si>
    <t>红海人力</t>
  </si>
  <si>
    <t>长城滨银汽车金融</t>
  </si>
  <si>
    <t>仲利贸易</t>
  </si>
  <si>
    <t>千玺</t>
  </si>
  <si>
    <t>海尔消金</t>
  </si>
  <si>
    <t>2. Private Enterprises</t>
    <phoneticPr fontId="61" type="noConversion"/>
  </si>
  <si>
    <t xml:space="preserve"> SZ1SBC1202970002</t>
  </si>
  <si>
    <t>SZ0SBC1213330501</t>
  </si>
  <si>
    <t>SZ0SBC2213270501</t>
  </si>
  <si>
    <t>(4) Manufacturing</t>
  </si>
  <si>
    <t>Cushion in china</t>
    <phoneticPr fontId="61" type="noConversion"/>
  </si>
  <si>
    <t>MM,Nostro,PBOC</t>
    <phoneticPr fontId="61" type="noConversion"/>
  </si>
  <si>
    <t>Factoring</t>
    <phoneticPr fontId="61" type="noConversion"/>
  </si>
  <si>
    <t>Kbank_CN Actual Provision</t>
    <phoneticPr fontId="61" type="noConversion"/>
  </si>
  <si>
    <t>Floor rate</t>
  </si>
  <si>
    <t>5-classification</t>
  </si>
  <si>
    <t>Additional floor rate</t>
  </si>
  <si>
    <t>Special Mention</t>
  </si>
  <si>
    <t>Substandard</t>
  </si>
  <si>
    <t>Doubtful</t>
  </si>
  <si>
    <t>Loss</t>
  </si>
  <si>
    <t>ECL CBIRC (THB)</t>
  </si>
  <si>
    <t>Outstanding &amp; Interest (THB)</t>
  </si>
  <si>
    <t>Higher ECL (THB)</t>
  </si>
  <si>
    <t>OffCN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</si>
</sst>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0.0%"/>
    <numFmt numFmtId="165" formatCode="0.00000"/>
    <numFmt numFmtId="166" formatCode="0.0000"/>
    <numFmt numFmtId="167" formatCode="_(* #,##0_);_(* \(#,##0\);_(* &quot;-&quot;??_);_(@_)"/>
    <numFmt numFmtId="168" formatCode="[$SGD]\ #,##0.00_);[Red]\([$SGD]\ #,##0.00\)"/>
    <numFmt numFmtId="169" formatCode="_(* #,##0.000_);_(* \(#,##0.000\);_(* &quot;-&quot;??_);_(@_)"/>
    <numFmt numFmtId="170" formatCode="0.000%"/>
    <numFmt numFmtId="171" formatCode="_-* #,##0.00_-;\-* #,##0.00_-;_-* &quot;-&quot;??_-;_-@_-"/>
    <numFmt numFmtId="172" formatCode="000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BrowalliaUPC"/>
      <family val="2"/>
      <charset val="222"/>
    </font>
    <font>
      <b/>
      <sz val="10"/>
      <color theme="1"/>
      <name val="Arial"/>
      <family val="2"/>
    </font>
    <font>
      <b/>
      <sz val="10"/>
      <color theme="1"/>
      <name val="宋体"/>
      <family val="2"/>
    </font>
    <font>
      <sz val="10"/>
      <color theme="1"/>
      <name val="Arial"/>
      <family val="2"/>
    </font>
    <font>
      <sz val="10"/>
      <color theme="1"/>
      <name val="Calibri Light"/>
      <family val="2"/>
      <scheme val="major"/>
    </font>
    <font>
      <b/>
      <sz val="10"/>
      <color rgb="FF000000"/>
      <name val="Arial"/>
      <family val="2"/>
    </font>
    <font>
      <b/>
      <sz val="10"/>
      <color rgb="FF000000"/>
      <name val="宋体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0"/>
      <name val="宋体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 tint="0.499984740745262"/>
      <name val="Arial"/>
      <family val="2"/>
    </font>
    <font>
      <sz val="10"/>
      <color theme="1" tint="0.499984740745262"/>
      <name val="宋体"/>
      <family val="2"/>
    </font>
    <font>
      <sz val="10"/>
      <color rgb="FFFF0000"/>
      <name val="Calibri Light"/>
      <family val="2"/>
      <scheme val="major"/>
    </font>
    <font>
      <b/>
      <sz val="10"/>
      <color theme="1" tint="0.499984740745262"/>
      <name val="Arial"/>
      <family val="2"/>
    </font>
    <font>
      <sz val="10"/>
      <color theme="1" tint="0.499984740745262"/>
      <name val="Calibri Light"/>
      <family val="2"/>
      <scheme val="major"/>
    </font>
    <font>
      <sz val="10"/>
      <name val="Arial"/>
      <family val="2"/>
    </font>
    <font>
      <sz val="10"/>
      <name val="宋体"/>
      <family val="2"/>
    </font>
    <font>
      <sz val="11"/>
      <color theme="1"/>
      <name val="Calibri"/>
      <family val="2"/>
      <charset val="134"/>
      <scheme val="minor"/>
    </font>
    <font>
      <sz val="10"/>
      <color theme="1" tint="0.499984740745262"/>
      <name val="宋体"/>
      <family val="2"/>
      <charset val="134"/>
    </font>
    <font>
      <b/>
      <sz val="18"/>
      <name val="Arial"/>
      <family val="2"/>
    </font>
    <font>
      <b/>
      <sz val="18"/>
      <name val="宋体"/>
      <family val="2"/>
    </font>
    <font>
      <sz val="10"/>
      <name val="Calibri Light"/>
      <family val="2"/>
      <scheme val="major"/>
    </font>
    <font>
      <sz val="16"/>
      <color rgb="FF0000FF"/>
      <name val="Arial"/>
      <family val="2"/>
    </font>
    <font>
      <b/>
      <u/>
      <sz val="16"/>
      <color rgb="FF0000FF"/>
      <name val="Arial"/>
      <family val="2"/>
    </font>
    <font>
      <b/>
      <u/>
      <sz val="16"/>
      <color rgb="FF0000FF"/>
      <name val="宋体"/>
      <family val="2"/>
    </font>
    <font>
      <b/>
      <sz val="16"/>
      <color rgb="FF0000FF"/>
      <name val="Arial"/>
      <family val="2"/>
    </font>
    <font>
      <b/>
      <sz val="16"/>
      <color rgb="FF0000FF"/>
      <name val="宋体"/>
      <family val="2"/>
    </font>
    <font>
      <sz val="16"/>
      <color rgb="FF0000FF"/>
      <name val="Calibri Light"/>
      <family val="2"/>
      <scheme val="major"/>
    </font>
    <font>
      <b/>
      <u/>
      <sz val="16"/>
      <name val="Arial"/>
      <family val="2"/>
    </font>
    <font>
      <b/>
      <u/>
      <sz val="16"/>
      <name val="宋体"/>
      <family val="2"/>
    </font>
    <font>
      <b/>
      <sz val="16"/>
      <name val="宋体"/>
      <family val="2"/>
    </font>
    <font>
      <b/>
      <sz val="16"/>
      <name val="Arial"/>
      <family val="2"/>
    </font>
    <font>
      <b/>
      <u/>
      <sz val="16"/>
      <color indexed="12"/>
      <name val="宋体"/>
      <family val="2"/>
    </font>
    <font>
      <b/>
      <sz val="16"/>
      <color indexed="12"/>
      <name val="宋体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3"/>
      <charset val="134"/>
      <scheme val="minor"/>
    </font>
    <font>
      <sz val="11"/>
      <color rgb="FFFF0000"/>
      <name val="Calibri"/>
      <family val="2"/>
      <charset val="222"/>
      <scheme val="minor"/>
    </font>
    <font>
      <sz val="10"/>
      <color theme="0"/>
      <name val="Arial"/>
      <family val="2"/>
    </font>
    <font>
      <sz val="10"/>
      <color theme="1"/>
      <name val="宋体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E8F3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theme="0" tint="-0.14996795556505021"/>
      </bottom>
      <diagonal/>
    </border>
    <border>
      <left/>
      <right style="thin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thin">
        <color indexed="64"/>
      </left>
      <right/>
      <top style="medium">
        <color indexed="64"/>
      </top>
      <bottom style="dotted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14996795556505021"/>
      </bottom>
      <diagonal/>
    </border>
    <border>
      <left style="thin">
        <color indexed="64"/>
      </left>
      <right/>
      <top/>
      <bottom style="dotted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theme="0" tint="-0.14996795556505021"/>
      </bottom>
      <diagonal/>
    </border>
    <border>
      <left style="medium">
        <color indexed="64"/>
      </left>
      <right/>
      <top/>
      <bottom style="dotted">
        <color theme="0" tint="-0.149967955565050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tted">
        <color theme="0" tint="-0.1499679555650502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/>
      <top style="dotted">
        <color theme="0" tint="-0.14996795556505021"/>
      </top>
      <bottom style="thin">
        <color indexed="64"/>
      </bottom>
      <diagonal/>
    </border>
    <border>
      <left/>
      <right/>
      <top style="dotted">
        <color theme="0" tint="-0.14996795556505021"/>
      </top>
      <bottom style="thin">
        <color indexed="64"/>
      </bottom>
      <diagonal/>
    </border>
    <border>
      <left/>
      <right style="medium">
        <color indexed="64"/>
      </right>
      <top style="dotted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tted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4" fillId="0" borderId="0"/>
    <xf numFmtId="9" fontId="2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43" fillId="0" borderId="0">
      <alignment vertical="top"/>
    </xf>
    <xf numFmtId="168" fontId="25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68" fontId="52" fillId="0" borderId="0"/>
    <xf numFmtId="168" fontId="23" fillId="0" borderId="0"/>
    <xf numFmtId="168" fontId="1" fillId="0" borderId="0"/>
    <xf numFmtId="168" fontId="52" fillId="0" borderId="0"/>
    <xf numFmtId="171" fontId="52" fillId="0" borderId="0" applyFont="0" applyFill="0" applyBorder="0" applyAlignment="0" applyProtection="0"/>
    <xf numFmtId="171" fontId="52" fillId="0" borderId="0" applyFont="0" applyFill="0" applyBorder="0" applyAlignment="0" applyProtection="0"/>
  </cellStyleXfs>
  <cellXfs count="566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166" fontId="0" fillId="0" borderId="0" xfId="0" applyNumberFormat="1"/>
    <xf numFmtId="168" fontId="5" fillId="0" borderId="0" xfId="3" applyFont="1"/>
    <xf numFmtId="168" fontId="7" fillId="0" borderId="0" xfId="3" applyFont="1"/>
    <xf numFmtId="43" fontId="7" fillId="0" borderId="0" xfId="3" applyNumberFormat="1" applyFont="1"/>
    <xf numFmtId="43" fontId="5" fillId="0" borderId="0" xfId="4" applyFont="1"/>
    <xf numFmtId="43" fontId="7" fillId="0" borderId="0" xfId="4" applyFont="1"/>
    <xf numFmtId="168" fontId="8" fillId="0" borderId="0" xfId="3" applyFont="1"/>
    <xf numFmtId="49" fontId="9" fillId="2" borderId="0" xfId="3" applyNumberFormat="1" applyFont="1" applyFill="1" applyAlignment="1">
      <alignment horizontal="left"/>
    </xf>
    <xf numFmtId="168" fontId="11" fillId="3" borderId="0" xfId="3" applyFont="1" applyFill="1"/>
    <xf numFmtId="168" fontId="12" fillId="0" borderId="0" xfId="3" applyFont="1"/>
    <xf numFmtId="168" fontId="11" fillId="3" borderId="0" xfId="3" quotePrefix="1" applyFont="1" applyFill="1"/>
    <xf numFmtId="168" fontId="7" fillId="0" borderId="0" xfId="3" applyFont="1" applyAlignment="1">
      <alignment horizontal="center"/>
    </xf>
    <xf numFmtId="10" fontId="12" fillId="8" borderId="8" xfId="5" applyNumberFormat="1" applyFont="1" applyFill="1" applyBorder="1" applyAlignment="1">
      <alignment horizontal="center" vertical="center" wrapText="1"/>
    </xf>
    <xf numFmtId="10" fontId="12" fillId="8" borderId="9" xfId="5" applyNumberFormat="1" applyFont="1" applyFill="1" applyBorder="1" applyAlignment="1">
      <alignment horizontal="center" vertical="center" wrapText="1"/>
    </xf>
    <xf numFmtId="168" fontId="12" fillId="8" borderId="9" xfId="4" applyNumberFormat="1" applyFont="1" applyFill="1" applyBorder="1" applyAlignment="1">
      <alignment horizontal="center" vertical="center" wrapText="1"/>
    </xf>
    <xf numFmtId="168" fontId="12" fillId="8" borderId="10" xfId="4" applyNumberFormat="1" applyFont="1" applyFill="1" applyBorder="1" applyAlignment="1">
      <alignment horizontal="center" vertical="center" wrapText="1"/>
    </xf>
    <xf numFmtId="168" fontId="5" fillId="8" borderId="10" xfId="4" applyNumberFormat="1" applyFont="1" applyFill="1" applyBorder="1" applyAlignment="1">
      <alignment horizontal="center" vertical="center" wrapText="1"/>
    </xf>
    <xf numFmtId="10" fontId="12" fillId="9" borderId="12" xfId="5" applyNumberFormat="1" applyFont="1" applyFill="1" applyBorder="1" applyAlignment="1">
      <alignment horizontal="center" vertical="center" wrapText="1"/>
    </xf>
    <xf numFmtId="10" fontId="12" fillId="9" borderId="9" xfId="5" applyNumberFormat="1" applyFont="1" applyFill="1" applyBorder="1" applyAlignment="1">
      <alignment horizontal="center" vertical="center" wrapText="1"/>
    </xf>
    <xf numFmtId="168" fontId="12" fillId="9" borderId="9" xfId="4" applyNumberFormat="1" applyFont="1" applyFill="1" applyBorder="1" applyAlignment="1">
      <alignment horizontal="center" vertical="center" wrapText="1"/>
    </xf>
    <xf numFmtId="168" fontId="5" fillId="9" borderId="13" xfId="4" applyNumberFormat="1" applyFont="1" applyFill="1" applyBorder="1" applyAlignment="1">
      <alignment horizontal="center" vertical="center" wrapText="1"/>
    </xf>
    <xf numFmtId="168" fontId="5" fillId="10" borderId="14" xfId="3" applyFont="1" applyFill="1" applyBorder="1" applyAlignment="1">
      <alignment horizontal="left" vertical="center"/>
    </xf>
    <xf numFmtId="168" fontId="5" fillId="10" borderId="15" xfId="3" applyFont="1" applyFill="1" applyBorder="1" applyAlignment="1">
      <alignment horizontal="left" vertical="center"/>
    </xf>
    <xf numFmtId="43" fontId="5" fillId="10" borderId="6" xfId="3" applyNumberFormat="1" applyFont="1" applyFill="1" applyBorder="1" applyAlignment="1">
      <alignment horizontal="left" vertical="center"/>
    </xf>
    <xf numFmtId="43" fontId="5" fillId="10" borderId="15" xfId="4" applyFont="1" applyFill="1" applyBorder="1" applyAlignment="1">
      <alignment horizontal="left" vertical="center"/>
    </xf>
    <xf numFmtId="168" fontId="5" fillId="10" borderId="2" xfId="3" applyFont="1" applyFill="1" applyBorder="1" applyAlignment="1">
      <alignment horizontal="left" vertical="center"/>
    </xf>
    <xf numFmtId="168" fontId="5" fillId="10" borderId="4" xfId="3" applyFont="1" applyFill="1" applyBorder="1" applyAlignment="1">
      <alignment horizontal="left" vertical="center"/>
    </xf>
    <xf numFmtId="43" fontId="5" fillId="10" borderId="4" xfId="4" applyFont="1" applyFill="1" applyBorder="1" applyAlignment="1">
      <alignment horizontal="left" vertical="center"/>
    </xf>
    <xf numFmtId="168" fontId="5" fillId="0" borderId="16" xfId="3" applyFont="1" applyBorder="1" applyAlignment="1">
      <alignment vertical="center"/>
    </xf>
    <xf numFmtId="168" fontId="5" fillId="3" borderId="16" xfId="3" applyFont="1" applyFill="1" applyBorder="1" applyAlignment="1">
      <alignment vertical="center"/>
    </xf>
    <xf numFmtId="168" fontId="12" fillId="11" borderId="17" xfId="3" applyFont="1" applyFill="1" applyBorder="1" applyAlignment="1">
      <alignment vertical="center"/>
    </xf>
    <xf numFmtId="43" fontId="7" fillId="3" borderId="18" xfId="3" applyNumberFormat="1" applyFont="1" applyFill="1" applyBorder="1" applyAlignment="1">
      <alignment horizontal="right" vertical="center"/>
    </xf>
    <xf numFmtId="10" fontId="7" fillId="3" borderId="19" xfId="5" applyNumberFormat="1" applyFont="1" applyFill="1" applyBorder="1" applyAlignment="1"/>
    <xf numFmtId="164" fontId="7" fillId="3" borderId="20" xfId="5" applyNumberFormat="1" applyFont="1" applyFill="1" applyBorder="1" applyAlignment="1"/>
    <xf numFmtId="43" fontId="7" fillId="3" borderId="20" xfId="4" applyFont="1" applyFill="1" applyBorder="1" applyAlignment="1">
      <alignment horizontal="right" vertical="center"/>
    </xf>
    <xf numFmtId="43" fontId="7" fillId="3" borderId="21" xfId="4" applyFont="1" applyFill="1" applyBorder="1" applyAlignment="1">
      <alignment horizontal="right" vertical="center"/>
    </xf>
    <xf numFmtId="43" fontId="7" fillId="11" borderId="17" xfId="4" applyFont="1" applyFill="1" applyBorder="1" applyAlignment="1">
      <alignment horizontal="right"/>
    </xf>
    <xf numFmtId="43" fontId="7" fillId="0" borderId="17" xfId="4" applyFont="1" applyFill="1" applyBorder="1" applyAlignment="1">
      <alignment horizontal="right" vertical="center"/>
    </xf>
    <xf numFmtId="164" fontId="7" fillId="3" borderId="22" xfId="5" applyNumberFormat="1" applyFont="1" applyFill="1" applyBorder="1" applyAlignment="1"/>
    <xf numFmtId="43" fontId="7" fillId="3" borderId="23" xfId="4" applyFont="1" applyFill="1" applyBorder="1" applyAlignment="1">
      <alignment horizontal="right"/>
    </xf>
    <xf numFmtId="168" fontId="5" fillId="12" borderId="23" xfId="3" applyFont="1" applyFill="1" applyBorder="1" applyAlignment="1">
      <alignment horizontal="right" vertical="center"/>
    </xf>
    <xf numFmtId="168" fontId="7" fillId="0" borderId="24" xfId="3" applyFont="1" applyBorder="1" applyAlignment="1">
      <alignment vertical="center"/>
    </xf>
    <xf numFmtId="168" fontId="5" fillId="3" borderId="26" xfId="3" applyFont="1" applyFill="1" applyBorder="1" applyAlignment="1">
      <alignment vertical="center"/>
    </xf>
    <xf numFmtId="168" fontId="12" fillId="11" borderId="27" xfId="3" applyFont="1" applyFill="1" applyBorder="1" applyAlignment="1">
      <alignment vertical="center"/>
    </xf>
    <xf numFmtId="10" fontId="7" fillId="3" borderId="28" xfId="5" applyNumberFormat="1" applyFont="1" applyFill="1" applyBorder="1" applyAlignment="1"/>
    <xf numFmtId="164" fontId="7" fillId="3" borderId="29" xfId="5" applyNumberFormat="1" applyFont="1" applyFill="1" applyBorder="1" applyAlignment="1"/>
    <xf numFmtId="43" fontId="7" fillId="3" borderId="29" xfId="4" applyFont="1" applyFill="1" applyBorder="1" applyAlignment="1">
      <alignment horizontal="right" vertical="center"/>
    </xf>
    <xf numFmtId="43" fontId="7" fillId="3" borderId="30" xfId="4" applyFont="1" applyFill="1" applyBorder="1" applyAlignment="1">
      <alignment horizontal="right" vertical="center"/>
    </xf>
    <xf numFmtId="43" fontId="7" fillId="11" borderId="27" xfId="4" applyFont="1" applyFill="1" applyBorder="1" applyAlignment="1">
      <alignment horizontal="right"/>
    </xf>
    <xf numFmtId="43" fontId="7" fillId="0" borderId="27" xfId="4" applyFont="1" applyFill="1" applyBorder="1" applyAlignment="1">
      <alignment horizontal="right" vertical="center"/>
    </xf>
    <xf numFmtId="164" fontId="7" fillId="3" borderId="32" xfId="5" applyNumberFormat="1" applyFont="1" applyFill="1" applyBorder="1" applyAlignment="1"/>
    <xf numFmtId="43" fontId="7" fillId="3" borderId="18" xfId="4" applyFont="1" applyFill="1" applyBorder="1" applyAlignment="1">
      <alignment horizontal="right"/>
    </xf>
    <xf numFmtId="168" fontId="5" fillId="12" borderId="18" xfId="3" applyFont="1" applyFill="1" applyBorder="1" applyAlignment="1">
      <alignment horizontal="right" vertical="center"/>
    </xf>
    <xf numFmtId="43" fontId="7" fillId="11" borderId="27" xfId="4" applyFont="1" applyFill="1" applyBorder="1" applyAlignment="1">
      <alignment horizontal="right" vertical="center"/>
    </xf>
    <xf numFmtId="168" fontId="7" fillId="12" borderId="18" xfId="3" applyFont="1" applyFill="1" applyBorder="1" applyAlignment="1">
      <alignment horizontal="right" vertical="center"/>
    </xf>
    <xf numFmtId="168" fontId="5" fillId="3" borderId="25" xfId="3" applyFont="1" applyFill="1" applyBorder="1" applyAlignment="1">
      <alignment vertical="center"/>
    </xf>
    <xf numFmtId="168" fontId="12" fillId="11" borderId="33" xfId="3" applyFont="1" applyFill="1" applyBorder="1" applyAlignment="1">
      <alignment vertical="center"/>
    </xf>
    <xf numFmtId="43" fontId="7" fillId="3" borderId="31" xfId="3" applyNumberFormat="1" applyFont="1" applyFill="1" applyBorder="1" applyAlignment="1">
      <alignment horizontal="right" vertical="center"/>
    </xf>
    <xf numFmtId="10" fontId="7" fillId="3" borderId="34" xfId="5" applyNumberFormat="1" applyFont="1" applyFill="1" applyBorder="1" applyAlignment="1"/>
    <xf numFmtId="164" fontId="7" fillId="3" borderId="34" xfId="5" applyNumberFormat="1" applyFont="1" applyFill="1" applyBorder="1" applyAlignment="1"/>
    <xf numFmtId="43" fontId="7" fillId="3" borderId="35" xfId="4" applyFont="1" applyFill="1" applyBorder="1" applyAlignment="1">
      <alignment horizontal="right" vertical="center"/>
    </xf>
    <xf numFmtId="43" fontId="7" fillId="3" borderId="36" xfId="4" applyFont="1" applyFill="1" applyBorder="1" applyAlignment="1">
      <alignment horizontal="right" vertical="center"/>
    </xf>
    <xf numFmtId="164" fontId="7" fillId="3" borderId="37" xfId="5" applyNumberFormat="1" applyFont="1" applyFill="1" applyBorder="1" applyAlignment="1"/>
    <xf numFmtId="43" fontId="7" fillId="3" borderId="31" xfId="4" applyFont="1" applyFill="1" applyBorder="1" applyAlignment="1">
      <alignment horizontal="right"/>
    </xf>
    <xf numFmtId="168" fontId="7" fillId="12" borderId="31" xfId="3" applyFont="1" applyFill="1" applyBorder="1" applyAlignment="1">
      <alignment horizontal="right" vertical="center"/>
    </xf>
    <xf numFmtId="168" fontId="5" fillId="13" borderId="27" xfId="3" applyFont="1" applyFill="1" applyBorder="1" applyAlignment="1">
      <alignment vertical="center"/>
    </xf>
    <xf numFmtId="168" fontId="5" fillId="0" borderId="17" xfId="3" applyFont="1" applyBorder="1" applyAlignment="1">
      <alignment vertical="center"/>
    </xf>
    <xf numFmtId="43" fontId="7" fillId="13" borderId="38" xfId="3" applyNumberFormat="1" applyFont="1" applyFill="1" applyBorder="1" applyAlignment="1">
      <alignment horizontal="right" vertical="center"/>
    </xf>
    <xf numFmtId="10" fontId="7" fillId="13" borderId="39" xfId="5" applyNumberFormat="1" applyFont="1" applyFill="1" applyBorder="1" applyAlignment="1">
      <alignment horizontal="right" vertical="center"/>
    </xf>
    <xf numFmtId="9" fontId="7" fillId="13" borderId="40" xfId="5" applyFont="1" applyFill="1" applyBorder="1" applyAlignment="1">
      <alignment horizontal="right" vertical="center"/>
    </xf>
    <xf numFmtId="43" fontId="7" fillId="13" borderId="39" xfId="4" applyFont="1" applyFill="1" applyBorder="1" applyAlignment="1">
      <alignment horizontal="right" vertical="center"/>
    </xf>
    <xf numFmtId="43" fontId="7" fillId="13" borderId="41" xfId="4" applyFont="1" applyFill="1" applyBorder="1" applyAlignment="1">
      <alignment horizontal="right" vertical="center"/>
    </xf>
    <xf numFmtId="2" fontId="7" fillId="3" borderId="27" xfId="3" applyNumberFormat="1" applyFont="1" applyFill="1" applyBorder="1" applyAlignment="1">
      <alignment horizontal="right" vertical="center"/>
    </xf>
    <xf numFmtId="168" fontId="7" fillId="13" borderId="40" xfId="5" applyNumberFormat="1" applyFont="1" applyFill="1" applyBorder="1" applyAlignment="1">
      <alignment horizontal="right" vertical="center"/>
    </xf>
    <xf numFmtId="43" fontId="7" fillId="13" borderId="38" xfId="4" applyFont="1" applyFill="1" applyBorder="1" applyAlignment="1">
      <alignment horizontal="right" vertical="center"/>
    </xf>
    <xf numFmtId="168" fontId="7" fillId="12" borderId="18" xfId="3" applyFont="1" applyFill="1" applyBorder="1" applyAlignment="1">
      <alignment horizontal="left" vertical="center"/>
    </xf>
    <xf numFmtId="168" fontId="5" fillId="3" borderId="27" xfId="3" applyFont="1" applyFill="1" applyBorder="1" applyAlignment="1">
      <alignment vertical="center"/>
    </xf>
    <xf numFmtId="43" fontId="7" fillId="3" borderId="38" xfId="3" applyNumberFormat="1" applyFont="1" applyFill="1" applyBorder="1" applyAlignment="1">
      <alignment horizontal="right" vertical="center"/>
    </xf>
    <xf numFmtId="164" fontId="7" fillId="11" borderId="39" xfId="5" applyNumberFormat="1" applyFont="1" applyFill="1" applyBorder="1" applyAlignment="1"/>
    <xf numFmtId="164" fontId="7" fillId="11" borderId="42" xfId="5" applyNumberFormat="1" applyFont="1" applyFill="1" applyBorder="1" applyAlignment="1"/>
    <xf numFmtId="43" fontId="7" fillId="11" borderId="42" xfId="4" applyFont="1" applyFill="1" applyBorder="1" applyAlignment="1"/>
    <xf numFmtId="43" fontId="7" fillId="11" borderId="43" xfId="4" applyFont="1" applyFill="1" applyBorder="1" applyAlignment="1"/>
    <xf numFmtId="2" fontId="7" fillId="11" borderId="31" xfId="5" applyNumberFormat="1" applyFont="1" applyFill="1" applyBorder="1" applyAlignment="1">
      <alignment horizontal="right"/>
    </xf>
    <xf numFmtId="164" fontId="7" fillId="11" borderId="40" xfId="5" applyNumberFormat="1" applyFont="1" applyFill="1" applyBorder="1" applyAlignment="1"/>
    <xf numFmtId="43" fontId="7" fillId="11" borderId="44" xfId="4" applyFont="1" applyFill="1" applyBorder="1" applyAlignment="1">
      <alignment horizontal="right"/>
    </xf>
    <xf numFmtId="168" fontId="7" fillId="0" borderId="7" xfId="3" applyFont="1" applyBorder="1" applyAlignment="1">
      <alignment vertical="center"/>
    </xf>
    <xf numFmtId="168" fontId="5" fillId="3" borderId="33" xfId="3" applyFont="1" applyFill="1" applyBorder="1" applyAlignment="1">
      <alignment vertical="center"/>
    </xf>
    <xf numFmtId="168" fontId="12" fillId="11" borderId="7" xfId="3" applyFont="1" applyFill="1" applyBorder="1" applyAlignment="1">
      <alignment vertical="center"/>
    </xf>
    <xf numFmtId="164" fontId="7" fillId="11" borderId="45" xfId="5" applyNumberFormat="1" applyFont="1" applyFill="1" applyBorder="1" applyAlignment="1"/>
    <xf numFmtId="164" fontId="7" fillId="11" borderId="46" xfId="5" applyNumberFormat="1" applyFont="1" applyFill="1" applyBorder="1" applyAlignment="1"/>
    <xf numFmtId="43" fontId="7" fillId="11" borderId="46" xfId="4" applyFont="1" applyFill="1" applyBorder="1" applyAlignment="1"/>
    <xf numFmtId="43" fontId="7" fillId="11" borderId="47" xfId="4" applyFont="1" applyFill="1" applyBorder="1" applyAlignment="1"/>
    <xf numFmtId="164" fontId="7" fillId="11" borderId="48" xfId="5" applyNumberFormat="1" applyFont="1" applyFill="1" applyBorder="1" applyAlignment="1"/>
    <xf numFmtId="43" fontId="7" fillId="11" borderId="49" xfId="4" applyFont="1" applyFill="1" applyBorder="1" applyAlignment="1">
      <alignment horizontal="right"/>
    </xf>
    <xf numFmtId="164" fontId="7" fillId="3" borderId="19" xfId="5" applyNumberFormat="1" applyFont="1" applyFill="1" applyBorder="1" applyAlignment="1"/>
    <xf numFmtId="164" fontId="7" fillId="3" borderId="28" xfId="5" applyNumberFormat="1" applyFont="1" applyFill="1" applyBorder="1" applyAlignment="1"/>
    <xf numFmtId="168" fontId="7" fillId="13" borderId="39" xfId="5" applyNumberFormat="1" applyFont="1" applyFill="1" applyBorder="1" applyAlignment="1">
      <alignment horizontal="right" vertical="center"/>
    </xf>
    <xf numFmtId="168" fontId="7" fillId="0" borderId="25" xfId="3" applyFont="1" applyBorder="1" applyAlignment="1">
      <alignment vertical="center"/>
    </xf>
    <xf numFmtId="168" fontId="5" fillId="10" borderId="5" xfId="3" applyFont="1" applyFill="1" applyBorder="1" applyAlignment="1">
      <alignment vertical="center"/>
    </xf>
    <xf numFmtId="168" fontId="5" fillId="10" borderId="3" xfId="3" applyFont="1" applyFill="1" applyBorder="1" applyAlignment="1">
      <alignment vertical="center"/>
    </xf>
    <xf numFmtId="43" fontId="5" fillId="10" borderId="6" xfId="3" applyNumberFormat="1" applyFont="1" applyFill="1" applyBorder="1" applyAlignment="1">
      <alignment vertical="center"/>
    </xf>
    <xf numFmtId="43" fontId="5" fillId="10" borderId="3" xfId="4" applyFont="1" applyFill="1" applyBorder="1" applyAlignment="1">
      <alignment vertical="center"/>
    </xf>
    <xf numFmtId="43" fontId="5" fillId="10" borderId="27" xfId="4" applyFont="1" applyFill="1" applyBorder="1" applyAlignment="1">
      <alignment vertical="center"/>
    </xf>
    <xf numFmtId="168" fontId="5" fillId="10" borderId="27" xfId="3" applyFont="1" applyFill="1" applyBorder="1" applyAlignment="1">
      <alignment vertical="center"/>
    </xf>
    <xf numFmtId="168" fontId="5" fillId="10" borderId="6" xfId="3" applyFont="1" applyFill="1" applyBorder="1" applyAlignment="1">
      <alignment vertical="center"/>
    </xf>
    <xf numFmtId="43" fontId="5" fillId="10" borderId="6" xfId="4" applyFont="1" applyFill="1" applyBorder="1" applyAlignment="1">
      <alignment vertical="center"/>
    </xf>
    <xf numFmtId="43" fontId="7" fillId="3" borderId="50" xfId="3" applyNumberFormat="1" applyFont="1" applyFill="1" applyBorder="1" applyAlignment="1">
      <alignment horizontal="right" vertical="center"/>
    </xf>
    <xf numFmtId="10" fontId="7" fillId="3" borderId="28" xfId="5" applyNumberFormat="1" applyFont="1" applyFill="1" applyBorder="1" applyAlignment="1">
      <alignment horizontal="right" vertical="center"/>
    </xf>
    <xf numFmtId="10" fontId="7" fillId="3" borderId="34" xfId="5" applyNumberFormat="1" applyFont="1" applyFill="1" applyBorder="1" applyAlignment="1">
      <alignment horizontal="right" vertical="center"/>
    </xf>
    <xf numFmtId="168" fontId="5" fillId="0" borderId="51" xfId="3" applyFont="1" applyBorder="1" applyAlignment="1">
      <alignment vertical="center"/>
    </xf>
    <xf numFmtId="168" fontId="12" fillId="11" borderId="25" xfId="3" applyFont="1" applyFill="1" applyBorder="1" applyAlignment="1">
      <alignment vertical="center"/>
    </xf>
    <xf numFmtId="168" fontId="5" fillId="0" borderId="24" xfId="3" applyFont="1" applyBorder="1" applyAlignment="1">
      <alignment vertical="center"/>
    </xf>
    <xf numFmtId="10" fontId="7" fillId="3" borderId="32" xfId="5" applyNumberFormat="1" applyFont="1" applyFill="1" applyBorder="1" applyAlignment="1">
      <alignment horizontal="right" vertical="center"/>
    </xf>
    <xf numFmtId="10" fontId="7" fillId="3" borderId="29" xfId="5" applyNumberFormat="1" applyFont="1" applyFill="1" applyBorder="1" applyAlignment="1">
      <alignment horizontal="right" vertical="center"/>
    </xf>
    <xf numFmtId="43" fontId="7" fillId="13" borderId="16" xfId="3" applyNumberFormat="1" applyFont="1" applyFill="1" applyBorder="1" applyAlignment="1">
      <alignment horizontal="right" vertical="center"/>
    </xf>
    <xf numFmtId="164" fontId="7" fillId="13" borderId="19" xfId="5" applyNumberFormat="1" applyFont="1" applyFill="1" applyBorder="1" applyAlignment="1"/>
    <xf numFmtId="168" fontId="7" fillId="13" borderId="20" xfId="5" applyNumberFormat="1" applyFont="1" applyFill="1" applyBorder="1" applyAlignment="1"/>
    <xf numFmtId="43" fontId="7" fillId="13" borderId="20" xfId="3" applyNumberFormat="1" applyFont="1" applyFill="1" applyBorder="1" applyAlignment="1">
      <alignment horizontal="right" vertical="center"/>
    </xf>
    <xf numFmtId="43" fontId="7" fillId="13" borderId="21" xfId="3" applyNumberFormat="1" applyFont="1" applyFill="1" applyBorder="1" applyAlignment="1">
      <alignment horizontal="right" vertical="center"/>
    </xf>
    <xf numFmtId="2" fontId="7" fillId="11" borderId="27" xfId="3" applyNumberFormat="1" applyFont="1" applyFill="1" applyBorder="1" applyAlignment="1">
      <alignment horizontal="right" vertical="center"/>
    </xf>
    <xf numFmtId="2" fontId="16" fillId="0" borderId="27" xfId="3" applyNumberFormat="1" applyFont="1" applyBorder="1" applyAlignment="1">
      <alignment horizontal="right" vertical="center"/>
    </xf>
    <xf numFmtId="168" fontId="7" fillId="13" borderId="22" xfId="5" applyNumberFormat="1" applyFont="1" applyFill="1" applyBorder="1" applyAlignment="1"/>
    <xf numFmtId="2" fontId="7" fillId="13" borderId="20" xfId="3" applyNumberFormat="1" applyFont="1" applyFill="1" applyBorder="1" applyAlignment="1">
      <alignment horizontal="right" vertical="center"/>
    </xf>
    <xf numFmtId="2" fontId="7" fillId="13" borderId="23" xfId="3" applyNumberFormat="1" applyFont="1" applyFill="1" applyBorder="1" applyAlignment="1">
      <alignment horizontal="right" vertical="center"/>
    </xf>
    <xf numFmtId="168" fontId="16" fillId="0" borderId="0" xfId="3" applyFont="1"/>
    <xf numFmtId="168" fontId="17" fillId="0" borderId="24" xfId="3" applyFont="1" applyBorder="1" applyAlignment="1">
      <alignment vertical="center"/>
    </xf>
    <xf numFmtId="168" fontId="18" fillId="0" borderId="24" xfId="6" applyFont="1" applyBorder="1" applyAlignment="1">
      <alignment horizontal="left" vertical="center" indent="2"/>
    </xf>
    <xf numFmtId="168" fontId="17" fillId="11" borderId="27" xfId="3" applyFont="1" applyFill="1" applyBorder="1" applyAlignment="1">
      <alignment vertical="center"/>
    </xf>
    <xf numFmtId="43" fontId="16" fillId="0" borderId="24" xfId="3" applyNumberFormat="1" applyFont="1" applyBorder="1" applyAlignment="1">
      <alignment horizontal="right" vertical="center"/>
    </xf>
    <xf numFmtId="164" fontId="16" fillId="0" borderId="28" xfId="5" applyNumberFormat="1" applyFont="1" applyFill="1" applyBorder="1" applyAlignment="1"/>
    <xf numFmtId="164" fontId="16" fillId="0" borderId="29" xfId="5" applyNumberFormat="1" applyFont="1" applyFill="1" applyBorder="1" applyAlignment="1"/>
    <xf numFmtId="43" fontId="16" fillId="0" borderId="29" xfId="3" applyNumberFormat="1" applyFont="1" applyBorder="1" applyAlignment="1">
      <alignment horizontal="right" vertical="center"/>
    </xf>
    <xf numFmtId="43" fontId="16" fillId="0" borderId="30" xfId="3" applyNumberFormat="1" applyFont="1" applyBorder="1" applyAlignment="1">
      <alignment horizontal="right" vertical="center"/>
    </xf>
    <xf numFmtId="2" fontId="16" fillId="11" borderId="27" xfId="3" applyNumberFormat="1" applyFont="1" applyFill="1" applyBorder="1" applyAlignment="1">
      <alignment horizontal="right" vertical="center"/>
    </xf>
    <xf numFmtId="164" fontId="16" fillId="0" borderId="32" xfId="5" applyNumberFormat="1" applyFont="1" applyFill="1" applyBorder="1" applyAlignment="1"/>
    <xf numFmtId="2" fontId="16" fillId="0" borderId="29" xfId="3" applyNumberFormat="1" applyFont="1" applyBorder="1" applyAlignment="1">
      <alignment horizontal="right" vertical="center"/>
    </xf>
    <xf numFmtId="2" fontId="16" fillId="0" borderId="18" xfId="3" applyNumberFormat="1" applyFont="1" applyBorder="1" applyAlignment="1">
      <alignment horizontal="right" vertical="center"/>
    </xf>
    <xf numFmtId="168" fontId="17" fillId="12" borderId="18" xfId="3" applyFont="1" applyFill="1" applyBorder="1" applyAlignment="1">
      <alignment horizontal="right" vertical="center"/>
    </xf>
    <xf numFmtId="168" fontId="20" fillId="0" borderId="0" xfId="3" applyFont="1"/>
    <xf numFmtId="168" fontId="18" fillId="0" borderId="0" xfId="3" applyFont="1"/>
    <xf numFmtId="168" fontId="21" fillId="0" borderId="24" xfId="3" applyFont="1" applyBorder="1" applyAlignment="1">
      <alignment vertical="center"/>
    </xf>
    <xf numFmtId="43" fontId="18" fillId="0" borderId="24" xfId="3" applyNumberFormat="1" applyFont="1" applyBorder="1" applyAlignment="1">
      <alignment horizontal="right" vertical="center"/>
    </xf>
    <xf numFmtId="164" fontId="18" fillId="0" borderId="28" xfId="5" applyNumberFormat="1" applyFont="1" applyFill="1" applyBorder="1" applyAlignment="1"/>
    <xf numFmtId="164" fontId="18" fillId="0" borderId="29" xfId="5" applyNumberFormat="1" applyFont="1" applyFill="1" applyBorder="1" applyAlignment="1"/>
    <xf numFmtId="43" fontId="18" fillId="0" borderId="29" xfId="3" applyNumberFormat="1" applyFont="1" applyBorder="1" applyAlignment="1">
      <alignment horizontal="right" vertical="center"/>
    </xf>
    <xf numFmtId="43" fontId="18" fillId="0" borderId="30" xfId="3" applyNumberFormat="1" applyFont="1" applyBorder="1" applyAlignment="1">
      <alignment horizontal="right" vertical="center"/>
    </xf>
    <xf numFmtId="2" fontId="18" fillId="11" borderId="27" xfId="3" applyNumberFormat="1" applyFont="1" applyFill="1" applyBorder="1" applyAlignment="1">
      <alignment horizontal="right" vertical="center"/>
    </xf>
    <xf numFmtId="164" fontId="18" fillId="0" borderId="32" xfId="5" applyNumberFormat="1" applyFont="1" applyFill="1" applyBorder="1" applyAlignment="1"/>
    <xf numFmtId="2" fontId="18" fillId="0" borderId="29" xfId="3" applyNumberFormat="1" applyFont="1" applyBorder="1" applyAlignment="1">
      <alignment horizontal="right" vertical="center"/>
    </xf>
    <xf numFmtId="2" fontId="18" fillId="0" borderId="18" xfId="3" applyNumberFormat="1" applyFont="1" applyBorder="1" applyAlignment="1">
      <alignment horizontal="right" vertical="center"/>
    </xf>
    <xf numFmtId="168" fontId="21" fillId="12" borderId="18" xfId="3" applyFont="1" applyFill="1" applyBorder="1" applyAlignment="1">
      <alignment horizontal="right" vertical="center"/>
    </xf>
    <xf numFmtId="168" fontId="22" fillId="0" borderId="0" xfId="3" applyFont="1"/>
    <xf numFmtId="43" fontId="7" fillId="13" borderId="24" xfId="3" applyNumberFormat="1" applyFont="1" applyFill="1" applyBorder="1" applyAlignment="1">
      <alignment horizontal="right" vertical="center"/>
    </xf>
    <xf numFmtId="168" fontId="7" fillId="13" borderId="28" xfId="5" applyNumberFormat="1" applyFont="1" applyFill="1" applyBorder="1" applyAlignment="1"/>
    <xf numFmtId="168" fontId="7" fillId="13" borderId="29" xfId="5" applyNumberFormat="1" applyFont="1" applyFill="1" applyBorder="1" applyAlignment="1"/>
    <xf numFmtId="43" fontId="7" fillId="13" borderId="29" xfId="3" applyNumberFormat="1" applyFont="1" applyFill="1" applyBorder="1" applyAlignment="1">
      <alignment horizontal="right" vertical="center"/>
    </xf>
    <xf numFmtId="43" fontId="7" fillId="13" borderId="30" xfId="3" applyNumberFormat="1" applyFont="1" applyFill="1" applyBorder="1" applyAlignment="1">
      <alignment horizontal="right" vertical="center"/>
    </xf>
    <xf numFmtId="168" fontId="7" fillId="13" borderId="32" xfId="5" applyNumberFormat="1" applyFont="1" applyFill="1" applyBorder="1" applyAlignment="1"/>
    <xf numFmtId="2" fontId="7" fillId="13" borderId="29" xfId="3" applyNumberFormat="1" applyFont="1" applyFill="1" applyBorder="1" applyAlignment="1">
      <alignment horizontal="right" vertical="center"/>
    </xf>
    <xf numFmtId="2" fontId="7" fillId="13" borderId="18" xfId="3" applyNumberFormat="1" applyFont="1" applyFill="1" applyBorder="1" applyAlignment="1">
      <alignment horizontal="right" vertical="center"/>
    </xf>
    <xf numFmtId="43" fontId="7" fillId="3" borderId="24" xfId="3" applyNumberFormat="1" applyFont="1" applyFill="1" applyBorder="1" applyAlignment="1">
      <alignment horizontal="right" vertical="center"/>
    </xf>
    <xf numFmtId="43" fontId="7" fillId="3" borderId="29" xfId="3" applyNumberFormat="1" applyFont="1" applyFill="1" applyBorder="1" applyAlignment="1">
      <alignment horizontal="right" vertical="center"/>
    </xf>
    <xf numFmtId="43" fontId="7" fillId="3" borderId="30" xfId="3" applyNumberFormat="1" applyFont="1" applyFill="1" applyBorder="1" applyAlignment="1">
      <alignment horizontal="right" vertical="center"/>
    </xf>
    <xf numFmtId="2" fontId="7" fillId="3" borderId="29" xfId="3" applyNumberFormat="1" applyFont="1" applyFill="1" applyBorder="1" applyAlignment="1">
      <alignment horizontal="right" vertical="center"/>
    </xf>
    <xf numFmtId="2" fontId="7" fillId="3" borderId="18" xfId="3" applyNumberFormat="1" applyFont="1" applyFill="1" applyBorder="1" applyAlignment="1">
      <alignment horizontal="right" vertical="center"/>
    </xf>
    <xf numFmtId="43" fontId="7" fillId="3" borderId="25" xfId="3" applyNumberFormat="1" applyFont="1" applyFill="1" applyBorder="1" applyAlignment="1">
      <alignment horizontal="right" vertical="center"/>
    </xf>
    <xf numFmtId="43" fontId="7" fillId="3" borderId="52" xfId="3" applyNumberFormat="1" applyFont="1" applyFill="1" applyBorder="1" applyAlignment="1">
      <alignment horizontal="right" vertical="center"/>
    </xf>
    <xf numFmtId="43" fontId="7" fillId="3" borderId="53" xfId="3" applyNumberFormat="1" applyFont="1" applyFill="1" applyBorder="1" applyAlignment="1">
      <alignment horizontal="right" vertical="center"/>
    </xf>
    <xf numFmtId="2" fontId="7" fillId="11" borderId="27" xfId="5" applyNumberFormat="1" applyFont="1" applyFill="1" applyBorder="1" applyAlignment="1">
      <alignment horizontal="right"/>
    </xf>
    <xf numFmtId="2" fontId="7" fillId="3" borderId="52" xfId="3" applyNumberFormat="1" applyFont="1" applyFill="1" applyBorder="1" applyAlignment="1">
      <alignment horizontal="right" vertical="center"/>
    </xf>
    <xf numFmtId="2" fontId="7" fillId="3" borderId="31" xfId="3" applyNumberFormat="1" applyFont="1" applyFill="1" applyBorder="1" applyAlignment="1">
      <alignment horizontal="right" vertical="center"/>
    </xf>
    <xf numFmtId="43" fontId="7" fillId="13" borderId="44" xfId="3" applyNumberFormat="1" applyFont="1" applyFill="1" applyBorder="1" applyAlignment="1">
      <alignment horizontal="right" vertical="center"/>
    </xf>
    <xf numFmtId="164" fontId="7" fillId="13" borderId="38" xfId="5" applyNumberFormat="1" applyFont="1" applyFill="1" applyBorder="1" applyAlignment="1">
      <alignment horizontal="right" vertical="center"/>
    </xf>
    <xf numFmtId="164" fontId="7" fillId="13" borderId="40" xfId="5" applyNumberFormat="1" applyFont="1" applyFill="1" applyBorder="1" applyAlignment="1">
      <alignment horizontal="right" vertical="center"/>
    </xf>
    <xf numFmtId="43" fontId="7" fillId="13" borderId="42" xfId="3" applyNumberFormat="1" applyFont="1" applyFill="1" applyBorder="1" applyAlignment="1">
      <alignment horizontal="right" vertical="center"/>
    </xf>
    <xf numFmtId="43" fontId="7" fillId="13" borderId="43" xfId="3" applyNumberFormat="1" applyFont="1" applyFill="1" applyBorder="1" applyAlignment="1">
      <alignment horizontal="right" vertical="center"/>
    </xf>
    <xf numFmtId="2" fontId="7" fillId="0" borderId="27" xfId="5" applyNumberFormat="1" applyFont="1" applyFill="1" applyBorder="1" applyAlignment="1">
      <alignment horizontal="right"/>
    </xf>
    <xf numFmtId="164" fontId="7" fillId="13" borderId="27" xfId="5" applyNumberFormat="1" applyFont="1" applyFill="1" applyBorder="1" applyAlignment="1">
      <alignment horizontal="right" vertical="center"/>
    </xf>
    <xf numFmtId="2" fontId="7" fillId="13" borderId="42" xfId="3" applyNumberFormat="1" applyFont="1" applyFill="1" applyBorder="1" applyAlignment="1">
      <alignment horizontal="right" vertical="center"/>
    </xf>
    <xf numFmtId="2" fontId="7" fillId="13" borderId="38" xfId="3" applyNumberFormat="1" applyFont="1" applyFill="1" applyBorder="1" applyAlignment="1">
      <alignment horizontal="right" vertical="center"/>
    </xf>
    <xf numFmtId="43" fontId="7" fillId="3" borderId="27" xfId="3" applyNumberFormat="1" applyFont="1" applyFill="1" applyBorder="1" applyAlignment="1">
      <alignment horizontal="right" vertical="center"/>
    </xf>
    <xf numFmtId="43" fontId="7" fillId="11" borderId="38" xfId="4" applyFont="1" applyFill="1" applyBorder="1" applyAlignment="1">
      <alignment horizontal="right"/>
    </xf>
    <xf numFmtId="43" fontId="7" fillId="11" borderId="54" xfId="4" applyFont="1" applyFill="1" applyBorder="1" applyAlignment="1">
      <alignment horizontal="right"/>
    </xf>
    <xf numFmtId="168" fontId="7" fillId="13" borderId="19" xfId="5" applyNumberFormat="1" applyFont="1" applyFill="1" applyBorder="1" applyAlignment="1"/>
    <xf numFmtId="168" fontId="12" fillId="13" borderId="16" xfId="3" applyFont="1" applyFill="1" applyBorder="1" applyAlignment="1">
      <alignment vertical="center"/>
    </xf>
    <xf numFmtId="168" fontId="5" fillId="13" borderId="55" xfId="3" applyFont="1" applyFill="1" applyBorder="1" applyAlignment="1">
      <alignment vertical="center"/>
    </xf>
    <xf numFmtId="168" fontId="5" fillId="13" borderId="16" xfId="3" applyFont="1" applyFill="1" applyBorder="1" applyAlignment="1">
      <alignment vertical="center"/>
    </xf>
    <xf numFmtId="43" fontId="7" fillId="13" borderId="23" xfId="3" applyNumberFormat="1" applyFont="1" applyFill="1" applyBorder="1" applyAlignment="1">
      <alignment horizontal="right" vertical="center"/>
    </xf>
    <xf numFmtId="164" fontId="7" fillId="13" borderId="22" xfId="5" applyNumberFormat="1" applyFont="1" applyFill="1" applyBorder="1" applyAlignment="1"/>
    <xf numFmtId="43" fontId="7" fillId="13" borderId="16" xfId="4" applyFont="1" applyFill="1" applyBorder="1" applyAlignment="1">
      <alignment horizontal="right" vertical="center"/>
    </xf>
    <xf numFmtId="43" fontId="7" fillId="13" borderId="55" xfId="4" applyFont="1" applyFill="1" applyBorder="1" applyAlignment="1">
      <alignment horizontal="right" vertical="center"/>
    </xf>
    <xf numFmtId="168" fontId="5" fillId="11" borderId="23" xfId="3" applyFont="1" applyFill="1" applyBorder="1" applyAlignment="1">
      <alignment horizontal="right" vertical="center"/>
    </xf>
    <xf numFmtId="43" fontId="7" fillId="13" borderId="23" xfId="4" applyFont="1" applyFill="1" applyBorder="1" applyAlignment="1">
      <alignment horizontal="right"/>
    </xf>
    <xf numFmtId="168" fontId="23" fillId="13" borderId="24" xfId="3" applyFont="1" applyFill="1" applyBorder="1" applyAlignment="1">
      <alignment vertical="center"/>
    </xf>
    <xf numFmtId="168" fontId="7" fillId="13" borderId="56" xfId="3" applyFont="1" applyFill="1" applyBorder="1" applyAlignment="1">
      <alignment vertical="center"/>
    </xf>
    <xf numFmtId="168" fontId="5" fillId="13" borderId="26" xfId="3" applyFont="1" applyFill="1" applyBorder="1" applyAlignment="1">
      <alignment vertical="center"/>
    </xf>
    <xf numFmtId="43" fontId="7" fillId="13" borderId="18" xfId="3" applyNumberFormat="1" applyFont="1" applyFill="1" applyBorder="1" applyAlignment="1">
      <alignment horizontal="right" vertical="center"/>
    </xf>
    <xf numFmtId="164" fontId="7" fillId="13" borderId="28" xfId="5" applyNumberFormat="1" applyFont="1" applyFill="1" applyBorder="1" applyAlignment="1"/>
    <xf numFmtId="43" fontId="7" fillId="13" borderId="24" xfId="4" applyFont="1" applyFill="1" applyBorder="1" applyAlignment="1">
      <alignment horizontal="right" vertical="center"/>
    </xf>
    <xf numFmtId="43" fontId="7" fillId="13" borderId="56" xfId="4" applyFont="1" applyFill="1" applyBorder="1" applyAlignment="1">
      <alignment horizontal="right" vertical="center"/>
    </xf>
    <xf numFmtId="168" fontId="5" fillId="11" borderId="18" xfId="3" applyFont="1" applyFill="1" applyBorder="1" applyAlignment="1">
      <alignment horizontal="right" vertical="center"/>
    </xf>
    <xf numFmtId="164" fontId="7" fillId="13" borderId="32" xfId="5" applyNumberFormat="1" applyFont="1" applyFill="1" applyBorder="1" applyAlignment="1"/>
    <xf numFmtId="43" fontId="7" fillId="13" borderId="18" xfId="4" applyFont="1" applyFill="1" applyBorder="1" applyAlignment="1">
      <alignment horizontal="right"/>
    </xf>
    <xf numFmtId="168" fontId="7" fillId="11" borderId="18" xfId="3" applyFont="1" applyFill="1" applyBorder="1" applyAlignment="1">
      <alignment horizontal="right" vertical="center"/>
    </xf>
    <xf numFmtId="168" fontId="5" fillId="13" borderId="25" xfId="3" applyFont="1" applyFill="1" applyBorder="1" applyAlignment="1">
      <alignment vertical="center"/>
    </xf>
    <xf numFmtId="43" fontId="7" fillId="13" borderId="31" xfId="3" applyNumberFormat="1" applyFont="1" applyFill="1" applyBorder="1" applyAlignment="1">
      <alignment horizontal="right" vertical="center"/>
    </xf>
    <xf numFmtId="164" fontId="7" fillId="13" borderId="34" xfId="5" applyNumberFormat="1" applyFont="1" applyFill="1" applyBorder="1" applyAlignment="1"/>
    <xf numFmtId="43" fontId="7" fillId="13" borderId="25" xfId="4" applyFont="1" applyFill="1" applyBorder="1" applyAlignment="1">
      <alignment horizontal="right" vertical="center"/>
    </xf>
    <xf numFmtId="43" fontId="7" fillId="13" borderId="57" xfId="4" applyFont="1" applyFill="1" applyBorder="1" applyAlignment="1">
      <alignment horizontal="right" vertical="center"/>
    </xf>
    <xf numFmtId="168" fontId="7" fillId="11" borderId="31" xfId="3" applyFont="1" applyFill="1" applyBorder="1" applyAlignment="1">
      <alignment horizontal="right" vertical="center"/>
    </xf>
    <xf numFmtId="164" fontId="7" fillId="13" borderId="37" xfId="5" applyNumberFormat="1" applyFont="1" applyFill="1" applyBorder="1" applyAlignment="1"/>
    <xf numFmtId="164" fontId="7" fillId="13" borderId="58" xfId="5" applyNumberFormat="1" applyFont="1" applyFill="1" applyBorder="1" applyAlignment="1"/>
    <xf numFmtId="43" fontId="7" fillId="13" borderId="31" xfId="4" applyFont="1" applyFill="1" applyBorder="1" applyAlignment="1">
      <alignment horizontal="right"/>
    </xf>
    <xf numFmtId="168" fontId="7" fillId="13" borderId="38" xfId="5" applyNumberFormat="1" applyFont="1" applyFill="1" applyBorder="1" applyAlignment="1">
      <alignment horizontal="right" vertical="center"/>
    </xf>
    <xf numFmtId="43" fontId="7" fillId="13" borderId="33" xfId="4" applyFont="1" applyFill="1" applyBorder="1" applyAlignment="1">
      <alignment horizontal="right" vertical="center"/>
    </xf>
    <xf numFmtId="43" fontId="7" fillId="13" borderId="59" xfId="4" applyFont="1" applyFill="1" applyBorder="1" applyAlignment="1">
      <alignment horizontal="right" vertical="center"/>
    </xf>
    <xf numFmtId="43" fontId="7" fillId="13" borderId="27" xfId="4" applyFont="1" applyFill="1" applyBorder="1" applyAlignment="1">
      <alignment horizontal="right" vertical="center"/>
    </xf>
    <xf numFmtId="43" fontId="7" fillId="11" borderId="54" xfId="4" applyFont="1" applyFill="1" applyBorder="1" applyAlignment="1">
      <alignment horizontal="right" vertical="center"/>
    </xf>
    <xf numFmtId="164" fontId="7" fillId="13" borderId="27" xfId="5" applyNumberFormat="1" applyFont="1" applyFill="1" applyBorder="1" applyAlignment="1"/>
    <xf numFmtId="43" fontId="7" fillId="13" borderId="42" xfId="4" applyFont="1" applyFill="1" applyBorder="1" applyAlignment="1">
      <alignment horizontal="right" vertical="center"/>
    </xf>
    <xf numFmtId="43" fontId="7" fillId="13" borderId="44" xfId="4" applyFont="1" applyFill="1" applyBorder="1" applyAlignment="1">
      <alignment horizontal="right" vertical="center"/>
    </xf>
    <xf numFmtId="43" fontId="7" fillId="11" borderId="35" xfId="4" applyFont="1" applyFill="1" applyBorder="1" applyAlignment="1"/>
    <xf numFmtId="43" fontId="7" fillId="11" borderId="36" xfId="4" applyFont="1" applyFill="1" applyBorder="1" applyAlignment="1"/>
    <xf numFmtId="168" fontId="5" fillId="13" borderId="33" xfId="3" applyFont="1" applyFill="1" applyBorder="1" applyAlignment="1">
      <alignment vertical="center"/>
    </xf>
    <xf numFmtId="168" fontId="12" fillId="0" borderId="16" xfId="3" applyFont="1" applyBorder="1" applyAlignment="1">
      <alignment vertical="center"/>
    </xf>
    <xf numFmtId="168" fontId="5" fillId="0" borderId="55" xfId="3" applyFont="1" applyBorder="1" applyAlignment="1">
      <alignment vertical="center"/>
    </xf>
    <xf numFmtId="168" fontId="5" fillId="0" borderId="23" xfId="3" applyFont="1" applyBorder="1" applyAlignment="1">
      <alignment horizontal="right" vertical="center"/>
    </xf>
    <xf numFmtId="168" fontId="23" fillId="0" borderId="24" xfId="3" quotePrefix="1" applyFont="1" applyBorder="1" applyAlignment="1">
      <alignment vertical="center"/>
    </xf>
    <xf numFmtId="168" fontId="5" fillId="0" borderId="56" xfId="3" applyFont="1" applyBorder="1" applyAlignment="1">
      <alignment vertical="center"/>
    </xf>
    <xf numFmtId="168" fontId="23" fillId="0" borderId="24" xfId="3" applyFont="1" applyBorder="1" applyAlignment="1">
      <alignment vertical="center"/>
    </xf>
    <xf numFmtId="168" fontId="7" fillId="0" borderId="56" xfId="3" applyFont="1" applyBorder="1" applyAlignment="1">
      <alignment vertical="center"/>
    </xf>
    <xf numFmtId="168" fontId="5" fillId="0" borderId="18" xfId="3" applyFont="1" applyBorder="1" applyAlignment="1">
      <alignment horizontal="right" vertical="center"/>
    </xf>
    <xf numFmtId="168" fontId="7" fillId="0" borderId="18" xfId="3" applyFont="1" applyBorder="1" applyAlignment="1">
      <alignment horizontal="right" vertical="center"/>
    </xf>
    <xf numFmtId="43" fontId="7" fillId="11" borderId="60" xfId="4" applyFont="1" applyFill="1" applyBorder="1" applyAlignment="1">
      <alignment horizontal="right"/>
    </xf>
    <xf numFmtId="2" fontId="7" fillId="11" borderId="42" xfId="5" applyNumberFormat="1" applyFont="1" applyFill="1" applyBorder="1" applyAlignment="1">
      <alignment horizontal="right"/>
    </xf>
    <xf numFmtId="2" fontId="7" fillId="11" borderId="60" xfId="5" applyNumberFormat="1" applyFont="1" applyFill="1" applyBorder="1" applyAlignment="1">
      <alignment horizontal="right"/>
    </xf>
    <xf numFmtId="168" fontId="5" fillId="11" borderId="42" xfId="3" applyFont="1" applyFill="1" applyBorder="1" applyAlignment="1">
      <alignment horizontal="right" vertical="center"/>
    </xf>
    <xf numFmtId="168" fontId="23" fillId="13" borderId="24" xfId="3" quotePrefix="1" applyFont="1" applyFill="1" applyBorder="1" applyAlignment="1">
      <alignment vertical="center"/>
    </xf>
    <xf numFmtId="168" fontId="7" fillId="11" borderId="42" xfId="3" applyFont="1" applyFill="1" applyBorder="1" applyAlignment="1">
      <alignment horizontal="right" vertical="center"/>
    </xf>
    <xf numFmtId="43" fontId="7" fillId="13" borderId="43" xfId="4" applyFont="1" applyFill="1" applyBorder="1" applyAlignment="1">
      <alignment horizontal="right" vertical="center"/>
    </xf>
    <xf numFmtId="2" fontId="7" fillId="11" borderId="60" xfId="3" applyNumberFormat="1" applyFont="1" applyFill="1" applyBorder="1" applyAlignment="1">
      <alignment horizontal="right" vertical="center"/>
    </xf>
    <xf numFmtId="168" fontId="7" fillId="11" borderId="42" xfId="3" applyFont="1" applyFill="1" applyBorder="1" applyAlignment="1">
      <alignment horizontal="left" vertical="center"/>
    </xf>
    <xf numFmtId="10" fontId="7" fillId="13" borderId="20" xfId="7" applyNumberFormat="1" applyFont="1" applyFill="1" applyBorder="1" applyAlignment="1"/>
    <xf numFmtId="168" fontId="23" fillId="0" borderId="7" xfId="3" applyFont="1" applyBorder="1" applyAlignment="1">
      <alignment vertical="center"/>
    </xf>
    <xf numFmtId="168" fontId="7" fillId="0" borderId="61" xfId="3" applyFont="1" applyBorder="1" applyAlignment="1">
      <alignment vertical="center"/>
    </xf>
    <xf numFmtId="168" fontId="7" fillId="0" borderId="11" xfId="3" applyFont="1" applyBorder="1" applyAlignment="1">
      <alignment horizontal="right" vertical="center"/>
    </xf>
    <xf numFmtId="164" fontId="7" fillId="11" borderId="3" xfId="5" applyNumberFormat="1" applyFont="1" applyFill="1" applyBorder="1" applyAlignment="1"/>
    <xf numFmtId="43" fontId="7" fillId="11" borderId="6" xfId="5" applyNumberFormat="1" applyFont="1" applyFill="1" applyBorder="1" applyAlignment="1"/>
    <xf numFmtId="164" fontId="7" fillId="11" borderId="8" xfId="5" applyNumberFormat="1" applyFont="1" applyFill="1" applyBorder="1" applyAlignment="1"/>
    <xf numFmtId="164" fontId="7" fillId="11" borderId="5" xfId="5" applyNumberFormat="1" applyFont="1" applyFill="1" applyBorder="1" applyAlignment="1"/>
    <xf numFmtId="43" fontId="7" fillId="11" borderId="3" xfId="4" applyFont="1" applyFill="1" applyBorder="1" applyAlignment="1"/>
    <xf numFmtId="168" fontId="7" fillId="0" borderId="6" xfId="3" applyFont="1" applyBorder="1" applyAlignment="1">
      <alignment horizontal="right" vertical="center"/>
    </xf>
    <xf numFmtId="168" fontId="23" fillId="0" borderId="0" xfId="3" applyFont="1"/>
    <xf numFmtId="168" fontId="12" fillId="15" borderId="56" xfId="3" applyFont="1" applyFill="1" applyBorder="1" applyAlignment="1">
      <alignment vertical="center"/>
    </xf>
    <xf numFmtId="168" fontId="12" fillId="15" borderId="0" xfId="3" applyFont="1" applyFill="1" applyAlignment="1">
      <alignment vertical="center"/>
    </xf>
    <xf numFmtId="168" fontId="12" fillId="15" borderId="23" xfId="3" applyFont="1" applyFill="1" applyBorder="1" applyAlignment="1">
      <alignment vertical="center"/>
    </xf>
    <xf numFmtId="43" fontId="23" fillId="15" borderId="23" xfId="3" applyNumberFormat="1" applyFont="1" applyFill="1" applyBorder="1" applyAlignment="1">
      <alignment horizontal="right" vertical="center"/>
    </xf>
    <xf numFmtId="9" fontId="23" fillId="11" borderId="19" xfId="5" applyFont="1" applyFill="1" applyBorder="1" applyAlignment="1">
      <alignment horizontal="right" vertical="center"/>
    </xf>
    <xf numFmtId="9" fontId="23" fillId="11" borderId="20" xfId="5" applyFont="1" applyFill="1" applyBorder="1" applyAlignment="1">
      <alignment horizontal="right" vertical="center"/>
    </xf>
    <xf numFmtId="43" fontId="23" fillId="15" borderId="62" xfId="4" applyFont="1" applyFill="1" applyBorder="1" applyAlignment="1">
      <alignment horizontal="right" vertical="center"/>
    </xf>
    <xf numFmtId="43" fontId="23" fillId="15" borderId="21" xfId="4" applyFont="1" applyFill="1" applyBorder="1" applyAlignment="1">
      <alignment horizontal="right" vertical="center"/>
    </xf>
    <xf numFmtId="43" fontId="23" fillId="11" borderId="27" xfId="4" applyFont="1" applyFill="1" applyBorder="1" applyAlignment="1">
      <alignment horizontal="right" vertical="center"/>
    </xf>
    <xf numFmtId="9" fontId="23" fillId="11" borderId="22" xfId="5" applyFont="1" applyFill="1" applyBorder="1" applyAlignment="1">
      <alignment horizontal="right" vertical="center"/>
    </xf>
    <xf numFmtId="168" fontId="12" fillId="12" borderId="18" xfId="3" applyFont="1" applyFill="1" applyBorder="1" applyAlignment="1">
      <alignment horizontal="right" vertical="center"/>
    </xf>
    <xf numFmtId="168" fontId="29" fillId="0" borderId="0" xfId="3" applyFont="1"/>
    <xf numFmtId="168" fontId="12" fillId="15" borderId="18" xfId="3" applyFont="1" applyFill="1" applyBorder="1" applyAlignment="1">
      <alignment vertical="center"/>
    </xf>
    <xf numFmtId="43" fontId="23" fillId="15" borderId="18" xfId="3" applyNumberFormat="1" applyFont="1" applyFill="1" applyBorder="1" applyAlignment="1">
      <alignment horizontal="right" vertical="center"/>
    </xf>
    <xf numFmtId="10" fontId="23" fillId="11" borderId="39" xfId="5" applyNumberFormat="1" applyFont="1" applyFill="1" applyBorder="1" applyAlignment="1">
      <alignment horizontal="right" vertical="center"/>
    </xf>
    <xf numFmtId="10" fontId="23" fillId="11" borderId="42" xfId="5" applyNumberFormat="1" applyFont="1" applyFill="1" applyBorder="1" applyAlignment="1">
      <alignment horizontal="right" vertical="center"/>
    </xf>
    <xf numFmtId="43" fontId="23" fillId="15" borderId="63" xfId="4" applyFont="1" applyFill="1" applyBorder="1" applyAlignment="1">
      <alignment horizontal="right" vertical="center"/>
    </xf>
    <xf numFmtId="43" fontId="23" fillId="15" borderId="30" xfId="4" applyFont="1" applyFill="1" applyBorder="1" applyAlignment="1">
      <alignment horizontal="right" vertical="center"/>
    </xf>
    <xf numFmtId="10" fontId="23" fillId="11" borderId="40" xfId="5" applyNumberFormat="1" applyFont="1" applyFill="1" applyBorder="1" applyAlignment="1">
      <alignment horizontal="right" vertical="center"/>
    </xf>
    <xf numFmtId="168" fontId="23" fillId="15" borderId="64" xfId="3" applyFont="1" applyFill="1" applyBorder="1" applyAlignment="1">
      <alignment horizontal="left" vertical="center" indent="2"/>
    </xf>
    <xf numFmtId="168" fontId="23" fillId="15" borderId="50" xfId="3" applyFont="1" applyFill="1" applyBorder="1" applyAlignment="1">
      <alignment vertical="center"/>
    </xf>
    <xf numFmtId="168" fontId="12" fillId="15" borderId="65" xfId="3" applyFont="1" applyFill="1" applyBorder="1" applyAlignment="1">
      <alignment vertical="center"/>
    </xf>
    <xf numFmtId="168" fontId="23" fillId="15" borderId="66" xfId="3" applyFont="1" applyFill="1" applyBorder="1" applyAlignment="1">
      <alignment horizontal="left" vertical="center" indent="2"/>
    </xf>
    <xf numFmtId="168" fontId="23" fillId="15" borderId="67" xfId="3" applyFont="1" applyFill="1" applyBorder="1" applyAlignment="1">
      <alignment vertical="center"/>
    </xf>
    <xf numFmtId="9" fontId="23" fillId="11" borderId="34" xfId="5" applyFont="1" applyFill="1" applyBorder="1" applyAlignment="1">
      <alignment horizontal="right" vertical="center"/>
    </xf>
    <xf numFmtId="9" fontId="23" fillId="11" borderId="52" xfId="5" applyFont="1" applyFill="1" applyBorder="1" applyAlignment="1">
      <alignment horizontal="right" vertical="center"/>
    </xf>
    <xf numFmtId="9" fontId="23" fillId="11" borderId="37" xfId="5" applyFont="1" applyFill="1" applyBorder="1" applyAlignment="1">
      <alignment horizontal="right" vertical="center"/>
    </xf>
    <xf numFmtId="168" fontId="12" fillId="15" borderId="61" xfId="3" applyFont="1" applyFill="1" applyBorder="1" applyAlignment="1">
      <alignment vertical="center"/>
    </xf>
    <xf numFmtId="168" fontId="23" fillId="15" borderId="1" xfId="3" applyFont="1" applyFill="1" applyBorder="1" applyAlignment="1">
      <alignment horizontal="left" vertical="center" indent="2"/>
    </xf>
    <xf numFmtId="168" fontId="23" fillId="15" borderId="11" xfId="3" applyFont="1" applyFill="1" applyBorder="1" applyAlignment="1">
      <alignment horizontal="left" vertical="center" indent="2"/>
    </xf>
    <xf numFmtId="43" fontId="23" fillId="15" borderId="54" xfId="3" applyNumberFormat="1" applyFont="1" applyFill="1" applyBorder="1" applyAlignment="1">
      <alignment horizontal="right" vertical="center"/>
    </xf>
    <xf numFmtId="9" fontId="23" fillId="11" borderId="45" xfId="5" applyFont="1" applyFill="1" applyBorder="1" applyAlignment="1">
      <alignment horizontal="right" vertical="center"/>
    </xf>
    <xf numFmtId="9" fontId="23" fillId="11" borderId="46" xfId="5" applyFont="1" applyFill="1" applyBorder="1" applyAlignment="1">
      <alignment horizontal="right" vertical="center"/>
    </xf>
    <xf numFmtId="43" fontId="23" fillId="15" borderId="49" xfId="4" applyFont="1" applyFill="1" applyBorder="1" applyAlignment="1">
      <alignment horizontal="right" vertical="center"/>
    </xf>
    <xf numFmtId="43" fontId="23" fillId="15" borderId="47" xfId="4" applyFont="1" applyFill="1" applyBorder="1" applyAlignment="1">
      <alignment horizontal="right" vertical="center"/>
    </xf>
    <xf numFmtId="43" fontId="23" fillId="15" borderId="27" xfId="4" applyFont="1" applyFill="1" applyBorder="1" applyAlignment="1">
      <alignment horizontal="right" vertical="center"/>
    </xf>
    <xf numFmtId="9" fontId="23" fillId="11" borderId="48" xfId="5" applyFont="1" applyFill="1" applyBorder="1" applyAlignment="1">
      <alignment horizontal="right" vertical="center"/>
    </xf>
    <xf numFmtId="168" fontId="23" fillId="15" borderId="0" xfId="3" applyFont="1" applyFill="1" applyAlignment="1">
      <alignment horizontal="left" vertical="center" indent="2"/>
    </xf>
    <xf numFmtId="168" fontId="23" fillId="15" borderId="31" xfId="3" applyFont="1" applyFill="1" applyBorder="1" applyAlignment="1">
      <alignment horizontal="left" vertical="center" indent="2"/>
    </xf>
    <xf numFmtId="164" fontId="7" fillId="11" borderId="68" xfId="5" applyNumberFormat="1" applyFont="1" applyFill="1" applyBorder="1" applyAlignment="1"/>
    <xf numFmtId="164" fontId="7" fillId="11" borderId="35" xfId="5" applyNumberFormat="1" applyFont="1" applyFill="1" applyBorder="1" applyAlignment="1"/>
    <xf numFmtId="164" fontId="7" fillId="11" borderId="69" xfId="5" applyNumberFormat="1" applyFont="1" applyFill="1" applyBorder="1" applyAlignment="1"/>
    <xf numFmtId="43" fontId="7" fillId="11" borderId="70" xfId="4" applyFont="1" applyFill="1" applyBorder="1" applyAlignment="1">
      <alignment horizontal="right"/>
    </xf>
    <xf numFmtId="168" fontId="23" fillId="15" borderId="71" xfId="3" applyFont="1" applyFill="1" applyBorder="1" applyAlignment="1">
      <alignment horizontal="left" vertical="center" indent="2"/>
    </xf>
    <xf numFmtId="43" fontId="23" fillId="15" borderId="11" xfId="3" applyNumberFormat="1" applyFont="1" applyFill="1" applyBorder="1" applyAlignment="1">
      <alignment horizontal="right" vertical="center"/>
    </xf>
    <xf numFmtId="43" fontId="7" fillId="11" borderId="33" xfId="4" applyFont="1" applyFill="1" applyBorder="1" applyAlignment="1">
      <alignment horizontal="right"/>
    </xf>
    <xf numFmtId="168" fontId="12" fillId="12" borderId="11" xfId="3" applyFont="1" applyFill="1" applyBorder="1" applyAlignment="1">
      <alignment horizontal="right" vertical="center"/>
    </xf>
    <xf numFmtId="168" fontId="30" fillId="0" borderId="0" xfId="3" applyFont="1"/>
    <xf numFmtId="168" fontId="31" fillId="0" borderId="0" xfId="3" applyFont="1" applyAlignment="1">
      <alignment horizontal="left"/>
    </xf>
    <xf numFmtId="168" fontId="33" fillId="0" borderId="0" xfId="3" applyFont="1"/>
    <xf numFmtId="43" fontId="30" fillId="0" borderId="0" xfId="3" applyNumberFormat="1" applyFont="1"/>
    <xf numFmtId="43" fontId="33" fillId="0" borderId="0" xfId="4" applyFont="1"/>
    <xf numFmtId="43" fontId="30" fillId="0" borderId="0" xfId="4" applyFont="1"/>
    <xf numFmtId="168" fontId="35" fillId="0" borderId="0" xfId="3" applyFont="1"/>
    <xf numFmtId="168" fontId="33" fillId="0" borderId="0" xfId="3" applyFont="1" applyAlignment="1">
      <alignment horizontal="left"/>
    </xf>
    <xf numFmtId="168" fontId="17" fillId="0" borderId="0" xfId="3" applyFont="1" applyAlignment="1">
      <alignment horizontal="left"/>
    </xf>
    <xf numFmtId="168" fontId="17" fillId="0" borderId="0" xfId="3" applyFont="1"/>
    <xf numFmtId="168" fontId="3" fillId="0" borderId="42" xfId="9" applyFont="1" applyBorder="1"/>
    <xf numFmtId="168" fontId="1" fillId="0" borderId="0" xfId="9"/>
    <xf numFmtId="168" fontId="0" fillId="0" borderId="42" xfId="9" applyFont="1" applyBorder="1"/>
    <xf numFmtId="43" fontId="42" fillId="13" borderId="42" xfId="10" applyFont="1" applyFill="1" applyBorder="1" applyAlignment="1">
      <alignment horizontal="center" vertical="center" wrapText="1"/>
    </xf>
    <xf numFmtId="10" fontId="3" fillId="13" borderId="42" xfId="10" applyNumberFormat="1" applyFont="1" applyFill="1" applyBorder="1" applyAlignment="1">
      <alignment horizontal="center" vertical="center"/>
    </xf>
    <xf numFmtId="43" fontId="42" fillId="9" borderId="42" xfId="10" applyFont="1" applyFill="1" applyBorder="1" applyAlignment="1">
      <alignment horizontal="center" vertical="center" wrapText="1"/>
    </xf>
    <xf numFmtId="43" fontId="42" fillId="9" borderId="42" xfId="10" applyFont="1" applyFill="1" applyBorder="1" applyAlignment="1">
      <alignment horizontal="center" vertical="center"/>
    </xf>
    <xf numFmtId="10" fontId="42" fillId="9" borderId="42" xfId="10" applyNumberFormat="1" applyFont="1" applyFill="1" applyBorder="1" applyAlignment="1">
      <alignment horizontal="center" vertical="center"/>
    </xf>
    <xf numFmtId="43" fontId="0" fillId="13" borderId="42" xfId="10" applyFont="1" applyFill="1" applyBorder="1"/>
    <xf numFmtId="10" fontId="0" fillId="13" borderId="42" xfId="10" applyNumberFormat="1" applyFont="1" applyFill="1" applyBorder="1" applyAlignment="1"/>
    <xf numFmtId="43" fontId="0" fillId="9" borderId="42" xfId="10" applyFont="1" applyFill="1" applyBorder="1"/>
    <xf numFmtId="10" fontId="0" fillId="9" borderId="42" xfId="10" applyNumberFormat="1" applyFont="1" applyFill="1" applyBorder="1" applyAlignment="1"/>
    <xf numFmtId="10" fontId="0" fillId="13" borderId="42" xfId="10" applyNumberFormat="1" applyFont="1" applyFill="1" applyBorder="1"/>
    <xf numFmtId="168" fontId="0" fillId="0" borderId="0" xfId="9" applyFont="1"/>
    <xf numFmtId="168" fontId="1" fillId="0" borderId="42" xfId="9" applyBorder="1" applyAlignment="1">
      <alignment horizontal="left"/>
    </xf>
    <xf numFmtId="43" fontId="0" fillId="13" borderId="42" xfId="10" applyFont="1" applyFill="1" applyBorder="1" applyAlignment="1">
      <alignment horizontal="center" vertical="center"/>
    </xf>
    <xf numFmtId="10" fontId="0" fillId="13" borderId="42" xfId="11" applyNumberFormat="1" applyFont="1" applyFill="1" applyBorder="1" applyAlignment="1">
      <alignment horizontal="center"/>
    </xf>
    <xf numFmtId="43" fontId="1" fillId="9" borderId="42" xfId="10" applyFont="1" applyFill="1" applyBorder="1" applyAlignment="1">
      <alignment vertical="center"/>
    </xf>
    <xf numFmtId="43" fontId="1" fillId="13" borderId="42" xfId="10" applyFont="1" applyFill="1" applyBorder="1"/>
    <xf numFmtId="10" fontId="0" fillId="13" borderId="42" xfId="11" applyNumberFormat="1" applyFont="1" applyFill="1" applyBorder="1" applyAlignment="1"/>
    <xf numFmtId="43" fontId="0" fillId="0" borderId="0" xfId="10" applyFont="1"/>
    <xf numFmtId="168" fontId="0" fillId="0" borderId="42" xfId="9" applyFont="1" applyBorder="1" applyAlignment="1">
      <alignment horizontal="left"/>
    </xf>
    <xf numFmtId="168" fontId="3" fillId="0" borderId="0" xfId="9" applyFont="1"/>
    <xf numFmtId="168" fontId="44" fillId="0" borderId="42" xfId="9" applyFont="1" applyBorder="1" applyAlignment="1">
      <alignment horizontal="left"/>
    </xf>
    <xf numFmtId="168" fontId="42" fillId="0" borderId="42" xfId="9" applyFont="1" applyBorder="1" applyAlignment="1">
      <alignment horizontal="left"/>
    </xf>
    <xf numFmtId="43" fontId="42" fillId="13" borderId="42" xfId="10" applyFont="1" applyFill="1" applyBorder="1"/>
    <xf numFmtId="43" fontId="45" fillId="13" borderId="42" xfId="10" applyFont="1" applyFill="1" applyBorder="1"/>
    <xf numFmtId="168" fontId="42" fillId="0" borderId="0" xfId="9" applyFont="1"/>
    <xf numFmtId="168" fontId="3" fillId="0" borderId="42" xfId="9" applyFont="1" applyBorder="1" applyAlignment="1">
      <alignment horizontal="left"/>
    </xf>
    <xf numFmtId="43" fontId="44" fillId="13" borderId="42" xfId="10" applyFont="1" applyFill="1" applyBorder="1"/>
    <xf numFmtId="43" fontId="3" fillId="13" borderId="42" xfId="10" applyFont="1" applyFill="1" applyBorder="1"/>
    <xf numFmtId="43" fontId="2" fillId="9" borderId="42" xfId="10" applyFont="1" applyFill="1" applyBorder="1"/>
    <xf numFmtId="43" fontId="1" fillId="9" borderId="42" xfId="10" applyFont="1" applyFill="1" applyBorder="1"/>
    <xf numFmtId="43" fontId="2" fillId="13" borderId="42" xfId="10" applyFont="1" applyFill="1" applyBorder="1"/>
    <xf numFmtId="43" fontId="45" fillId="9" borderId="42" xfId="10" applyFont="1" applyFill="1" applyBorder="1"/>
    <xf numFmtId="43" fontId="1" fillId="13" borderId="42" xfId="10" applyFont="1" applyFill="1" applyBorder="1" applyAlignment="1">
      <alignment horizontal="left"/>
    </xf>
    <xf numFmtId="168" fontId="3" fillId="0" borderId="0" xfId="9" applyFont="1" applyAlignment="1">
      <alignment horizontal="left"/>
    </xf>
    <xf numFmtId="168" fontId="0" fillId="0" borderId="42" xfId="9" applyFont="1" applyBorder="1" applyAlignment="1">
      <alignment horizontal="right"/>
    </xf>
    <xf numFmtId="168" fontId="0" fillId="0" borderId="0" xfId="9" applyFont="1" applyAlignment="1">
      <alignment horizontal="left"/>
    </xf>
    <xf numFmtId="43" fontId="42" fillId="0" borderId="42" xfId="9" applyNumberFormat="1" applyFont="1" applyBorder="1"/>
    <xf numFmtId="10" fontId="42" fillId="13" borderId="42" xfId="10" applyNumberFormat="1" applyFont="1" applyFill="1" applyBorder="1" applyAlignment="1"/>
    <xf numFmtId="43" fontId="3" fillId="9" borderId="42" xfId="10" applyFont="1" applyFill="1" applyBorder="1"/>
    <xf numFmtId="168" fontId="45" fillId="0" borderId="0" xfId="9" applyFont="1"/>
    <xf numFmtId="43" fontId="44" fillId="0" borderId="42" xfId="9" applyNumberFormat="1" applyFont="1" applyBorder="1" applyAlignment="1">
      <alignment horizontal="left"/>
    </xf>
    <xf numFmtId="43" fontId="45" fillId="0" borderId="42" xfId="9" applyNumberFormat="1" applyFont="1" applyBorder="1"/>
    <xf numFmtId="43" fontId="3" fillId="13" borderId="42" xfId="14" applyFont="1" applyFill="1" applyBorder="1" applyAlignment="1"/>
    <xf numFmtId="168" fontId="45" fillId="0" borderId="42" xfId="9" applyFont="1" applyBorder="1"/>
    <xf numFmtId="170" fontId="46" fillId="13" borderId="42" xfId="11" applyNumberFormat="1" applyFont="1" applyFill="1" applyBorder="1" applyAlignment="1"/>
    <xf numFmtId="10" fontId="45" fillId="13" borderId="42" xfId="11" applyNumberFormat="1" applyFont="1" applyFill="1" applyBorder="1" applyAlignment="1"/>
    <xf numFmtId="170" fontId="46" fillId="9" borderId="42" xfId="11" applyNumberFormat="1" applyFont="1" applyFill="1" applyBorder="1" applyAlignment="1"/>
    <xf numFmtId="10" fontId="45" fillId="9" borderId="42" xfId="11" applyNumberFormat="1" applyFont="1" applyFill="1" applyBorder="1" applyAlignment="1"/>
    <xf numFmtId="43" fontId="0" fillId="0" borderId="0" xfId="10" applyFont="1" applyAlignment="1"/>
    <xf numFmtId="10" fontId="0" fillId="0" borderId="0" xfId="10" applyNumberFormat="1" applyFont="1" applyFill="1"/>
    <xf numFmtId="43" fontId="0" fillId="0" borderId="0" xfId="10" applyFont="1" applyFill="1" applyAlignment="1"/>
    <xf numFmtId="10" fontId="0" fillId="0" borderId="0" xfId="10" applyNumberFormat="1" applyFont="1"/>
    <xf numFmtId="10" fontId="0" fillId="0" borderId="0" xfId="10" applyNumberFormat="1" applyFont="1" applyAlignment="1"/>
    <xf numFmtId="43" fontId="0" fillId="0" borderId="0" xfId="10" applyFont="1" applyFill="1"/>
    <xf numFmtId="10" fontId="0" fillId="0" borderId="0" xfId="10" applyNumberFormat="1" applyFont="1" applyFill="1" applyAlignment="1"/>
    <xf numFmtId="43" fontId="47" fillId="0" borderId="0" xfId="10" applyFont="1"/>
    <xf numFmtId="169" fontId="0" fillId="0" borderId="0" xfId="10" applyNumberFormat="1" applyFont="1" applyFill="1"/>
    <xf numFmtId="43" fontId="48" fillId="0" borderId="0" xfId="10" applyFont="1"/>
    <xf numFmtId="43" fontId="49" fillId="0" borderId="0" xfId="9" applyNumberFormat="1" applyFont="1"/>
    <xf numFmtId="10" fontId="49" fillId="0" borderId="0" xfId="7" applyNumberFormat="1" applyFont="1" applyAlignment="1"/>
    <xf numFmtId="43" fontId="0" fillId="0" borderId="0" xfId="9" applyNumberFormat="1" applyFont="1"/>
    <xf numFmtId="43" fontId="49" fillId="0" borderId="0" xfId="10" applyFont="1"/>
    <xf numFmtId="43" fontId="50" fillId="0" borderId="0" xfId="10" applyFont="1"/>
    <xf numFmtId="43" fontId="1" fillId="0" borderId="0" xfId="10" applyFont="1"/>
    <xf numFmtId="43" fontId="51" fillId="0" borderId="0" xfId="10" applyFont="1" applyAlignment="1"/>
    <xf numFmtId="171" fontId="0" fillId="0" borderId="0" xfId="10" applyNumberFormat="1" applyFont="1" applyFill="1"/>
    <xf numFmtId="168" fontId="52" fillId="0" borderId="0" xfId="15" applyAlignment="1">
      <alignment vertical="center"/>
    </xf>
    <xf numFmtId="168" fontId="52" fillId="0" borderId="0" xfId="15"/>
    <xf numFmtId="171" fontId="52" fillId="0" borderId="0" xfId="15" applyNumberFormat="1"/>
    <xf numFmtId="168" fontId="53" fillId="0" borderId="0" xfId="16" applyFont="1" applyAlignment="1">
      <alignment horizontal="center" vertical="top" wrapText="1"/>
    </xf>
    <xf numFmtId="168" fontId="53" fillId="0" borderId="0" xfId="9" applyFont="1"/>
    <xf numFmtId="168" fontId="54" fillId="0" borderId="42" xfId="17" applyFont="1" applyBorder="1" applyAlignment="1">
      <alignment vertical="top" wrapText="1"/>
    </xf>
    <xf numFmtId="172" fontId="54" fillId="0" borderId="42" xfId="18" applyNumberFormat="1" applyFont="1" applyBorder="1" applyAlignment="1">
      <alignment horizontal="left" vertical="top" wrapText="1"/>
    </xf>
    <xf numFmtId="168" fontId="55" fillId="0" borderId="42" xfId="15" applyFont="1" applyBorder="1" applyAlignment="1">
      <alignment wrapText="1"/>
    </xf>
    <xf numFmtId="43" fontId="55" fillId="0" borderId="42" xfId="15" applyNumberFormat="1" applyFont="1" applyBorder="1" applyAlignment="1">
      <alignment horizontal="left" vertical="top" wrapText="1"/>
    </xf>
    <xf numFmtId="43" fontId="55" fillId="0" borderId="0" xfId="15" applyNumberFormat="1" applyFont="1" applyAlignment="1">
      <alignment horizontal="left" vertical="top" wrapText="1"/>
    </xf>
    <xf numFmtId="168" fontId="55" fillId="0" borderId="0" xfId="15" applyFont="1" applyAlignment="1">
      <alignment horizontal="left" vertical="top" wrapText="1"/>
    </xf>
    <xf numFmtId="168" fontId="53" fillId="0" borderId="42" xfId="17" applyFont="1" applyBorder="1" applyAlignment="1">
      <alignment vertical="top" wrapText="1"/>
    </xf>
    <xf numFmtId="172" fontId="53" fillId="0" borderId="42" xfId="18" applyNumberFormat="1" applyFont="1" applyBorder="1" applyAlignment="1">
      <alignment horizontal="left" vertical="top" wrapText="1"/>
    </xf>
    <xf numFmtId="43" fontId="49" fillId="0" borderId="42" xfId="10" applyFont="1" applyBorder="1"/>
    <xf numFmtId="43" fontId="56" fillId="0" borderId="0" xfId="15" applyNumberFormat="1" applyFont="1" applyAlignment="1">
      <alignment horizontal="left" vertical="top" wrapText="1"/>
    </xf>
    <xf numFmtId="168" fontId="56" fillId="0" borderId="0" xfId="15" applyFont="1" applyAlignment="1">
      <alignment horizontal="left" vertical="top" wrapText="1"/>
    </xf>
    <xf numFmtId="43" fontId="56" fillId="0" borderId="41" xfId="14" applyFont="1" applyFill="1" applyBorder="1" applyAlignment="1">
      <alignment horizontal="center" vertical="center" wrapText="1"/>
    </xf>
    <xf numFmtId="43" fontId="51" fillId="0" borderId="42" xfId="14" applyFont="1" applyFill="1" applyBorder="1" applyAlignment="1"/>
    <xf numFmtId="168" fontId="57" fillId="0" borderId="42" xfId="17" applyFont="1" applyBorder="1" applyAlignment="1">
      <alignment vertical="top" wrapText="1"/>
    </xf>
    <xf numFmtId="168" fontId="52" fillId="0" borderId="42" xfId="15" applyBorder="1"/>
    <xf numFmtId="168" fontId="52" fillId="0" borderId="42" xfId="15" applyBorder="1" applyAlignment="1">
      <alignment horizontal="left"/>
    </xf>
    <xf numFmtId="171" fontId="52" fillId="0" borderId="0" xfId="19" applyFont="1" applyFill="1"/>
    <xf numFmtId="171" fontId="52" fillId="0" borderId="0" xfId="19" quotePrefix="1" applyFont="1" applyFill="1"/>
    <xf numFmtId="171" fontId="58" fillId="0" borderId="0" xfId="19" applyFont="1" applyFill="1" applyAlignment="1">
      <alignment horizontal="right"/>
    </xf>
    <xf numFmtId="168" fontId="52" fillId="0" borderId="42" xfId="15" applyBorder="1" applyAlignment="1">
      <alignment vertical="center"/>
    </xf>
    <xf numFmtId="43" fontId="52" fillId="0" borderId="42" xfId="10" applyFont="1" applyFill="1" applyBorder="1" applyAlignment="1">
      <alignment horizontal="left" vertical="center"/>
    </xf>
    <xf numFmtId="167" fontId="52" fillId="0" borderId="42" xfId="10" applyNumberFormat="1" applyFont="1" applyFill="1" applyBorder="1" applyAlignment="1">
      <alignment horizontal="left"/>
    </xf>
    <xf numFmtId="43" fontId="52" fillId="0" borderId="41" xfId="14" quotePrefix="1" applyFont="1" applyFill="1" applyBorder="1" applyAlignment="1">
      <alignment horizontal="center" vertical="center"/>
    </xf>
    <xf numFmtId="168" fontId="59" fillId="16" borderId="73" xfId="12" applyFont="1" applyFill="1" applyBorder="1" applyAlignment="1">
      <alignment horizontal="center" vertical="center" wrapText="1"/>
    </xf>
    <xf numFmtId="168" fontId="7" fillId="0" borderId="73" xfId="12" applyFont="1" applyBorder="1" applyAlignment="1">
      <alignment horizontal="center" vertical="center"/>
    </xf>
    <xf numFmtId="168" fontId="7" fillId="0" borderId="73" xfId="12" applyFont="1" applyBorder="1" applyAlignment="1" applyProtection="1">
      <alignment horizontal="right" vertical="center"/>
      <protection locked="0"/>
    </xf>
    <xf numFmtId="165" fontId="7" fillId="0" borderId="73" xfId="12" applyNumberFormat="1" applyFont="1" applyBorder="1" applyAlignment="1" applyProtection="1">
      <alignment horizontal="right" vertical="center"/>
      <protection locked="0"/>
    </xf>
    <xf numFmtId="43" fontId="49" fillId="0" borderId="72" xfId="10" applyFont="1" applyBorder="1" applyAlignment="1">
      <alignment horizontal="right"/>
    </xf>
    <xf numFmtId="43" fontId="56" fillId="0" borderId="72" xfId="14" applyFont="1" applyFill="1" applyBorder="1" applyAlignment="1">
      <alignment horizontal="center" vertical="center" wrapText="1"/>
    </xf>
    <xf numFmtId="43" fontId="51" fillId="0" borderId="72" xfId="14" applyFont="1" applyFill="1" applyBorder="1" applyAlignment="1">
      <alignment horizontal="center" vertical="center"/>
    </xf>
    <xf numFmtId="164" fontId="7" fillId="13" borderId="28" xfId="2" applyNumberFormat="1" applyFont="1" applyFill="1" applyBorder="1" applyAlignment="1"/>
    <xf numFmtId="164" fontId="7" fillId="13" borderId="29" xfId="2" applyNumberFormat="1" applyFont="1" applyFill="1" applyBorder="1" applyAlignment="1"/>
    <xf numFmtId="164" fontId="7" fillId="13" borderId="19" xfId="2" applyNumberFormat="1" applyFont="1" applyFill="1" applyBorder="1" applyAlignment="1"/>
    <xf numFmtId="164" fontId="7" fillId="13" borderId="20" xfId="2" applyNumberFormat="1" applyFont="1" applyFill="1" applyBorder="1" applyAlignment="1"/>
    <xf numFmtId="10" fontId="42" fillId="9" borderId="42" xfId="10" applyNumberFormat="1" applyFont="1" applyFill="1" applyBorder="1" applyAlignment="1">
      <alignment horizontal="center"/>
    </xf>
    <xf numFmtId="43" fontId="3" fillId="13" borderId="42" xfId="10" applyFont="1" applyFill="1" applyBorder="1" applyAlignment="1">
      <alignment horizontal="center" vertical="center"/>
    </xf>
    <xf numFmtId="10" fontId="42" fillId="13" borderId="42" xfId="10" applyNumberFormat="1" applyFont="1" applyFill="1" applyBorder="1" applyAlignment="1">
      <alignment horizontal="center" vertical="center"/>
    </xf>
    <xf numFmtId="10" fontId="0" fillId="9" borderId="42" xfId="11" applyNumberFormat="1" applyFont="1" applyFill="1" applyBorder="1" applyAlignment="1">
      <alignment horizontal="center"/>
    </xf>
    <xf numFmtId="43" fontId="3" fillId="9" borderId="42" xfId="10" applyFont="1" applyFill="1" applyBorder="1" applyAlignment="1">
      <alignment horizontal="center"/>
    </xf>
    <xf numFmtId="43" fontId="0" fillId="13" borderId="42" xfId="10" applyFont="1" applyFill="1" applyBorder="1" applyAlignment="1">
      <alignment horizontal="center"/>
    </xf>
    <xf numFmtId="10" fontId="42" fillId="13" borderId="42" xfId="11" applyNumberFormat="1" applyFont="1" applyFill="1" applyBorder="1" applyAlignment="1">
      <alignment horizontal="center"/>
    </xf>
    <xf numFmtId="10" fontId="3" fillId="13" borderId="42" xfId="11" applyNumberFormat="1" applyFont="1" applyFill="1" applyBorder="1" applyAlignment="1">
      <alignment horizontal="center"/>
    </xf>
    <xf numFmtId="10" fontId="1" fillId="13" borderId="42" xfId="11" applyNumberFormat="1" applyFont="1" applyFill="1" applyBorder="1" applyAlignment="1">
      <alignment horizontal="center"/>
    </xf>
    <xf numFmtId="43" fontId="49" fillId="0" borderId="42" xfId="10" applyFont="1" applyBorder="1" applyAlignment="1">
      <alignment horizontal="right"/>
    </xf>
    <xf numFmtId="0" fontId="55" fillId="0" borderId="0" xfId="15" applyNumberFormat="1" applyFont="1" applyAlignment="1">
      <alignment horizontal="left" vertical="top"/>
    </xf>
    <xf numFmtId="0" fontId="55" fillId="0" borderId="0" xfId="15" applyNumberFormat="1" applyFont="1" applyAlignment="1"/>
    <xf numFmtId="0" fontId="56" fillId="0" borderId="0" xfId="15" applyNumberFormat="1" applyFont="1" applyAlignment="1">
      <alignment horizontal="left" vertical="top"/>
    </xf>
    <xf numFmtId="0" fontId="56" fillId="0" borderId="0" xfId="15" applyNumberFormat="1" applyFont="1" applyAlignment="1"/>
    <xf numFmtId="0" fontId="52" fillId="0" borderId="0" xfId="19" applyNumberFormat="1" applyFont="1" applyFill="1" applyAlignment="1"/>
    <xf numFmtId="0" fontId="52" fillId="0" borderId="0" xfId="19" quotePrefix="1" applyNumberFormat="1" applyFont="1" applyFill="1" applyAlignment="1"/>
    <xf numFmtId="0" fontId="52" fillId="0" borderId="0" xfId="15" applyNumberFormat="1" applyAlignment="1">
      <alignment vertical="center"/>
    </xf>
    <xf numFmtId="0" fontId="52" fillId="0" borderId="0" xfId="15" applyNumberFormat="1" applyAlignment="1"/>
    <xf numFmtId="0" fontId="1" fillId="0" borderId="0" xfId="9" applyNumberFormat="1" applyAlignment="1"/>
    <xf numFmtId="9" fontId="56" fillId="0" borderId="0" xfId="2" applyFont="1" applyAlignment="1">
      <alignment horizontal="left" vertical="top"/>
    </xf>
    <xf numFmtId="43" fontId="56" fillId="0" borderId="0" xfId="15" applyNumberFormat="1" applyFont="1" applyAlignment="1"/>
    <xf numFmtId="168" fontId="7" fillId="0" borderId="0" xfId="15" applyFont="1"/>
    <xf numFmtId="43" fontId="7" fillId="0" borderId="0" xfId="13" applyFont="1" applyAlignment="1"/>
    <xf numFmtId="167" fontId="7" fillId="0" borderId="0" xfId="13" applyNumberFormat="1" applyFont="1" applyAlignment="1"/>
    <xf numFmtId="171" fontId="7" fillId="0" borderId="0" xfId="15" applyNumberFormat="1" applyFont="1"/>
    <xf numFmtId="168" fontId="23" fillId="0" borderId="0" xfId="16" applyAlignment="1">
      <alignment horizontal="center"/>
    </xf>
    <xf numFmtId="168" fontId="23" fillId="0" borderId="0" xfId="9" applyFont="1"/>
    <xf numFmtId="168" fontId="23" fillId="0" borderId="0" xfId="17" applyFont="1"/>
    <xf numFmtId="172" fontId="23" fillId="0" borderId="0" xfId="18" applyNumberFormat="1" applyFont="1" applyAlignment="1">
      <alignment horizontal="left"/>
    </xf>
    <xf numFmtId="168" fontId="7" fillId="0" borderId="0" xfId="15" applyFont="1" applyAlignment="1">
      <alignment horizontal="left"/>
    </xf>
    <xf numFmtId="43" fontId="7" fillId="0" borderId="0" xfId="13" applyFont="1" applyFill="1" applyBorder="1" applyAlignment="1">
      <alignment horizontal="left"/>
    </xf>
    <xf numFmtId="43" fontId="7" fillId="0" borderId="0" xfId="13" applyFont="1" applyFill="1" applyBorder="1" applyAlignment="1"/>
    <xf numFmtId="167" fontId="7" fillId="0" borderId="0" xfId="13" applyNumberFormat="1" applyFont="1" applyAlignment="1">
      <alignment horizontal="center"/>
    </xf>
    <xf numFmtId="14" fontId="7" fillId="0" borderId="0" xfId="15" quotePrefix="1" applyNumberFormat="1" applyFont="1"/>
    <xf numFmtId="168" fontId="7" fillId="7" borderId="0" xfId="15" quotePrefix="1" applyFont="1" applyFill="1"/>
    <xf numFmtId="43" fontId="7" fillId="7" borderId="0" xfId="13" applyFont="1" applyFill="1" applyAlignment="1"/>
    <xf numFmtId="43" fontId="7" fillId="7" borderId="0" xfId="13" quotePrefix="1" applyFont="1" applyFill="1" applyAlignment="1"/>
    <xf numFmtId="171" fontId="7" fillId="7" borderId="0" xfId="19" quotePrefix="1" applyFont="1" applyFill="1" applyAlignment="1"/>
    <xf numFmtId="2" fontId="7" fillId="0" borderId="0" xfId="19" applyNumberFormat="1" applyFont="1" applyAlignment="1"/>
    <xf numFmtId="168" fontId="7" fillId="0" borderId="0" xfId="9" applyFont="1"/>
    <xf numFmtId="43" fontId="23" fillId="0" borderId="0" xfId="13" applyFont="1" applyAlignment="1"/>
    <xf numFmtId="10" fontId="23" fillId="17" borderId="0" xfId="13" applyNumberFormat="1" applyFont="1" applyFill="1" applyAlignment="1"/>
    <xf numFmtId="10" fontId="23" fillId="0" borderId="0" xfId="13" applyNumberFormat="1" applyFont="1" applyFill="1" applyAlignment="1"/>
    <xf numFmtId="43" fontId="23" fillId="0" borderId="0" xfId="13" applyFont="1" applyFill="1" applyAlignment="1"/>
    <xf numFmtId="10" fontId="23" fillId="0" borderId="0" xfId="13" applyNumberFormat="1" applyFont="1" applyAlignment="1"/>
    <xf numFmtId="43" fontId="23" fillId="17" borderId="0" xfId="13" applyFont="1" applyFill="1" applyAlignment="1"/>
    <xf numFmtId="38" fontId="7" fillId="0" borderId="0" xfId="15" applyNumberFormat="1" applyFont="1"/>
    <xf numFmtId="171" fontId="23" fillId="0" borderId="0" xfId="20" applyFont="1" applyFill="1" applyBorder="1" applyAlignment="1">
      <alignment horizontal="center"/>
    </xf>
    <xf numFmtId="43" fontId="23" fillId="0" borderId="0" xfId="13" applyFont="1" applyFill="1" applyBorder="1" applyAlignment="1">
      <alignment horizontal="center"/>
    </xf>
    <xf numFmtId="43" fontId="23" fillId="0" borderId="0" xfId="13" applyFont="1" applyFill="1" applyBorder="1" applyAlignment="1"/>
    <xf numFmtId="168" fontId="23" fillId="0" borderId="0" xfId="16"/>
    <xf numFmtId="43" fontId="23" fillId="0" borderId="0" xfId="13" applyFont="1" applyBorder="1" applyAlignment="1"/>
    <xf numFmtId="2" fontId="7" fillId="0" borderId="0" xfId="20" applyNumberFormat="1" applyFont="1" applyAlignment="1"/>
    <xf numFmtId="43" fontId="7" fillId="7" borderId="0" xfId="13" applyFont="1" applyFill="1" applyAlignment="1">
      <alignment horizontal="right"/>
    </xf>
    <xf numFmtId="38" fontId="7" fillId="0" borderId="0" xfId="15" applyNumberFormat="1" applyFont="1" applyAlignment="1">
      <alignment horizontal="right"/>
    </xf>
    <xf numFmtId="2" fontId="7" fillId="7" borderId="0" xfId="15" quotePrefix="1" applyNumberFormat="1" applyFont="1" applyFill="1"/>
    <xf numFmtId="43" fontId="23" fillId="0" borderId="0" xfId="13" applyFont="1" applyFill="1" applyBorder="1" applyAlignment="1">
      <alignment horizontal="right"/>
    </xf>
    <xf numFmtId="43" fontId="7" fillId="0" borderId="0" xfId="13" applyFont="1" applyFill="1" applyAlignment="1"/>
    <xf numFmtId="10" fontId="7" fillId="0" borderId="0" xfId="13" applyNumberFormat="1" applyFont="1" applyFill="1" applyAlignment="1"/>
    <xf numFmtId="38" fontId="7" fillId="0" borderId="0" xfId="9" applyNumberFormat="1" applyFont="1" applyAlignment="1">
      <alignment horizontal="right"/>
    </xf>
    <xf numFmtId="14" fontId="7" fillId="0" borderId="0" xfId="9" quotePrefix="1" applyNumberFormat="1" applyFont="1"/>
    <xf numFmtId="168" fontId="7" fillId="7" borderId="0" xfId="9" quotePrefix="1" applyFont="1" applyFill="1"/>
    <xf numFmtId="2" fontId="7" fillId="7" borderId="0" xfId="9" quotePrefix="1" applyNumberFormat="1" applyFont="1" applyFill="1"/>
    <xf numFmtId="168" fontId="7" fillId="0" borderId="0" xfId="9" applyFont="1" applyAlignment="1">
      <alignment horizontal="right"/>
    </xf>
    <xf numFmtId="43" fontId="16" fillId="0" borderId="0" xfId="13" quotePrefix="1" applyFont="1" applyFill="1" applyAlignment="1"/>
    <xf numFmtId="43" fontId="16" fillId="0" borderId="0" xfId="13" applyFont="1" applyFill="1" applyAlignment="1"/>
    <xf numFmtId="171" fontId="23" fillId="0" borderId="0" xfId="19" applyFont="1" applyFill="1" applyBorder="1" applyAlignment="1">
      <alignment horizontal="center"/>
    </xf>
    <xf numFmtId="168" fontId="7" fillId="9" borderId="0" xfId="9" quotePrefix="1" applyFont="1" applyFill="1" applyAlignment="1">
      <alignment horizontal="left"/>
    </xf>
    <xf numFmtId="43" fontId="7" fillId="9" borderId="0" xfId="13" quotePrefix="1" applyFont="1" applyFill="1" applyAlignment="1"/>
    <xf numFmtId="43" fontId="7" fillId="9" borderId="0" xfId="13" applyFont="1" applyFill="1" applyAlignment="1"/>
    <xf numFmtId="168" fontId="7" fillId="4" borderId="0" xfId="9" quotePrefix="1" applyFont="1" applyFill="1" applyAlignment="1">
      <alignment horizontal="left"/>
    </xf>
    <xf numFmtId="43" fontId="7" fillId="4" borderId="0" xfId="13" quotePrefix="1" applyFont="1" applyFill="1" applyAlignment="1"/>
    <xf numFmtId="43" fontId="7" fillId="4" borderId="0" xfId="13" applyFont="1" applyFill="1" applyAlignment="1"/>
    <xf numFmtId="168" fontId="7" fillId="15" borderId="0" xfId="9" quotePrefix="1" applyFont="1" applyFill="1" applyAlignment="1">
      <alignment horizontal="left"/>
    </xf>
    <xf numFmtId="43" fontId="7" fillId="15" borderId="0" xfId="13" quotePrefix="1" applyFont="1" applyFill="1" applyAlignment="1"/>
    <xf numFmtId="43" fontId="7" fillId="15" borderId="0" xfId="13" applyFont="1" applyFill="1" applyAlignment="1"/>
    <xf numFmtId="9" fontId="7" fillId="0" borderId="0" xfId="7" applyFont="1" applyAlignment="1"/>
    <xf numFmtId="168" fontId="7" fillId="0" borderId="0" xfId="12" applyFont="1" applyAlignment="1"/>
    <xf numFmtId="168" fontId="25" fillId="0" borderId="0" xfId="12" applyAlignment="1"/>
    <xf numFmtId="10" fontId="7" fillId="7" borderId="0" xfId="2" quotePrefix="1" applyNumberFormat="1" applyFont="1" applyFill="1" applyAlignment="1"/>
    <xf numFmtId="43" fontId="7" fillId="14" borderId="0" xfId="13" quotePrefix="1" applyFont="1" applyFill="1" applyAlignment="1"/>
    <xf numFmtId="43" fontId="7" fillId="14" borderId="0" xfId="13" applyFont="1" applyFill="1" applyAlignment="1"/>
    <xf numFmtId="43" fontId="7" fillId="14" borderId="0" xfId="13" quotePrefix="1" applyNumberFormat="1" applyFont="1" applyFill="1" applyAlignment="1"/>
    <xf numFmtId="0" fontId="0" fillId="18" borderId="0" xfId="0" applyFill="1" applyAlignment="1">
      <alignment vertical="center"/>
    </xf>
    <xf numFmtId="10" fontId="62" fillId="0" borderId="0" xfId="2" applyNumberFormat="1" applyFont="1"/>
    <xf numFmtId="10" fontId="62" fillId="0" borderId="0" xfId="0" applyNumberFormat="1" applyFont="1"/>
    <xf numFmtId="167" fontId="62" fillId="0" borderId="0" xfId="1" applyNumberFormat="1" applyFont="1"/>
    <xf numFmtId="167" fontId="62" fillId="0" borderId="0" xfId="0" applyNumberFormat="1" applyFont="1"/>
    <xf numFmtId="43" fontId="63" fillId="9" borderId="42" xfId="10" applyFont="1" applyFill="1" applyBorder="1" applyAlignment="1">
      <alignment vertical="center"/>
    </xf>
    <xf numFmtId="10" fontId="63" fillId="9" borderId="42" xfId="11" applyNumberFormat="1" applyFont="1" applyFill="1" applyBorder="1" applyAlignment="1">
      <alignment horizontal="center"/>
    </xf>
    <xf numFmtId="0" fontId="1" fillId="19" borderId="0" xfId="12" applyNumberFormat="1" applyFont="1" applyFill="1">
      <alignment vertical="center"/>
    </xf>
    <xf numFmtId="0" fontId="1" fillId="0" borderId="0" xfId="7" applyNumberFormat="1" applyFont="1">
      <alignment vertical="center"/>
    </xf>
    <xf numFmtId="0" fontId="25" fillId="0" borderId="0" xfId="12" applyNumberFormat="1">
      <alignment vertical="center"/>
    </xf>
    <xf numFmtId="0" fontId="64" fillId="16" borderId="42" xfId="13" applyNumberFormat="1" applyFont="1" applyFill="1" applyBorder="1" applyAlignment="1">
      <alignment horizontal="center" vertical="center"/>
    </xf>
    <xf numFmtId="0" fontId="64" fillId="16" borderId="42" xfId="7" applyNumberFormat="1" applyFont="1" applyFill="1" applyBorder="1" applyAlignment="1">
      <alignment horizontal="center" vertical="center"/>
    </xf>
    <xf numFmtId="0" fontId="1" fillId="0" borderId="42" xfId="12" applyNumberFormat="1" applyFont="1" applyFill="1" applyBorder="1" applyAlignment="1" applyProtection="1">
      <alignment horizontal="left" vertical="center"/>
      <protection locked="0"/>
    </xf>
    <xf numFmtId="10" fontId="1" fillId="0" borderId="42" xfId="7" applyNumberFormat="1" applyFont="1" applyFill="1" applyBorder="1" applyAlignment="1" applyProtection="1">
      <alignment horizontal="right" vertical="center"/>
      <protection locked="0"/>
    </xf>
    <xf numFmtId="0" fontId="25" fillId="0" borderId="42" xfId="12" applyNumberFormat="1" applyBorder="1">
      <alignment vertical="center"/>
    </xf>
    <xf numFmtId="0" fontId="1" fillId="0" borderId="0" xfId="12" applyNumberFormat="1" applyFont="1" applyFill="1" applyBorder="1" applyAlignment="1" applyProtection="1">
      <alignment horizontal="left" vertical="center"/>
      <protection locked="0"/>
    </xf>
    <xf numFmtId="10" fontId="1" fillId="0" borderId="0" xfId="7" applyNumberFormat="1" applyFont="1" applyFill="1" applyBorder="1" applyAlignment="1" applyProtection="1">
      <alignment horizontal="right" vertical="center"/>
      <protection locked="0"/>
    </xf>
    <xf numFmtId="0" fontId="1" fillId="0" borderId="0" xfId="12" applyNumberFormat="1" applyFont="1">
      <alignment vertical="center"/>
    </xf>
    <xf numFmtId="167" fontId="0" fillId="0" borderId="0" xfId="0" applyNumberFormat="1" applyFont="1"/>
    <xf numFmtId="168" fontId="5" fillId="0" borderId="0" xfId="3" applyFont="1" applyAlignment="1">
      <alignment horizontal="center"/>
    </xf>
    <xf numFmtId="168" fontId="5" fillId="0" borderId="1" xfId="3" applyFont="1" applyBorder="1" applyAlignment="1">
      <alignment horizontal="center"/>
    </xf>
    <xf numFmtId="168" fontId="5" fillId="4" borderId="2" xfId="3" applyFont="1" applyFill="1" applyBorder="1" applyAlignment="1">
      <alignment horizontal="center" vertical="center"/>
    </xf>
    <xf numFmtId="168" fontId="5" fillId="4" borderId="7" xfId="3" applyFont="1" applyFill="1" applyBorder="1" applyAlignment="1">
      <alignment horizontal="center" vertical="center"/>
    </xf>
    <xf numFmtId="168" fontId="5" fillId="4" borderId="2" xfId="3" applyFont="1" applyFill="1" applyBorder="1" applyAlignment="1">
      <alignment horizontal="center" vertical="center" wrapText="1"/>
    </xf>
    <xf numFmtId="43" fontId="5" fillId="4" borderId="2" xfId="3" applyNumberFormat="1" applyFont="1" applyFill="1" applyBorder="1" applyAlignment="1">
      <alignment horizontal="center" vertical="center" wrapText="1"/>
    </xf>
    <xf numFmtId="43" fontId="5" fillId="4" borderId="7" xfId="3" applyNumberFormat="1" applyFont="1" applyFill="1" applyBorder="1" applyAlignment="1">
      <alignment horizontal="center" vertical="center"/>
    </xf>
    <xf numFmtId="168" fontId="5" fillId="0" borderId="2" xfId="3" applyFont="1" applyBorder="1" applyAlignment="1">
      <alignment horizontal="left" vertical="top" wrapText="1"/>
    </xf>
    <xf numFmtId="168" fontId="5" fillId="0" borderId="25" xfId="3" applyFont="1" applyBorder="1" applyAlignment="1">
      <alignment horizontal="left" vertical="top" wrapText="1"/>
    </xf>
    <xf numFmtId="168" fontId="5" fillId="12" borderId="4" xfId="3" applyFont="1" applyFill="1" applyBorder="1" applyAlignment="1">
      <alignment horizontal="center" vertical="center"/>
    </xf>
    <xf numFmtId="168" fontId="5" fillId="12" borderId="31" xfId="3" applyFont="1" applyFill="1" applyBorder="1" applyAlignment="1">
      <alignment horizontal="center" vertical="center"/>
    </xf>
    <xf numFmtId="168" fontId="5" fillId="12" borderId="18" xfId="3" applyFont="1" applyFill="1" applyBorder="1" applyAlignment="1">
      <alignment horizontal="center" vertical="center"/>
    </xf>
    <xf numFmtId="168" fontId="5" fillId="5" borderId="3" xfId="3" applyFont="1" applyFill="1" applyBorder="1" applyAlignment="1">
      <alignment horizontal="center" vertical="center"/>
    </xf>
    <xf numFmtId="168" fontId="5" fillId="4" borderId="7" xfId="3" applyFont="1" applyFill="1" applyBorder="1" applyAlignment="1">
      <alignment horizontal="center" vertical="center" wrapText="1"/>
    </xf>
    <xf numFmtId="168" fontId="5" fillId="4" borderId="4" xfId="3" applyFont="1" applyFill="1" applyBorder="1" applyAlignment="1">
      <alignment horizontal="center" vertical="center" wrapText="1"/>
    </xf>
    <xf numFmtId="168" fontId="5" fillId="4" borderId="11" xfId="3" applyFont="1" applyFill="1" applyBorder="1" applyAlignment="1">
      <alignment horizontal="center" vertical="center" wrapText="1"/>
    </xf>
    <xf numFmtId="168" fontId="5" fillId="6" borderId="5" xfId="3" applyFont="1" applyFill="1" applyBorder="1" applyAlignment="1">
      <alignment horizontal="center" vertical="center"/>
    </xf>
    <xf numFmtId="168" fontId="5" fillId="6" borderId="3" xfId="3" applyFont="1" applyFill="1" applyBorder="1" applyAlignment="1">
      <alignment horizontal="center" vertical="center"/>
    </xf>
    <xf numFmtId="168" fontId="5" fillId="6" borderId="6" xfId="3" applyFont="1" applyFill="1" applyBorder="1" applyAlignment="1">
      <alignment horizontal="center" vertical="center"/>
    </xf>
    <xf numFmtId="168" fontId="5" fillId="7" borderId="4" xfId="3" applyFont="1" applyFill="1" applyBorder="1" applyAlignment="1">
      <alignment horizontal="center" vertical="center" wrapText="1"/>
    </xf>
    <xf numFmtId="168" fontId="5" fillId="7" borderId="11" xfId="3" applyFont="1" applyFill="1" applyBorder="1" applyAlignment="1">
      <alignment horizontal="center" vertical="center"/>
    </xf>
    <xf numFmtId="168" fontId="5" fillId="0" borderId="2" xfId="3" applyFont="1" applyBorder="1" applyAlignment="1">
      <alignment horizontal="center" vertical="top" wrapText="1"/>
    </xf>
    <xf numFmtId="168" fontId="5" fillId="0" borderId="25" xfId="3" applyFont="1" applyBorder="1" applyAlignment="1">
      <alignment horizontal="center" vertical="top" wrapText="1"/>
    </xf>
    <xf numFmtId="168" fontId="5" fillId="0" borderId="7" xfId="3" applyFont="1" applyBorder="1" applyAlignment="1">
      <alignment horizontal="center" vertical="top" wrapText="1"/>
    </xf>
    <xf numFmtId="168" fontId="5" fillId="0" borderId="7" xfId="3" applyFont="1" applyBorder="1" applyAlignment="1">
      <alignment horizontal="left" vertical="top" wrapText="1"/>
    </xf>
    <xf numFmtId="168" fontId="5" fillId="0" borderId="4" xfId="3" applyFont="1" applyBorder="1" applyAlignment="1">
      <alignment horizontal="center" vertical="center"/>
    </xf>
    <xf numFmtId="168" fontId="5" fillId="0" borderId="31" xfId="3" applyFont="1" applyBorder="1" applyAlignment="1">
      <alignment horizontal="center" vertical="center"/>
    </xf>
    <xf numFmtId="168" fontId="5" fillId="0" borderId="18" xfId="3" applyFont="1" applyBorder="1" applyAlignment="1">
      <alignment horizontal="center" vertical="center"/>
    </xf>
    <xf numFmtId="168" fontId="27" fillId="14" borderId="5" xfId="3" applyFont="1" applyFill="1" applyBorder="1" applyAlignment="1">
      <alignment horizontal="center" vertical="center"/>
    </xf>
    <xf numFmtId="168" fontId="27" fillId="14" borderId="3" xfId="3" applyFont="1" applyFill="1" applyBorder="1" applyAlignment="1">
      <alignment horizontal="center" vertical="center"/>
    </xf>
    <xf numFmtId="168" fontId="27" fillId="14" borderId="6" xfId="3" applyFont="1" applyFill="1" applyBorder="1" applyAlignment="1">
      <alignment horizontal="center" vertical="center"/>
    </xf>
    <xf numFmtId="2" fontId="7" fillId="11" borderId="4" xfId="5" applyNumberFormat="1" applyFont="1" applyFill="1" applyBorder="1" applyAlignment="1">
      <alignment horizontal="center"/>
    </xf>
    <xf numFmtId="2" fontId="7" fillId="11" borderId="31" xfId="5" applyNumberFormat="1" applyFont="1" applyFill="1" applyBorder="1" applyAlignment="1">
      <alignment horizontal="center"/>
    </xf>
    <xf numFmtId="2" fontId="7" fillId="11" borderId="11" xfId="5" applyNumberFormat="1" applyFont="1" applyFill="1" applyBorder="1" applyAlignment="1">
      <alignment horizontal="center"/>
    </xf>
    <xf numFmtId="43" fontId="3" fillId="0" borderId="43" xfId="10" applyFont="1" applyBorder="1" applyAlignment="1">
      <alignment horizontal="center"/>
    </xf>
    <xf numFmtId="43" fontId="3" fillId="0" borderId="41" xfId="10" applyFont="1" applyBorder="1" applyAlignment="1">
      <alignment horizontal="center"/>
    </xf>
    <xf numFmtId="43" fontId="3" fillId="0" borderId="39" xfId="10" applyFont="1" applyBorder="1" applyAlignment="1">
      <alignment horizontal="center"/>
    </xf>
    <xf numFmtId="43" fontId="42" fillId="9" borderId="43" xfId="10" applyFont="1" applyFill="1" applyBorder="1" applyAlignment="1">
      <alignment horizontal="center"/>
    </xf>
    <xf numFmtId="43" fontId="42" fillId="9" borderId="41" xfId="10" applyFont="1" applyFill="1" applyBorder="1" applyAlignment="1">
      <alignment horizontal="center"/>
    </xf>
    <xf numFmtId="43" fontId="42" fillId="9" borderId="39" xfId="10" applyFont="1" applyFill="1" applyBorder="1" applyAlignment="1">
      <alignment horizontal="center"/>
    </xf>
    <xf numFmtId="43" fontId="42" fillId="13" borderId="43" xfId="10" applyFont="1" applyFill="1" applyBorder="1" applyAlignment="1">
      <alignment horizontal="center"/>
    </xf>
    <xf numFmtId="43" fontId="42" fillId="13" borderId="41" xfId="10" applyFont="1" applyFill="1" applyBorder="1" applyAlignment="1">
      <alignment horizontal="center"/>
    </xf>
    <xf numFmtId="43" fontId="42" fillId="13" borderId="39" xfId="10" applyFont="1" applyFill="1" applyBorder="1" applyAlignment="1">
      <alignment horizontal="center"/>
    </xf>
  </cellXfs>
  <cellStyles count="21">
    <cellStyle name="Comma" xfId="1" builtinId="3"/>
    <cellStyle name="Comma 3" xfId="4"/>
    <cellStyle name="Comma 4 3" xfId="19"/>
    <cellStyle name="Comma 4 46" xfId="8"/>
    <cellStyle name="Comma 5" xfId="20"/>
    <cellStyle name="Comma 95 2" xfId="13"/>
    <cellStyle name="Normal" xfId="0" builtinId="0"/>
    <cellStyle name="Normal 133" xfId="9"/>
    <cellStyle name="Normal 141" xfId="12"/>
    <cellStyle name="Normal 2 2" xfId="6"/>
    <cellStyle name="Normal 3" xfId="15"/>
    <cellStyle name="Normal 3 3 4" xfId="18"/>
    <cellStyle name="Normal 4" xfId="3"/>
    <cellStyle name="Normal 5 4 2 2 3" xfId="17"/>
    <cellStyle name="Normal_All_TemplateNote_for_Subsi" xfId="16"/>
    <cellStyle name="Percent" xfId="2" builtinId="5"/>
    <cellStyle name="Percent 2" xfId="7"/>
    <cellStyle name="Percent 2 35" xfId="5"/>
    <cellStyle name="千位分隔 2 2" xfId="10"/>
    <cellStyle name="千位分隔 3" xfId="14"/>
    <cellStyle name="百分比 2" xfId="11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numFmt numFmtId="166" formatCode="0.0000"/>
    </dxf>
    <dxf>
      <numFmt numFmtId="166" formatCode="0.00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numFmt numFmtId="166" formatCode="0.0000"/>
    </dxf>
    <dxf>
      <numFmt numFmtId="166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numFmt numFmtId="166" formatCode="0.0000"/>
    </dxf>
    <dxf>
      <numFmt numFmtId="16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981075</xdr:colOff>
      <xdr:row>3</xdr:row>
      <xdr:rowOff>123824</xdr:rowOff>
    </xdr:from>
    <xdr:to>
      <xdr:col>8</xdr:col>
      <xdr:colOff>638175</xdr:colOff>
      <xdr:row>6</xdr:row>
      <xdr:rowOff>88899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D5EC17-2997-4EB9-BCB8-A62DEAFE0164}"/>
            </a:ext>
          </a:extLst>
        </xdr:cNvPr>
        <xdr:cNvSpPr/>
      </xdr:nvSpPr>
      <xdr:spPr>
        <a:xfrm>
          <a:off x="10887075" y="676274"/>
          <a:ext cx="787400" cy="5175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Current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9</xdr:col>
      <xdr:colOff>95250</xdr:colOff>
      <xdr:row>3</xdr:row>
      <xdr:rowOff>133350</xdr:rowOff>
    </xdr:from>
    <xdr:to>
      <xdr:col>10</xdr:col>
      <xdr:colOff>28575</xdr:colOff>
      <xdr:row>6</xdr:row>
      <xdr:rowOff>107950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078E2A-F906-43B8-888E-853E3F7300DA}"/>
            </a:ext>
          </a:extLst>
        </xdr:cNvPr>
        <xdr:cNvSpPr/>
      </xdr:nvSpPr>
      <xdr:spPr>
        <a:xfrm>
          <a:off x="11861800" y="685800"/>
          <a:ext cx="771525" cy="5270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Previous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8</xdr:col>
      <xdr:colOff>244475</xdr:colOff>
      <xdr:row>2</xdr:row>
      <xdr:rowOff>38102</xdr:rowOff>
    </xdr:from>
    <xdr:to>
      <xdr:col>8</xdr:col>
      <xdr:colOff>285750</xdr:colOff>
      <xdr:row>3</xdr:row>
      <xdr:rowOff>123824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8FDBB7F-191B-46F9-A870-DE8B5C3637DA}"/>
            </a:ext>
          </a:extLst>
        </xdr:cNvPr>
        <xdr:cNvCxnSpPr>
          <a:stCxn id="2" idx="0"/>
        </xdr:cNvCxnSpPr>
      </xdr:nvCxnSpPr>
      <xdr:spPr>
        <a:xfrm flipV="1">
          <a:off x="11280775" y="406402"/>
          <a:ext cx="41275" cy="269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</xdr:row>
      <xdr:rowOff>47626</xdr:rowOff>
    </xdr:from>
    <xdr:to>
      <xdr:col>9</xdr:col>
      <xdr:colOff>481013</xdr:colOff>
      <xdr:row>3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BC53EE9-9181-4D6D-9E34-D383C351F576}"/>
            </a:ext>
          </a:extLst>
        </xdr:cNvPr>
        <xdr:cNvCxnSpPr>
          <a:stCxn id="3" idx="0"/>
        </xdr:cNvCxnSpPr>
      </xdr:nvCxnSpPr>
      <xdr:spPr>
        <a:xfrm flipH="1" flipV="1">
          <a:off x="12157075" y="415926"/>
          <a:ext cx="90488" cy="269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xternalData_1" adjustColumnWidth="0" connectionId="4" autoFormatId="16" applyNumberFormats="0" applyBorderFormats="0" applyFontFormats="0" applyPatternFormats="0" applyAlignmentFormats="0" applyWidthHeightFormats="0">
  <queryTableRefresh nextId="45" unboundColumnsRight="23">
    <queryTableFields count="44">
      <queryTableField id="1" name="ID" tableColumnId="1"/>
      <queryTableField id="2" name="Customer Name" tableColumnId="2"/>
      <queryTableField id="3" name="Segment" tableColumnId="3"/>
      <queryTableField id="4" name="Industry" tableColumnId="4"/>
      <queryTableField id="5" name="Portfolio (BOT)" tableColumnId="5"/>
      <queryTableField id="6" name="BOT Segment" tableColumnId="6"/>
      <queryTableField id="7" name="Currency" tableColumnId="7"/>
      <queryTableField id="8" name="Stage" tableColumnId="8"/>
      <queryTableField id="9" name="Lifetime" tableColumnId="9"/>
      <queryTableField id="10" name="PD_avg" tableColumnId="10"/>
      <queryTableField id="11" name="LGD_avg" tableColumnId="11"/>
      <queryTableField id="12" name="CNY -&gt; FCY" tableColumnId="12"/>
      <queryTableField id="13" name="CNY -&gt; THB" tableColumnId="13"/>
      <queryTableField id="14" name="EAD_Drawn (CNY)" tableColumnId="14"/>
      <queryTableField id="15" name="EAD_Undrawn (CNY)" tableColumnId="15"/>
      <queryTableField id="16" name="EAD (CNY)" tableColumnId="16"/>
      <queryTableField id="17" name="EAD_Interest (CNY)" tableColumnId="17"/>
      <queryTableField id="18" name="ECL_Drawn (CNY)" tableColumnId="18"/>
      <queryTableField id="19" name="ECL_Undrawn (CNY)" tableColumnId="19"/>
      <queryTableField id="20" name="ECL (CNY)" tableColumnId="20"/>
      <queryTableField id="21" name="ECL_Interest (CNY)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</queryTableFields>
  </queryTableRefresh>
</queryTable>
</file>

<file path=xl/queryTables/queryTable2.xml><?xml version="1.0" encoding="utf-8"?>
<queryTable xmlns="http://schemas.openxmlformats.org/spreadsheetml/2006/main" name="ExternalData_4" adjustColumnWidth="0" connectionId="1" autoFormatId="16" applyNumberFormats="0" applyBorderFormats="0" applyFontFormats="0" applyPatternFormats="0" applyAlignmentFormats="0" applyWidthHeightFormats="0">
  <queryTableRefresh nextId="42">
    <queryTableFields count="41">
      <queryTableField id="1" name="ID" tableColumnId="1"/>
      <queryTableField id="2" name="Customer Name" tableColumnId="2"/>
      <queryTableField id="3" name="Segment" tableColumnId="3"/>
      <queryTableField id="4" name="Industry" tableColumnId="4"/>
      <queryTableField id="5" name="Portfolio (BOT)" tableColumnId="5"/>
      <queryTableField id="6" name="BOT Segment" tableColumnId="6"/>
      <queryTableField id="7" name="Currency" tableColumnId="7"/>
      <queryTableField id="8" name="Stage T" tableColumnId="8"/>
      <queryTableField id="9" name="Lifetime T" tableColumnId="9"/>
      <queryTableField id="10" name="CNY -&gt; FCY T" tableColumnId="10"/>
      <queryTableField id="11" name="CNY -&gt; THB T" tableColumnId="11"/>
      <queryTableField id="12" name="ECL_Drawn (CNY) T" tableColumnId="12"/>
      <queryTableField id="13" name="ECL_Undrawn (CNY) T" tableColumnId="13"/>
      <queryTableField id="14" name="ECL (CNY) T" tableColumnId="14"/>
      <queryTableField id="15" name="ECL_Interest (CNY) T" tableColumnId="15"/>
      <queryTableField id="16" name="Stage T-1" tableColumnId="16"/>
      <queryTableField id="17" name="Lifetime T-1" tableColumnId="17"/>
      <queryTableField id="18" name="CNY -&gt; FCY T-1" tableColumnId="18"/>
      <queryTableField id="19" name="CNY -&gt; THB T-1" tableColumnId="19"/>
      <queryTableField id="20" name="ECL_Drawn (CNY) T-1" tableColumnId="20"/>
      <queryTableField id="21" name="ECL_Undrawn (CNY) T-1" tableColumnId="21"/>
      <queryTableField id="22" name="ECL (CNY) T-1" tableColumnId="22"/>
      <queryTableField id="23" name="ECL_Interest (CNY) T-1" tableColumnId="23"/>
      <queryTableField id="24" name="ECL_Drawn&amp;Int (CNY) T" tableColumnId="24"/>
      <queryTableField id="25" name="ECL_Drawn&amp;Int (CNY) T-1" tableColumnId="25"/>
      <queryTableField id="26" name="ECL_Drawn&amp;Int (THB) T" tableColumnId="26"/>
      <queryTableField id="27" name="ECL_Drawn&amp;Int (THB) T-1" tableColumnId="27"/>
      <queryTableField id="28" name="ECL_Drawn&amp;Int RE (THB) T-1" tableColumnId="28"/>
      <queryTableField id="29" name="ECL_Drawn&amp;Int Total Change (THB)" tableColumnId="29"/>
      <queryTableField id="30" name="ECL_Drawn&amp;Int Notional Change (THB)" tableColumnId="30"/>
      <queryTableField id="31" name="ECL_Drawn&amp;Int FX Change (THB)" tableColumnId="31"/>
      <queryTableField id="32" name="ECL_Drawn&amp;Int New FA (THB)" tableColumnId="32"/>
      <queryTableField id="33" name="ECL_Drawn&amp;Int Derecognise (THB)" tableColumnId="33"/>
      <queryTableField id="34" name="ECL_Undrawn (THB) T" tableColumnId="34"/>
      <queryTableField id="35" name="ECL_Undrawn (THB) T-1" tableColumnId="35"/>
      <queryTableField id="36" name="ECL_Undrawn RE (THB) T-1" tableColumnId="36"/>
      <queryTableField id="37" name="ECL_Undrawn Total Change (THB)" tableColumnId="37"/>
      <queryTableField id="38" name="ECL_Undrawn Notional Change (THB)" tableColumnId="38"/>
      <queryTableField id="39" name="ECL_Undrawn FX Change (THB)" tableColumnId="39"/>
      <queryTableField id="40" name="ECL_Undrawn New FA (THB)" tableColumnId="40"/>
      <queryTableField id="41" name="ECL_Undrawn Derecognise (THB)" tableColumnId="4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DynamicPath" displayName="DynamicPath" ref="A1:J2" totalsRowShown="0" headerRowDxfId="93" dataDxfId="92">
  <autoFilter ref="A1:J2"/>
  <tableColumns count="10">
    <tableColumn id="1" name="Path" dataDxfId="91">
      <calculatedColumnFormula array="1">LEFT(CELL("filename"),SEARCH("\[",CELL("filename")))</calculatedColumnFormula>
    </tableColumn>
    <tableColumn id="2" name="Filename" dataDxfId="90">
      <calculatedColumnFormula array="1">MID(CELL("filename"),SEARCH("\[",CELL("filename"))+2,SEARCH("]",CELL("filename"))-SEARCH("\[",CELL("filename"))-2)</calculatedColumnFormula>
    </tableColumn>
    <tableColumn id="3" name="Year" dataDxfId="89">
      <calculatedColumnFormula>MID(DynamicPath[[#This Row],[Filename]],SEARCH("_V",DynamicPath[[#This Row],[Filename]])+2,4)</calculatedColumnFormula>
    </tableColumn>
    <tableColumn id="7" name="Month_text" dataDxfId="88">
      <calculatedColumnFormula>MID(DynamicPath[[#This Row],[Filename]],SEARCH(DynamicPath[[#This Row],[Year]],DynamicPath[[#This Row],[Filename]])+5,3)</calculatedColumnFormula>
    </tableColumn>
    <tableColumn id="4" name="Month" dataDxfId="87">
      <calculatedColumnFormula>IF(DynamicPath[[#This Row],[Month_text]]="Jan","01",IF(DynamicPath[[#This Row],[Month_text]]="Feb","02",IF(DynamicPath[[#This Row],[Month_text]]="Mar","03",IF(DynamicPath[[#This Row],[Month_text]]="Apr","04",IF(DynamicPath[[#This Row],[Month_text]]="May","05",IF(DynamicPath[[#This Row],[Month_text]]="Jun","06",IF(DynamicPath[[#This Row],[Month_text]]="Jul","07",IF(DynamicPath[[#This Row],[Month_text]]="Aug","08",IF(DynamicPath[[#This Row],[Month_text]]="Sep","09",IF(DynamicPath[[#This Row],[Month_text]]="Oct","10",IF(DynamicPath[[#This Row],[Month_text]]="Nov","11",IF(DynamicPath[[#This Row],[Month_text]]="Dec","12","13"))))))))))))</calculatedColumnFormula>
    </tableColumn>
    <tableColumn id="5" name="Year_p" dataDxfId="86">
      <calculatedColumnFormula>IF(VALUE(DynamicPath[[#This Row],[Month]])=1,DynamicPath[[#This Row],[Year]]-1,DynamicPath[[#This Row],[Year]])</calculatedColumnFormula>
    </tableColumn>
    <tableColumn id="6" name="Month_p" dataDxfId="85">
      <calculatedColumnFormula>IF(VALUE(DynamicPath[[#This Row],[Month]])=1,12,VALUE(DynamicPath[[#This Row],[Month]]-1))</calculatedColumnFormula>
    </tableColumn>
    <tableColumn id="8" name="Month_text_p" dataDxfId="84">
      <calculatedColumnFormula>IF(DynamicPath[[#This Row],[Month_p]]=1,"Jan",IF(DynamicPath[[#This Row],[Month_p]]=2,"Feb",IF(DynamicPath[[#This Row],[Month_p]]=3,"Mar",IF(DynamicPath[[#This Row],[Month_p]]=4,"Apr",IF(DynamicPath[[#This Row],[Month_p]]=5,"May",IF(DynamicPath[[#This Row],[Month_p]]=6,"Jun",IF(DynamicPath[[#This Row],[Month_p]]=7,"Jul",IF(DynamicPath[[#This Row],[Month_p]]=8,"Aug",IF(DynamicPath[[#This Row],[Month_p]]=9,"Sep",IF(DynamicPath[[#This Row],[Month_p]]=10,"Oct",IF(DynamicPath[[#This Row],[Month_p]]=11,"Nov","Dec")))))))))))</calculatedColumnFormula>
    </tableColumn>
    <tableColumn id="9" name="Y_M" dataDxfId="83">
      <calculatedColumnFormula>DynamicPath[[#This Row],[Year]]&amp;"_"&amp;DynamicPath[[#This Row],[Month_text]]</calculatedColumnFormula>
    </tableColumn>
    <tableColumn id="10" name="Y_M_p" dataDxfId="82">
      <calculatedColumnFormula>DynamicPath[[#This Row],[Year_p]]&amp;"_"&amp;DynamicPath[[#This Row],[Month_text_p]]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Port" displayName="Port" ref="A1:AR759" tableType="queryTable" totalsRowShown="0">
  <autoFilter ref="A1:AR759"/>
  <tableColumns count="44">
    <tableColumn id="1" uniqueName="1" name="ID" queryTableFieldId="1" dataDxfId="81"/>
    <tableColumn id="2" uniqueName="2" name="Customer Name" queryTableFieldId="2" dataDxfId="80"/>
    <tableColumn id="3" uniqueName="3" name="Segment" queryTableFieldId="3" dataDxfId="79"/>
    <tableColumn id="4" uniqueName="4" name="Industry" queryTableFieldId="4" dataDxfId="78"/>
    <tableColumn id="5" uniqueName="5" name="Portfolio (BOT)" queryTableFieldId="5" dataDxfId="77"/>
    <tableColumn id="6" uniqueName="6" name="BOT Segment" queryTableFieldId="6" dataDxfId="76"/>
    <tableColumn id="7" uniqueName="7" name="Currency" queryTableFieldId="7" dataDxfId="75"/>
    <tableColumn id="8" uniqueName="8" name="Stage" queryTableFieldId="8"/>
    <tableColumn id="9" uniqueName="9" name="Lifetime" queryTableFieldId="9" dataDxfId="74"/>
    <tableColumn id="10" uniqueName="10" name="PD_avg" queryTableFieldId="10" dataDxfId="73"/>
    <tableColumn id="11" uniqueName="11" name="LGD_avg" queryTableFieldId="11" dataDxfId="72"/>
    <tableColumn id="12" uniqueName="12" name="CNY -&gt; FCY" queryTableFieldId="12" dataDxfId="71"/>
    <tableColumn id="13" uniqueName="13" name="CNY -&gt; THB" queryTableFieldId="13" dataDxfId="70"/>
    <tableColumn id="14" uniqueName="14" name="EAD_Drawn (CNY)" queryTableFieldId="14" dataDxfId="69"/>
    <tableColumn id="15" uniqueName="15" name="EAD_Undrawn (CNY)" queryTableFieldId="15" dataDxfId="68"/>
    <tableColumn id="16" uniqueName="16" name="EAD (CNY)" queryTableFieldId="16" dataDxfId="67"/>
    <tableColumn id="17" uniqueName="17" name="EAD_Interest (CNY)" queryTableFieldId="17" dataDxfId="66"/>
    <tableColumn id="18" uniqueName="18" name="ECL_Drawn (CNY)" queryTableFieldId="18" dataDxfId="65"/>
    <tableColumn id="19" uniqueName="19" name="ECL_Undrawn (CNY)" queryTableFieldId="19" dataDxfId="64"/>
    <tableColumn id="20" uniqueName="20" name="ECL (CNY)" queryTableFieldId="20" dataDxfId="63"/>
    <tableColumn id="21" uniqueName="21" name="ECL_Interest (CNY)" queryTableFieldId="21" dataDxfId="62"/>
    <tableColumn id="22" uniqueName="22" name="EAD_Drawn (FCY)" queryTableFieldId="22" dataDxfId="61">
      <calculatedColumnFormula>Port[[#This Row],[EAD_Drawn (CNY)]]*Port[[#This Row],[CNY -&gt; FCY]]</calculatedColumnFormula>
    </tableColumn>
    <tableColumn id="23" uniqueName="23" name="EAD_Undrawn (FCY)" queryTableFieldId="23" dataDxfId="60">
      <calculatedColumnFormula>Port[[#This Row],[EAD_Undrawn (CNY)]]*Port[[#This Row],[CNY -&gt; FCY]]</calculatedColumnFormula>
    </tableColumn>
    <tableColumn id="24" uniqueName="24" name="EAD (FCY)" queryTableFieldId="24" dataDxfId="59">
      <calculatedColumnFormula>Port[[#This Row],[EAD (CNY)]]*Port[[#This Row],[CNY -&gt; FCY]]</calculatedColumnFormula>
    </tableColumn>
    <tableColumn id="25" uniqueName="25" name="EAD_Interest (FCY)" queryTableFieldId="25" dataDxfId="58">
      <calculatedColumnFormula>Port[[#This Row],[EAD_Interest (CNY)]]*Port[[#This Row],[CNY -&gt; FCY]]</calculatedColumnFormula>
    </tableColumn>
    <tableColumn id="26" uniqueName="26" name="ECL_Drawn (FCY)" queryTableFieldId="26" dataDxfId="57">
      <calculatedColumnFormula>Port[[#This Row],[ECL_Drawn (CNY)]]*Port[[#This Row],[CNY -&gt; FCY]]</calculatedColumnFormula>
    </tableColumn>
    <tableColumn id="27" uniqueName="27" name="ECL_Undrawn (FCY)" queryTableFieldId="27" dataDxfId="56">
      <calculatedColumnFormula>Port[[#This Row],[ECL_Undrawn (CNY)]]*Port[[#This Row],[CNY -&gt; FCY]]</calculatedColumnFormula>
    </tableColumn>
    <tableColumn id="28" uniqueName="28" name="ECL (FCY)" queryTableFieldId="28" dataDxfId="55">
      <calculatedColumnFormula>Port[[#This Row],[ECL (CNY)]]*Port[[#This Row],[CNY -&gt; FCY]]</calculatedColumnFormula>
    </tableColumn>
    <tableColumn id="29" uniqueName="29" name="ECL_Interest (FCY)" queryTableFieldId="29" dataDxfId="54">
      <calculatedColumnFormula>Port[[#This Row],[ECL_Interest (CNY)]]*Port[[#This Row],[CNY -&gt; FCY]]</calculatedColumnFormula>
    </tableColumn>
    <tableColumn id="30" uniqueName="30" name="EAD_Drawn (THB)" queryTableFieldId="30" dataDxfId="53">
      <calculatedColumnFormula>Port[[#This Row],[EAD_Drawn (CNY)]]*Port[[#This Row],[CNY -&gt; THB]]</calculatedColumnFormula>
    </tableColumn>
    <tableColumn id="31" uniqueName="31" name="EAD_Undrawn (THB)" queryTableFieldId="31" dataDxfId="52">
      <calculatedColumnFormula>Port[[#This Row],[EAD_Undrawn (CNY)]]*Port[[#This Row],[CNY -&gt; THB]]</calculatedColumnFormula>
    </tableColumn>
    <tableColumn id="32" uniqueName="32" name="EAD (THB)" queryTableFieldId="32" dataDxfId="51">
      <calculatedColumnFormula>Port[[#This Row],[EAD (CNY)]]*Port[[#This Row],[CNY -&gt; THB]]</calculatedColumnFormula>
    </tableColumn>
    <tableColumn id="33" uniqueName="33" name="EAD_Interest (THB)" queryTableFieldId="33" dataDxfId="50">
      <calculatedColumnFormula>Port[[#This Row],[EAD_Interest (CNY)]]*Port[[#This Row],[CNY -&gt; THB]]</calculatedColumnFormula>
    </tableColumn>
    <tableColumn id="34" uniqueName="34" name="ECL_Drawn (THB)" queryTableFieldId="34" dataDxfId="49">
      <calculatedColumnFormula>Port[[#This Row],[ECL_Drawn (CNY)]]*Port[[#This Row],[CNY -&gt; THB]]</calculatedColumnFormula>
    </tableColumn>
    <tableColumn id="35" uniqueName="35" name="ECL_Undrawn (THB)" queryTableFieldId="35" dataDxfId="48">
      <calculatedColumnFormula>Port[[#This Row],[ECL_Undrawn (CNY)]]*Port[[#This Row],[CNY -&gt; THB]]</calculatedColumnFormula>
    </tableColumn>
    <tableColumn id="36" uniqueName="36" name="ECL (THB)" queryTableFieldId="36" dataDxfId="47">
      <calculatedColumnFormula>Port[[#This Row],[ECL (CNY)]]*Port[[#This Row],[CNY -&gt; THB]]</calculatedColumnFormula>
    </tableColumn>
    <tableColumn id="37" uniqueName="37" name="ECL_Interest (THB)" queryTableFieldId="37" dataDxfId="46">
      <calculatedColumnFormula>Port[[#This Row],[ECL_Interest (CNY)]]*Port[[#This Row],[CNY -&gt; THB]]</calculatedColumnFormula>
    </tableColumn>
    <tableColumn id="38" uniqueName="38" name="EAD_PD (THB)" queryTableFieldId="38" dataDxfId="45">
      <calculatedColumnFormula>Port[[#This Row],[EAD (THB)]]*Port[[#This Row],[PD_avg]]</calculatedColumnFormula>
    </tableColumn>
    <tableColumn id="39" uniqueName="39" name="Int_PD (THB)" queryTableFieldId="39" dataDxfId="44">
      <calculatedColumnFormula>Port[[#This Row],[EAD_Interest (THB)]]*Port[[#This Row],[PD_avg]]</calculatedColumnFormula>
    </tableColumn>
    <tableColumn id="40" uniqueName="40" name="EAD_LGD (THB)" queryTableFieldId="40" dataDxfId="43">
      <calculatedColumnFormula>Port[[#This Row],[EAD (THB)]]*Port[[#This Row],[LGD_avg]]</calculatedColumnFormula>
    </tableColumn>
    <tableColumn id="41" uniqueName="41" name="Int_LGD (THB)" queryTableFieldId="41" dataDxfId="42">
      <calculatedColumnFormula>Port[[#This Row],[EAD_Interest (THB)]]*Port[[#This Row],[LGD_avg]]</calculatedColumnFormula>
    </tableColumn>
    <tableColumn id="42" uniqueName="42" name="Outstanding &amp; Interest (THB)" queryTableFieldId="42" dataDxfId="41">
      <calculatedColumnFormula>Port[[#This Row],[EAD_Drawn (THB)]]+Port[[#This Row],[EAD_Interest (THB)]]</calculatedColumnFormula>
    </tableColumn>
    <tableColumn id="43" uniqueName="43" name="ECL CBIRC (THB)" queryTableFieldId="43" dataDxfId="0">
      <calculatedColumnFormula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calculatedColumnFormula>
    </tableColumn>
    <tableColumn id="44" uniqueName="44" name="Higher ECL (THB)" queryTableFieldId="44" dataDxfId="40">
      <calculatedColumnFormula>MAX(Port[[#This Row],[ECL (THB)]]+Port[[#This Row],[ECL_Interest (THB)]], Port[[#This Row],[ECL CBIRC (THB)]])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Compare_2" displayName="Compare_2" ref="A1:AO887" tableType="queryTable" totalsRowShown="0">
  <autoFilter ref="A1:AO887"/>
  <tableColumns count="41">
    <tableColumn id="1" uniqueName="1" name="ID" queryTableFieldId="1" dataDxfId="39"/>
    <tableColumn id="2" uniqueName="2" name="Customer Name" queryTableFieldId="2" dataDxfId="38"/>
    <tableColumn id="3" uniqueName="3" name="Segment" queryTableFieldId="3" dataDxfId="37"/>
    <tableColumn id="4" uniqueName="4" name="Industry" queryTableFieldId="4" dataDxfId="36"/>
    <tableColumn id="5" uniqueName="5" name="Portfolio (BOT)" queryTableFieldId="5" dataDxfId="35"/>
    <tableColumn id="6" uniqueName="6" name="BOT Segment" queryTableFieldId="6" dataDxfId="34"/>
    <tableColumn id="7" uniqueName="7" name="Currency" queryTableFieldId="7" dataDxfId="33"/>
    <tableColumn id="8" uniqueName="8" name="Stage T" queryTableFieldId="8"/>
    <tableColumn id="9" uniqueName="9" name="Lifetime T" queryTableFieldId="9" dataDxfId="32"/>
    <tableColumn id="10" uniqueName="10" name="CNY -&gt; FCY T" queryTableFieldId="10" dataDxfId="31"/>
    <tableColumn id="11" uniqueName="11" name="CNY -&gt; THB T" queryTableFieldId="11" dataDxfId="30"/>
    <tableColumn id="12" uniqueName="12" name="ECL_Drawn (CNY) T" queryTableFieldId="12" dataDxfId="29"/>
    <tableColumn id="13" uniqueName="13" name="ECL_Undrawn (CNY) T" queryTableFieldId="13" dataDxfId="28"/>
    <tableColumn id="14" uniqueName="14" name="ECL (CNY) T" queryTableFieldId="14" dataDxfId="27"/>
    <tableColumn id="15" uniqueName="15" name="ECL_Interest (CNY) T" queryTableFieldId="15" dataDxfId="26"/>
    <tableColumn id="16" uniqueName="16" name="Stage T-1" queryTableFieldId="16"/>
    <tableColumn id="17" uniqueName="17" name="Lifetime T-1" queryTableFieldId="17" dataDxfId="25"/>
    <tableColumn id="18" uniqueName="18" name="CNY -&gt; FCY T-1" queryTableFieldId="18" dataDxfId="24"/>
    <tableColumn id="19" uniqueName="19" name="CNY -&gt; THB T-1" queryTableFieldId="19" dataDxfId="23"/>
    <tableColumn id="20" uniqueName="20" name="ECL_Drawn (CNY) T-1" queryTableFieldId="20" dataDxfId="22"/>
    <tableColumn id="21" uniqueName="21" name="ECL_Undrawn (CNY) T-1" queryTableFieldId="21" dataDxfId="21"/>
    <tableColumn id="22" uniqueName="22" name="ECL (CNY) T-1" queryTableFieldId="22" dataDxfId="20"/>
    <tableColumn id="23" uniqueName="23" name="ECL_Interest (CNY) T-1" queryTableFieldId="23" dataDxfId="19"/>
    <tableColumn id="24" uniqueName="24" name="ECL_Drawn&amp;Int (CNY) T" queryTableFieldId="24" dataDxfId="18"/>
    <tableColumn id="25" uniqueName="25" name="ECL_Drawn&amp;Int (CNY) T-1" queryTableFieldId="25" dataDxfId="17"/>
    <tableColumn id="26" uniqueName="26" name="ECL_Drawn&amp;Int (THB) T" queryTableFieldId="26" dataDxfId="16"/>
    <tableColumn id="27" uniqueName="27" name="ECL_Drawn&amp;Int (THB) T-1" queryTableFieldId="27" dataDxfId="15"/>
    <tableColumn id="28" uniqueName="28" name="ECL_Drawn&amp;Int RE (THB) T-1" queryTableFieldId="28" dataDxfId="14"/>
    <tableColumn id="29" uniqueName="29" name="ECL_Drawn&amp;Int Total Change (THB)" queryTableFieldId="29" dataDxfId="13"/>
    <tableColumn id="30" uniqueName="30" name="ECL_Drawn&amp;Int Notional Change (THB)" queryTableFieldId="30" dataDxfId="12"/>
    <tableColumn id="31" uniqueName="31" name="ECL_Drawn&amp;Int FX Change (THB)" queryTableFieldId="31" dataDxfId="11"/>
    <tableColumn id="32" uniqueName="32" name="ECL_Drawn&amp;Int New FA (THB)" queryTableFieldId="32" dataDxfId="10"/>
    <tableColumn id="33" uniqueName="33" name="ECL_Drawn&amp;Int Derecognise (THB)" queryTableFieldId="33" dataDxfId="9"/>
    <tableColumn id="34" uniqueName="34" name="ECL_Undrawn (THB) T" queryTableFieldId="34" dataDxfId="8"/>
    <tableColumn id="35" uniqueName="35" name="ECL_Undrawn (THB) T-1" queryTableFieldId="35" dataDxfId="7"/>
    <tableColumn id="36" uniqueName="36" name="ECL_Undrawn RE (THB) T-1" queryTableFieldId="36" dataDxfId="6"/>
    <tableColumn id="37" uniqueName="37" name="ECL_Undrawn Total Change (THB)" queryTableFieldId="37" dataDxfId="5"/>
    <tableColumn id="38" uniqueName="38" name="ECL_Undrawn Notional Change (THB)" queryTableFieldId="38" dataDxfId="4"/>
    <tableColumn id="39" uniqueName="39" name="ECL_Undrawn FX Change (THB)" queryTableFieldId="39" dataDxfId="3"/>
    <tableColumn id="40" uniqueName="40" name="ECL_Undrawn New FA (THB)" queryTableFieldId="40" dataDxfId="2"/>
    <tableColumn id="41" uniqueName="41" name="ECL_Undrawn Derecognise (THB)" queryTableFieldId="4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workbookViewId="0">
      <selection activeCell="F8" sqref="F8"/>
    </sheetView>
  </sheetViews>
  <sheetFormatPr defaultRowHeight="14.5"/>
  <cols>
    <col min="1" max="1" width="43.90625" customWidth="1"/>
    <col min="2" max="2" width="24.26953125" customWidth="1"/>
    <col min="3" max="3" width="7.26953125" bestFit="1" customWidth="1"/>
    <col min="4" max="4" width="13.90625" bestFit="1" customWidth="1"/>
    <col min="5" max="5" width="9.26953125" bestFit="1" customWidth="1"/>
    <col min="6" max="6" width="9.453125" bestFit="1" customWidth="1"/>
    <col min="7" max="7" width="11.453125" bestFit="1" customWidth="1"/>
    <col min="8" max="8" width="16.08984375" bestFit="1" customWidth="1"/>
    <col min="9" max="9" width="10.453125" customWidth="1"/>
    <col min="10" max="10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tr" cm="1">
        <f t="array" aca="1" ref="A2" ca="1">LEFT(CELL("filename"),SEARCH("\[",CELL("filename")))</f>
        <v>D:\Users\korkiat.s\OneDrive - KASIKORNBANKGROUP\Downloads\New folder (5)\report\</v>
      </c>
      <c r="B2" s="1" t="str" cm="1">
        <f t="array" aca="1" ref="B2" ca="1">MID(CELL("filename"),SEARCH("\[",CELL("filename"))+2,SEARCH("]",CELL("filename"))-SEARCH("\[",CELL("filename"))-2)</f>
        <v>0. TFRS9_Provision_Retail_V2021_Oct - V01.xlsx</v>
      </c>
      <c r="C2" s="1" t="str">
        <f ca="1">MID(DynamicPath[[#This Row],[Filename]],SEARCH("_V",DynamicPath[[#This Row],[Filename]])+2,4)</f>
        <v>2021</v>
      </c>
      <c r="D2" s="1" t="str">
        <f ca="1">MID(DynamicPath[[#This Row],[Filename]],SEARCH(DynamicPath[[#This Row],[Year]],DynamicPath[[#This Row],[Filename]])+5,3)</f>
        <v>Oct</v>
      </c>
      <c r="E2" s="1" t="str">
        <f ca="1">IF(DynamicPath[[#This Row],[Month_text]]="Jan","01",IF(DynamicPath[[#This Row],[Month_text]]="Feb","02",IF(DynamicPath[[#This Row],[Month_text]]="Mar","03",IF(DynamicPath[[#This Row],[Month_text]]="Apr","04",IF(DynamicPath[[#This Row],[Month_text]]="May","05",IF(DynamicPath[[#This Row],[Month_text]]="Jun","06",IF(DynamicPath[[#This Row],[Month_text]]="Jul","07",IF(DynamicPath[[#This Row],[Month_text]]="Aug","08",IF(DynamicPath[[#This Row],[Month_text]]="Sep","09",IF(DynamicPath[[#This Row],[Month_text]]="Oct","10",IF(DynamicPath[[#This Row],[Month_text]]="Nov","11",IF(DynamicPath[[#This Row],[Month_text]]="Dec","12","13"))))))))))))</f>
        <v>10</v>
      </c>
      <c r="F2" s="1" t="str">
        <f ca="1">IF(VALUE(DynamicPath[[#This Row],[Month]])=1,DynamicPath[[#This Row],[Year]]-1,DynamicPath[[#This Row],[Year]])</f>
        <v>2021</v>
      </c>
      <c r="G2" s="1">
        <f ca="1">IF(VALUE(DynamicPath[[#This Row],[Month]])=1,12,VALUE(DynamicPath[[#This Row],[Month]]-1))</f>
        <v>9</v>
      </c>
      <c r="H2" s="1" t="str">
        <f ca="1">IF(DynamicPath[[#This Row],[Month_p]]=1,"Jan",IF(DynamicPath[[#This Row],[Month_p]]=2,"Feb",IF(DynamicPath[[#This Row],[Month_p]]=3,"Mar",IF(DynamicPath[[#This Row],[Month_p]]=4,"Apr",IF(DynamicPath[[#This Row],[Month_p]]=5,"May",IF(DynamicPath[[#This Row],[Month_p]]=6,"Jun",IF(DynamicPath[[#This Row],[Month_p]]=7,"Jul",IF(DynamicPath[[#This Row],[Month_p]]=8,"Aug",IF(DynamicPath[[#This Row],[Month_p]]=9,"Sep",IF(DynamicPath[[#This Row],[Month_p]]=10,"Oct",IF(DynamicPath[[#This Row],[Month_p]]=11,"Nov","Dec")))))))))))</f>
        <v>Sep</v>
      </c>
      <c r="I2" s="504" t="str">
        <f ca="1">DynamicPath[[#This Row],[Year]]&amp;"_"&amp;DynamicPath[[#This Row],[Month_text]]</f>
        <v>2021_Oct</v>
      </c>
      <c r="J2" s="504" t="str">
        <f ca="1">DynamicPath[[#This Row],[Year_p]]&amp;"_"&amp;DynamicPath[[#This Row],[Month_text_p]]</f>
        <v>2021_Sep</v>
      </c>
    </row>
  </sheetData>
  <phoneticPr fontId="6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759"/>
  <sheetViews>
    <sheetView tabSelected="1" topLeftCell="AL1" workbookViewId="0">
      <selection activeCell="AS7" sqref="AS7"/>
    </sheetView>
  </sheetViews>
  <sheetFormatPr defaultRowHeight="14.5"/>
  <cols>
    <col min="1" max="1" width="25.26953125" bestFit="1" customWidth="1"/>
    <col min="2" max="2" width="53.453125" bestFit="1" customWidth="1"/>
    <col min="3" max="3" width="11.08984375" bestFit="1" customWidth="1"/>
    <col min="4" max="4" width="66.08984375" customWidth="1"/>
    <col min="5" max="5" width="27.7265625" customWidth="1"/>
    <col min="6" max="6" width="15.08984375" customWidth="1"/>
    <col min="7" max="7" width="11.08984375" customWidth="1"/>
    <col min="8" max="8" width="8.08984375" customWidth="1"/>
    <col min="9" max="9" width="10.7265625" customWidth="1"/>
    <col min="10" max="11" width="12" customWidth="1"/>
    <col min="12" max="12" width="12.90625" customWidth="1"/>
    <col min="13" max="13" width="13" customWidth="1"/>
    <col min="14" max="41" width="22.7265625" customWidth="1"/>
    <col min="42" max="42" width="27.90625" bestFit="1" customWidth="1"/>
    <col min="43" max="43" width="16.54296875" bestFit="1" customWidth="1"/>
    <col min="44" max="44" width="17.08984375" bestFit="1" customWidth="1"/>
  </cols>
  <sheetData>
    <row r="1" spans="1:44">
      <c r="A1" t="s">
        <v>11</v>
      </c>
      <c r="B1" t="s">
        <v>12</v>
      </c>
      <c r="C1" t="s">
        <v>10</v>
      </c>
      <c r="D1" t="s">
        <v>527</v>
      </c>
      <c r="E1" t="s">
        <v>13</v>
      </c>
      <c r="F1" t="s">
        <v>14</v>
      </c>
      <c r="G1" t="s">
        <v>15</v>
      </c>
      <c r="H1" t="s">
        <v>16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528</v>
      </c>
      <c r="O1" t="s">
        <v>529</v>
      </c>
      <c r="P1" t="s">
        <v>536</v>
      </c>
      <c r="Q1" t="s">
        <v>531</v>
      </c>
      <c r="R1" t="s">
        <v>532</v>
      </c>
      <c r="S1" t="s">
        <v>533</v>
      </c>
      <c r="T1" t="s">
        <v>537</v>
      </c>
      <c r="U1" t="s">
        <v>535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1351</v>
      </c>
      <c r="AQ1" t="s">
        <v>1350</v>
      </c>
      <c r="AR1" t="s">
        <v>1352</v>
      </c>
    </row>
    <row r="2" spans="1:44">
      <c r="A2" s="2" t="s">
        <v>830</v>
      </c>
      <c r="B2" s="2" t="s">
        <v>831</v>
      </c>
      <c r="C2" s="2" t="s">
        <v>171</v>
      </c>
      <c r="D2" s="2" t="s">
        <v>25</v>
      </c>
      <c r="E2" s="2" t="s">
        <v>19</v>
      </c>
      <c r="F2" s="2" t="s">
        <v>173</v>
      </c>
      <c r="G2" s="2" t="s">
        <v>57</v>
      </c>
      <c r="H2">
        <v>1</v>
      </c>
      <c r="I2" s="2" t="s">
        <v>526</v>
      </c>
      <c r="J2" s="505">
        <v>9.0832004774658653E-4</v>
      </c>
      <c r="K2" s="505">
        <v>0.89999999999999991</v>
      </c>
      <c r="L2" s="3">
        <v>0.15684552284455039</v>
      </c>
      <c r="M2" s="3">
        <v>5.2488000000000001</v>
      </c>
      <c r="N2" s="507">
        <v>127372000</v>
      </c>
      <c r="O2" s="507">
        <v>0</v>
      </c>
      <c r="P2" s="507">
        <v>127372000</v>
      </c>
      <c r="Q2" s="507">
        <v>0</v>
      </c>
      <c r="R2" s="507">
        <v>104125.08700942039</v>
      </c>
      <c r="S2" s="507">
        <v>0</v>
      </c>
      <c r="T2" s="507">
        <v>104125.08700942039</v>
      </c>
      <c r="U2" s="507">
        <v>0</v>
      </c>
      <c r="V2" s="507">
        <f>Port[[#This Row],[EAD_Drawn (CNY)]]*Port[[#This Row],[CNY -&gt; FCY]]</f>
        <v>19977727.935756072</v>
      </c>
      <c r="W2" s="507">
        <f>Port[[#This Row],[EAD_Undrawn (CNY)]]*Port[[#This Row],[CNY -&gt; FCY]]</f>
        <v>0</v>
      </c>
      <c r="X2" s="507">
        <f>Port[[#This Row],[EAD (CNY)]]*Port[[#This Row],[CNY -&gt; FCY]]</f>
        <v>19977727.935756072</v>
      </c>
      <c r="Y2" s="507">
        <f>Port[[#This Row],[EAD_Interest (CNY)]]*Port[[#This Row],[CNY -&gt; FCY]]</f>
        <v>0</v>
      </c>
      <c r="Z2" s="507">
        <f>Port[[#This Row],[ECL_Drawn (CNY)]]*Port[[#This Row],[CNY -&gt; FCY]]</f>
        <v>16331.553713226842</v>
      </c>
      <c r="AA2" s="507">
        <f>Port[[#This Row],[ECL_Undrawn (CNY)]]*Port[[#This Row],[CNY -&gt; FCY]]</f>
        <v>0</v>
      </c>
      <c r="AB2" s="507">
        <f>Port[[#This Row],[ECL (CNY)]]*Port[[#This Row],[CNY -&gt; FCY]]</f>
        <v>16331.553713226842</v>
      </c>
      <c r="AC2" s="507">
        <f>Port[[#This Row],[ECL_Interest (CNY)]]*Port[[#This Row],[CNY -&gt; FCY]]</f>
        <v>0</v>
      </c>
      <c r="AD2" s="507">
        <f>Port[[#This Row],[EAD_Drawn (CNY)]]*Port[[#This Row],[CNY -&gt; THB]]</f>
        <v>668550153.60000002</v>
      </c>
      <c r="AE2" s="507">
        <f>Port[[#This Row],[EAD_Undrawn (CNY)]]*Port[[#This Row],[CNY -&gt; THB]]</f>
        <v>0</v>
      </c>
      <c r="AF2" s="507">
        <f>Port[[#This Row],[EAD (CNY)]]*Port[[#This Row],[CNY -&gt; THB]]</f>
        <v>668550153.60000002</v>
      </c>
      <c r="AG2" s="507">
        <f>Port[[#This Row],[EAD_Interest (CNY)]]*Port[[#This Row],[CNY -&gt; THB]]</f>
        <v>0</v>
      </c>
      <c r="AH2" s="507">
        <f>Port[[#This Row],[ECL_Drawn (CNY)]]*Port[[#This Row],[CNY -&gt; THB]]</f>
        <v>546531.75669504574</v>
      </c>
      <c r="AI2" s="507">
        <f>Port[[#This Row],[ECL_Undrawn (CNY)]]*Port[[#This Row],[CNY -&gt; THB]]</f>
        <v>0</v>
      </c>
      <c r="AJ2" s="507">
        <f>Port[[#This Row],[ECL (CNY)]]*Port[[#This Row],[CNY -&gt; THB]]</f>
        <v>546531.75669504574</v>
      </c>
      <c r="AK2" s="507">
        <f>Port[[#This Row],[ECL_Interest (CNY)]]*Port[[#This Row],[CNY -&gt; THB]]</f>
        <v>0</v>
      </c>
      <c r="AL2" s="507">
        <f>Port[[#This Row],[EAD (THB)]]*Port[[#This Row],[PD_avg]]</f>
        <v>607257.50743893976</v>
      </c>
      <c r="AM2" s="507">
        <f>Port[[#This Row],[EAD_Interest (THB)]]*Port[[#This Row],[PD_avg]]</f>
        <v>0</v>
      </c>
      <c r="AN2" s="507">
        <f>Port[[#This Row],[EAD (THB)]]*Port[[#This Row],[LGD_avg]]</f>
        <v>601695138.24000001</v>
      </c>
      <c r="AO2" s="507">
        <f>Port[[#This Row],[EAD_Interest (THB)]]*Port[[#This Row],[LGD_avg]]</f>
        <v>0</v>
      </c>
      <c r="AP2" s="507">
        <f>Port[[#This Row],[EAD_Drawn (THB)]]+Port[[#This Row],[EAD_Interest (THB)]]</f>
        <v>668550153.60000002</v>
      </c>
      <c r="AQ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546531.75669504574</v>
      </c>
      <c r="AR2" s="522">
        <f>MAX(Port[[#This Row],[ECL (THB)]]+Port[[#This Row],[ECL_Interest (THB)]], Port[[#This Row],[ECL CBIRC (THB)]])</f>
        <v>546531.75669504574</v>
      </c>
    </row>
    <row r="3" spans="1:44">
      <c r="A3" s="2" t="s">
        <v>23</v>
      </c>
      <c r="B3" s="2" t="s">
        <v>24</v>
      </c>
      <c r="C3" s="2" t="s">
        <v>17</v>
      </c>
      <c r="D3" s="2" t="s">
        <v>25</v>
      </c>
      <c r="E3" s="2" t="s">
        <v>19</v>
      </c>
      <c r="F3" s="2" t="s">
        <v>20</v>
      </c>
      <c r="G3" s="2" t="s">
        <v>21</v>
      </c>
      <c r="H3">
        <v>1</v>
      </c>
      <c r="I3" s="2" t="s">
        <v>526</v>
      </c>
      <c r="J3" s="505">
        <v>2.0514833509807026E-2</v>
      </c>
      <c r="K3" s="505">
        <v>0.74335926457971624</v>
      </c>
      <c r="L3" s="3">
        <v>1</v>
      </c>
      <c r="M3" s="3">
        <v>5.2488000000000001</v>
      </c>
      <c r="N3" s="507">
        <v>29600000</v>
      </c>
      <c r="O3" s="507">
        <v>0</v>
      </c>
      <c r="P3" s="507">
        <v>29600000</v>
      </c>
      <c r="Q3" s="507">
        <v>24461.11</v>
      </c>
      <c r="R3" s="507">
        <v>451396.78990443388</v>
      </c>
      <c r="S3" s="507">
        <v>0</v>
      </c>
      <c r="T3" s="507">
        <v>451396.78990443388</v>
      </c>
      <c r="U3" s="507">
        <v>373.02927471281237</v>
      </c>
      <c r="V3" s="507">
        <f>Port[[#This Row],[EAD_Drawn (CNY)]]*Port[[#This Row],[CNY -&gt; FCY]]</f>
        <v>29600000</v>
      </c>
      <c r="W3" s="507">
        <f>Port[[#This Row],[EAD_Undrawn (CNY)]]*Port[[#This Row],[CNY -&gt; FCY]]</f>
        <v>0</v>
      </c>
      <c r="X3" s="507">
        <f>Port[[#This Row],[EAD (CNY)]]*Port[[#This Row],[CNY -&gt; FCY]]</f>
        <v>29600000</v>
      </c>
      <c r="Y3" s="507">
        <f>Port[[#This Row],[EAD_Interest (CNY)]]*Port[[#This Row],[CNY -&gt; FCY]]</f>
        <v>24461.11</v>
      </c>
      <c r="Z3" s="507">
        <f>Port[[#This Row],[ECL_Drawn (CNY)]]*Port[[#This Row],[CNY -&gt; FCY]]</f>
        <v>451396.78990443388</v>
      </c>
      <c r="AA3" s="507">
        <f>Port[[#This Row],[ECL_Undrawn (CNY)]]*Port[[#This Row],[CNY -&gt; FCY]]</f>
        <v>0</v>
      </c>
      <c r="AB3" s="507">
        <f>Port[[#This Row],[ECL (CNY)]]*Port[[#This Row],[CNY -&gt; FCY]]</f>
        <v>451396.78990443388</v>
      </c>
      <c r="AC3" s="507">
        <f>Port[[#This Row],[ECL_Interest (CNY)]]*Port[[#This Row],[CNY -&gt; FCY]]</f>
        <v>373.02927471281237</v>
      </c>
      <c r="AD3" s="507">
        <f>Port[[#This Row],[EAD_Drawn (CNY)]]*Port[[#This Row],[CNY -&gt; THB]]</f>
        <v>155364480</v>
      </c>
      <c r="AE3" s="507">
        <f>Port[[#This Row],[EAD_Undrawn (CNY)]]*Port[[#This Row],[CNY -&gt; THB]]</f>
        <v>0</v>
      </c>
      <c r="AF3" s="507">
        <f>Port[[#This Row],[EAD (CNY)]]*Port[[#This Row],[CNY -&gt; THB]]</f>
        <v>155364480</v>
      </c>
      <c r="AG3" s="507">
        <f>Port[[#This Row],[EAD_Interest (CNY)]]*Port[[#This Row],[CNY -&gt; THB]]</f>
        <v>128391.474168</v>
      </c>
      <c r="AH3" s="507">
        <f>Port[[#This Row],[ECL_Drawn (CNY)]]*Port[[#This Row],[CNY -&gt; THB]]</f>
        <v>2369291.4708503927</v>
      </c>
      <c r="AI3" s="507">
        <f>Port[[#This Row],[ECL_Undrawn (CNY)]]*Port[[#This Row],[CNY -&gt; THB]]</f>
        <v>0</v>
      </c>
      <c r="AJ3" s="507">
        <f>Port[[#This Row],[ECL (CNY)]]*Port[[#This Row],[CNY -&gt; THB]]</f>
        <v>2369291.4708503927</v>
      </c>
      <c r="AK3" s="507">
        <f>Port[[#This Row],[ECL_Interest (CNY)]]*Port[[#This Row],[CNY -&gt; THB]]</f>
        <v>1957.9560571126096</v>
      </c>
      <c r="AL3" s="507">
        <f>Port[[#This Row],[EAD (THB)]]*Port[[#This Row],[PD_avg]]</f>
        <v>3187276.4405377437</v>
      </c>
      <c r="AM3" s="507">
        <f>Port[[#This Row],[EAD_Interest (THB)]]*Port[[#This Row],[PD_avg]]</f>
        <v>2633.9297166352094</v>
      </c>
      <c r="AN3" s="507">
        <f>Port[[#This Row],[EAD (THB)]]*Port[[#This Row],[LGD_avg]]</f>
        <v>115491625.59461004</v>
      </c>
      <c r="AO3" s="507">
        <f>Port[[#This Row],[EAD_Interest (THB)]]*Port[[#This Row],[LGD_avg]]</f>
        <v>95440.991815830115</v>
      </c>
      <c r="AP3" s="507">
        <f>Port[[#This Row],[EAD_Drawn (THB)]]+Port[[#This Row],[EAD_Interest (THB)]]</f>
        <v>155492871.474168</v>
      </c>
      <c r="AQ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2330467.1999999997</v>
      </c>
      <c r="AR3" s="522">
        <f>MAX(Port[[#This Row],[ECL (THB)]]+Port[[#This Row],[ECL_Interest (THB)]], Port[[#This Row],[ECL CBIRC (THB)]])</f>
        <v>2371249.4269075054</v>
      </c>
    </row>
    <row r="4" spans="1:44">
      <c r="A4" s="2" t="s">
        <v>26</v>
      </c>
      <c r="B4" s="2" t="s">
        <v>27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>
        <v>1</v>
      </c>
      <c r="I4" s="2" t="s">
        <v>526</v>
      </c>
      <c r="J4" s="505">
        <v>2.0514833509807026E-2</v>
      </c>
      <c r="K4" s="505">
        <v>0.54953124976286483</v>
      </c>
      <c r="L4" s="3">
        <v>1</v>
      </c>
      <c r="M4" s="3">
        <v>5.2488000000000001</v>
      </c>
      <c r="N4" s="507">
        <v>26721646.309999999</v>
      </c>
      <c r="O4" s="507">
        <v>0</v>
      </c>
      <c r="P4" s="507">
        <v>26721646.309999999</v>
      </c>
      <c r="Q4" s="507">
        <v>23381.439999999999</v>
      </c>
      <c r="R4" s="507">
        <v>301247.60458551685</v>
      </c>
      <c r="S4" s="507">
        <v>0</v>
      </c>
      <c r="T4" s="507">
        <v>301247.60458551685</v>
      </c>
      <c r="U4" s="507">
        <v>263.59164813599341</v>
      </c>
      <c r="V4" s="507">
        <f>Port[[#This Row],[EAD_Drawn (CNY)]]*Port[[#This Row],[CNY -&gt; FCY]]</f>
        <v>26721646.309999999</v>
      </c>
      <c r="W4" s="507">
        <f>Port[[#This Row],[EAD_Undrawn (CNY)]]*Port[[#This Row],[CNY -&gt; FCY]]</f>
        <v>0</v>
      </c>
      <c r="X4" s="507">
        <f>Port[[#This Row],[EAD (CNY)]]*Port[[#This Row],[CNY -&gt; FCY]]</f>
        <v>26721646.309999999</v>
      </c>
      <c r="Y4" s="507">
        <f>Port[[#This Row],[EAD_Interest (CNY)]]*Port[[#This Row],[CNY -&gt; FCY]]</f>
        <v>23381.439999999999</v>
      </c>
      <c r="Z4" s="507">
        <f>Port[[#This Row],[ECL_Drawn (CNY)]]*Port[[#This Row],[CNY -&gt; FCY]]</f>
        <v>301247.60458551685</v>
      </c>
      <c r="AA4" s="507">
        <f>Port[[#This Row],[ECL_Undrawn (CNY)]]*Port[[#This Row],[CNY -&gt; FCY]]</f>
        <v>0</v>
      </c>
      <c r="AB4" s="507">
        <f>Port[[#This Row],[ECL (CNY)]]*Port[[#This Row],[CNY -&gt; FCY]]</f>
        <v>301247.60458551685</v>
      </c>
      <c r="AC4" s="507">
        <f>Port[[#This Row],[ECL_Interest (CNY)]]*Port[[#This Row],[CNY -&gt; FCY]]</f>
        <v>263.59164813599341</v>
      </c>
      <c r="AD4" s="507">
        <f>Port[[#This Row],[EAD_Drawn (CNY)]]*Port[[#This Row],[CNY -&gt; THB]]</f>
        <v>140256577.15192801</v>
      </c>
      <c r="AE4" s="507">
        <f>Port[[#This Row],[EAD_Undrawn (CNY)]]*Port[[#This Row],[CNY -&gt; THB]]</f>
        <v>0</v>
      </c>
      <c r="AF4" s="507">
        <f>Port[[#This Row],[EAD (CNY)]]*Port[[#This Row],[CNY -&gt; THB]]</f>
        <v>140256577.15192801</v>
      </c>
      <c r="AG4" s="507">
        <f>Port[[#This Row],[EAD_Interest (CNY)]]*Port[[#This Row],[CNY -&gt; THB]]</f>
        <v>122724.502272</v>
      </c>
      <c r="AH4" s="507">
        <f>Port[[#This Row],[ECL_Drawn (CNY)]]*Port[[#This Row],[CNY -&gt; THB]]</f>
        <v>1581188.426948461</v>
      </c>
      <c r="AI4" s="507">
        <f>Port[[#This Row],[ECL_Undrawn (CNY)]]*Port[[#This Row],[CNY -&gt; THB]]</f>
        <v>0</v>
      </c>
      <c r="AJ4" s="507">
        <f>Port[[#This Row],[ECL (CNY)]]*Port[[#This Row],[CNY -&gt; THB]]</f>
        <v>1581188.426948461</v>
      </c>
      <c r="AK4" s="507">
        <f>Port[[#This Row],[ECL_Interest (CNY)]]*Port[[#This Row],[CNY -&gt; THB]]</f>
        <v>1383.5398427362022</v>
      </c>
      <c r="AL4" s="507">
        <f>Port[[#This Row],[EAD (THB)]]*Port[[#This Row],[PD_avg]]</f>
        <v>2877340.3289272073</v>
      </c>
      <c r="AM4" s="507">
        <f>Port[[#This Row],[EAD_Interest (THB)]]*Port[[#This Row],[PD_avg]]</f>
        <v>2517.6727316840143</v>
      </c>
      <c r="AN4" s="507">
        <f>Port[[#This Row],[EAD (THB)]]*Port[[#This Row],[LGD_avg]]</f>
        <v>77075372.129760668</v>
      </c>
      <c r="AO4" s="507">
        <f>Port[[#This Row],[EAD_Interest (THB)]]*Port[[#This Row],[LGD_avg]]</f>
        <v>67440.9491100577</v>
      </c>
      <c r="AP4" s="507">
        <f>Port[[#This Row],[EAD_Drawn (THB)]]+Port[[#This Row],[EAD_Interest (THB)]]</f>
        <v>140379301.65420002</v>
      </c>
      <c r="AQ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2103848.6572789201</v>
      </c>
      <c r="AR4" s="522">
        <f>MAX(Port[[#This Row],[ECL (THB)]]+Port[[#This Row],[ECL_Interest (THB)]], Port[[#This Row],[ECL CBIRC (THB)]])</f>
        <v>2103848.6572789201</v>
      </c>
    </row>
    <row r="5" spans="1:44">
      <c r="A5" s="2" t="s">
        <v>832</v>
      </c>
      <c r="B5" s="2" t="s">
        <v>833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>
        <v>1</v>
      </c>
      <c r="I5" s="2" t="s">
        <v>526</v>
      </c>
      <c r="J5" s="505">
        <v>3.0745295499522811E-2</v>
      </c>
      <c r="K5" s="505">
        <v>0.80819665687107189</v>
      </c>
      <c r="L5" s="3">
        <v>1</v>
      </c>
      <c r="M5" s="3">
        <v>5.2488000000000001</v>
      </c>
      <c r="N5" s="507">
        <v>23000000</v>
      </c>
      <c r="O5" s="507">
        <v>0</v>
      </c>
      <c r="P5" s="507">
        <v>23000000</v>
      </c>
      <c r="Q5" s="507">
        <v>19006.939999999999</v>
      </c>
      <c r="R5" s="507">
        <v>571509.63585623365</v>
      </c>
      <c r="S5" s="507">
        <v>0</v>
      </c>
      <c r="T5" s="507">
        <v>571509.63585623365</v>
      </c>
      <c r="U5" s="507">
        <v>472.28910252788177</v>
      </c>
      <c r="V5" s="507">
        <f>Port[[#This Row],[EAD_Drawn (CNY)]]*Port[[#This Row],[CNY -&gt; FCY]]</f>
        <v>23000000</v>
      </c>
      <c r="W5" s="507">
        <f>Port[[#This Row],[EAD_Undrawn (CNY)]]*Port[[#This Row],[CNY -&gt; FCY]]</f>
        <v>0</v>
      </c>
      <c r="X5" s="507">
        <f>Port[[#This Row],[EAD (CNY)]]*Port[[#This Row],[CNY -&gt; FCY]]</f>
        <v>23000000</v>
      </c>
      <c r="Y5" s="507">
        <f>Port[[#This Row],[EAD_Interest (CNY)]]*Port[[#This Row],[CNY -&gt; FCY]]</f>
        <v>19006.939999999999</v>
      </c>
      <c r="Z5" s="507">
        <f>Port[[#This Row],[ECL_Drawn (CNY)]]*Port[[#This Row],[CNY -&gt; FCY]]</f>
        <v>571509.63585623365</v>
      </c>
      <c r="AA5" s="507">
        <f>Port[[#This Row],[ECL_Undrawn (CNY)]]*Port[[#This Row],[CNY -&gt; FCY]]</f>
        <v>0</v>
      </c>
      <c r="AB5" s="507">
        <f>Port[[#This Row],[ECL (CNY)]]*Port[[#This Row],[CNY -&gt; FCY]]</f>
        <v>571509.63585623365</v>
      </c>
      <c r="AC5" s="507">
        <f>Port[[#This Row],[ECL_Interest (CNY)]]*Port[[#This Row],[CNY -&gt; FCY]]</f>
        <v>472.28910252788177</v>
      </c>
      <c r="AD5" s="507">
        <f>Port[[#This Row],[EAD_Drawn (CNY)]]*Port[[#This Row],[CNY -&gt; THB]]</f>
        <v>120722400</v>
      </c>
      <c r="AE5" s="507">
        <f>Port[[#This Row],[EAD_Undrawn (CNY)]]*Port[[#This Row],[CNY -&gt; THB]]</f>
        <v>0</v>
      </c>
      <c r="AF5" s="507">
        <f>Port[[#This Row],[EAD (CNY)]]*Port[[#This Row],[CNY -&gt; THB]]</f>
        <v>120722400</v>
      </c>
      <c r="AG5" s="507">
        <f>Port[[#This Row],[EAD_Interest (CNY)]]*Port[[#This Row],[CNY -&gt; THB]]</f>
        <v>99763.626671999999</v>
      </c>
      <c r="AH5" s="507">
        <f>Port[[#This Row],[ECL_Drawn (CNY)]]*Port[[#This Row],[CNY -&gt; THB]]</f>
        <v>2999739.7766821994</v>
      </c>
      <c r="AI5" s="507">
        <f>Port[[#This Row],[ECL_Undrawn (CNY)]]*Port[[#This Row],[CNY -&gt; THB]]</f>
        <v>0</v>
      </c>
      <c r="AJ5" s="507">
        <f>Port[[#This Row],[ECL (CNY)]]*Port[[#This Row],[CNY -&gt; THB]]</f>
        <v>2999739.7766821994</v>
      </c>
      <c r="AK5" s="507">
        <f>Port[[#This Row],[ECL_Interest (CNY)]]*Port[[#This Row],[CNY -&gt; THB]]</f>
        <v>2478.9510413483458</v>
      </c>
      <c r="AL5" s="507">
        <f>Port[[#This Row],[EAD (THB)]]*Port[[#This Row],[PD_avg]]</f>
        <v>3711645.8614115925</v>
      </c>
      <c r="AM5" s="507">
        <f>Port[[#This Row],[EAD_Interest (THB)]]*Port[[#This Row],[PD_avg]]</f>
        <v>3067.2621821347152</v>
      </c>
      <c r="AN5" s="507">
        <f>Port[[#This Row],[EAD (THB)]]*Port[[#This Row],[LGD_avg]]</f>
        <v>97567440.089452296</v>
      </c>
      <c r="AO5" s="507">
        <f>Port[[#This Row],[EAD_Interest (THB)]]*Port[[#This Row],[LGD_avg]]</f>
        <v>80628.629553644103</v>
      </c>
      <c r="AP5" s="507">
        <f>Port[[#This Row],[EAD_Drawn (THB)]]+Port[[#This Row],[EAD_Interest (THB)]]</f>
        <v>120822163.626672</v>
      </c>
      <c r="AQ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1810836</v>
      </c>
      <c r="AR5" s="522">
        <f>MAX(Port[[#This Row],[ECL (THB)]]+Port[[#This Row],[ECL_Interest (THB)]], Port[[#This Row],[ECL CBIRC (THB)]])</f>
        <v>3002218.7277235477</v>
      </c>
    </row>
    <row r="6" spans="1:44">
      <c r="A6" s="2" t="s">
        <v>834</v>
      </c>
      <c r="B6" s="2" t="s">
        <v>27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>
        <v>1</v>
      </c>
      <c r="I6" s="2" t="s">
        <v>526</v>
      </c>
      <c r="J6" s="505">
        <v>2.0514833509807026E-2</v>
      </c>
      <c r="K6" s="505">
        <v>0.32518172053409505</v>
      </c>
      <c r="L6" s="3">
        <v>1</v>
      </c>
      <c r="M6" s="3">
        <v>5.2488000000000001</v>
      </c>
      <c r="N6" s="507">
        <v>16292282.83</v>
      </c>
      <c r="O6" s="507">
        <v>0</v>
      </c>
      <c r="P6" s="507">
        <v>16292282.83</v>
      </c>
      <c r="Q6" s="507">
        <v>14255.75</v>
      </c>
      <c r="R6" s="507">
        <v>108686.61475408054</v>
      </c>
      <c r="S6" s="507">
        <v>0</v>
      </c>
      <c r="T6" s="507">
        <v>108686.61475408054</v>
      </c>
      <c r="U6" s="507">
        <v>95.100804745880041</v>
      </c>
      <c r="V6" s="507">
        <f>Port[[#This Row],[EAD_Drawn (CNY)]]*Port[[#This Row],[CNY -&gt; FCY]]</f>
        <v>16292282.83</v>
      </c>
      <c r="W6" s="507">
        <f>Port[[#This Row],[EAD_Undrawn (CNY)]]*Port[[#This Row],[CNY -&gt; FCY]]</f>
        <v>0</v>
      </c>
      <c r="X6" s="507">
        <f>Port[[#This Row],[EAD (CNY)]]*Port[[#This Row],[CNY -&gt; FCY]]</f>
        <v>16292282.83</v>
      </c>
      <c r="Y6" s="507">
        <f>Port[[#This Row],[EAD_Interest (CNY)]]*Port[[#This Row],[CNY -&gt; FCY]]</f>
        <v>14255.75</v>
      </c>
      <c r="Z6" s="507">
        <f>Port[[#This Row],[ECL_Drawn (CNY)]]*Port[[#This Row],[CNY -&gt; FCY]]</f>
        <v>108686.61475408054</v>
      </c>
      <c r="AA6" s="507">
        <f>Port[[#This Row],[ECL_Undrawn (CNY)]]*Port[[#This Row],[CNY -&gt; FCY]]</f>
        <v>0</v>
      </c>
      <c r="AB6" s="507">
        <f>Port[[#This Row],[ECL (CNY)]]*Port[[#This Row],[CNY -&gt; FCY]]</f>
        <v>108686.61475408054</v>
      </c>
      <c r="AC6" s="507">
        <f>Port[[#This Row],[ECL_Interest (CNY)]]*Port[[#This Row],[CNY -&gt; FCY]]</f>
        <v>95.100804745880041</v>
      </c>
      <c r="AD6" s="507">
        <f>Port[[#This Row],[EAD_Drawn (CNY)]]*Port[[#This Row],[CNY -&gt; THB]]</f>
        <v>85514934.118103996</v>
      </c>
      <c r="AE6" s="507">
        <f>Port[[#This Row],[EAD_Undrawn (CNY)]]*Port[[#This Row],[CNY -&gt; THB]]</f>
        <v>0</v>
      </c>
      <c r="AF6" s="507">
        <f>Port[[#This Row],[EAD (CNY)]]*Port[[#This Row],[CNY -&gt; THB]]</f>
        <v>85514934.118103996</v>
      </c>
      <c r="AG6" s="507">
        <f>Port[[#This Row],[EAD_Interest (CNY)]]*Port[[#This Row],[CNY -&gt; THB]]</f>
        <v>74825.580600000001</v>
      </c>
      <c r="AH6" s="507">
        <f>Port[[#This Row],[ECL_Drawn (CNY)]]*Port[[#This Row],[CNY -&gt; THB]]</f>
        <v>570474.30352121789</v>
      </c>
      <c r="AI6" s="507">
        <f>Port[[#This Row],[ECL_Undrawn (CNY)]]*Port[[#This Row],[CNY -&gt; THB]]</f>
        <v>0</v>
      </c>
      <c r="AJ6" s="507">
        <f>Port[[#This Row],[ECL (CNY)]]*Port[[#This Row],[CNY -&gt; THB]]</f>
        <v>570474.30352121789</v>
      </c>
      <c r="AK6" s="507">
        <f>Port[[#This Row],[ECL_Interest (CNY)]]*Port[[#This Row],[CNY -&gt; THB]]</f>
        <v>499.16510395017519</v>
      </c>
      <c r="AL6" s="507">
        <f>Port[[#This Row],[EAD (THB)]]*Port[[#This Row],[PD_avg]]</f>
        <v>1754324.63603502</v>
      </c>
      <c r="AM6" s="507">
        <f>Port[[#This Row],[EAD_Interest (THB)]]*Port[[#This Row],[PD_avg]]</f>
        <v>1535.0343282836466</v>
      </c>
      <c r="AN6" s="507">
        <f>Port[[#This Row],[EAD (THB)]]*Port[[#This Row],[LGD_avg]]</f>
        <v>27807893.407884844</v>
      </c>
      <c r="AO6" s="507">
        <f>Port[[#This Row],[EAD_Interest (THB)]]*Port[[#This Row],[LGD_avg]]</f>
        <v>24331.911039470604</v>
      </c>
      <c r="AP6" s="507">
        <f>Port[[#This Row],[EAD_Drawn (THB)]]+Port[[#This Row],[EAD_Interest (THB)]]</f>
        <v>85589759.698703989</v>
      </c>
      <c r="AQ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1282724.0117715599</v>
      </c>
      <c r="AR6" s="522">
        <f>MAX(Port[[#This Row],[ECL (THB)]]+Port[[#This Row],[ECL_Interest (THB)]], Port[[#This Row],[ECL CBIRC (THB)]])</f>
        <v>1282724.0117715599</v>
      </c>
    </row>
    <row r="7" spans="1:44">
      <c r="A7" s="2" t="s">
        <v>835</v>
      </c>
      <c r="B7" s="2" t="s">
        <v>27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>
        <v>1</v>
      </c>
      <c r="I7" s="2" t="s">
        <v>526</v>
      </c>
      <c r="J7" s="505">
        <v>2.0514833509807026E-2</v>
      </c>
      <c r="K7" s="505">
        <v>0.34865990112412459</v>
      </c>
      <c r="L7" s="3">
        <v>1</v>
      </c>
      <c r="M7" s="3">
        <v>5.2488000000000001</v>
      </c>
      <c r="N7" s="507">
        <v>16986070.859999999</v>
      </c>
      <c r="O7" s="507">
        <v>0</v>
      </c>
      <c r="P7" s="507">
        <v>16986070.859999999</v>
      </c>
      <c r="Q7" s="507">
        <v>14862.81</v>
      </c>
      <c r="R7" s="507">
        <v>121496.26603560829</v>
      </c>
      <c r="S7" s="507">
        <v>0</v>
      </c>
      <c r="T7" s="507">
        <v>121496.26603560829</v>
      </c>
      <c r="U7" s="507">
        <v>106.30921845787586</v>
      </c>
      <c r="V7" s="507">
        <f>Port[[#This Row],[EAD_Drawn (CNY)]]*Port[[#This Row],[CNY -&gt; FCY]]</f>
        <v>16986070.859999999</v>
      </c>
      <c r="W7" s="507">
        <f>Port[[#This Row],[EAD_Undrawn (CNY)]]*Port[[#This Row],[CNY -&gt; FCY]]</f>
        <v>0</v>
      </c>
      <c r="X7" s="507">
        <f>Port[[#This Row],[EAD (CNY)]]*Port[[#This Row],[CNY -&gt; FCY]]</f>
        <v>16986070.859999999</v>
      </c>
      <c r="Y7" s="507">
        <f>Port[[#This Row],[EAD_Interest (CNY)]]*Port[[#This Row],[CNY -&gt; FCY]]</f>
        <v>14862.81</v>
      </c>
      <c r="Z7" s="507">
        <f>Port[[#This Row],[ECL_Drawn (CNY)]]*Port[[#This Row],[CNY -&gt; FCY]]</f>
        <v>121496.26603560829</v>
      </c>
      <c r="AA7" s="507">
        <f>Port[[#This Row],[ECL_Undrawn (CNY)]]*Port[[#This Row],[CNY -&gt; FCY]]</f>
        <v>0</v>
      </c>
      <c r="AB7" s="507">
        <f>Port[[#This Row],[ECL (CNY)]]*Port[[#This Row],[CNY -&gt; FCY]]</f>
        <v>121496.26603560829</v>
      </c>
      <c r="AC7" s="507">
        <f>Port[[#This Row],[ECL_Interest (CNY)]]*Port[[#This Row],[CNY -&gt; FCY]]</f>
        <v>106.30921845787586</v>
      </c>
      <c r="AD7" s="507">
        <f>Port[[#This Row],[EAD_Drawn (CNY)]]*Port[[#This Row],[CNY -&gt; THB]]</f>
        <v>89156488.729967996</v>
      </c>
      <c r="AE7" s="507">
        <f>Port[[#This Row],[EAD_Undrawn (CNY)]]*Port[[#This Row],[CNY -&gt; THB]]</f>
        <v>0</v>
      </c>
      <c r="AF7" s="507">
        <f>Port[[#This Row],[EAD (CNY)]]*Port[[#This Row],[CNY -&gt; THB]]</f>
        <v>89156488.729967996</v>
      </c>
      <c r="AG7" s="507">
        <f>Port[[#This Row],[EAD_Interest (CNY)]]*Port[[#This Row],[CNY -&gt; THB]]</f>
        <v>78011.917128000001</v>
      </c>
      <c r="AH7" s="507">
        <f>Port[[#This Row],[ECL_Drawn (CNY)]]*Port[[#This Row],[CNY -&gt; THB]]</f>
        <v>637709.60116770084</v>
      </c>
      <c r="AI7" s="507">
        <f>Port[[#This Row],[ECL_Undrawn (CNY)]]*Port[[#This Row],[CNY -&gt; THB]]</f>
        <v>0</v>
      </c>
      <c r="AJ7" s="507">
        <f>Port[[#This Row],[ECL (CNY)]]*Port[[#This Row],[CNY -&gt; THB]]</f>
        <v>637709.60116770084</v>
      </c>
      <c r="AK7" s="507">
        <f>Port[[#This Row],[ECL_Interest (CNY)]]*Port[[#This Row],[CNY -&gt; THB]]</f>
        <v>557.99582584169877</v>
      </c>
      <c r="AL7" s="507">
        <f>Port[[#This Row],[EAD (THB)]]*Port[[#This Row],[PD_avg]]</f>
        <v>1829030.52261428</v>
      </c>
      <c r="AM7" s="507">
        <f>Port[[#This Row],[EAD_Interest (THB)]]*Port[[#This Row],[PD_avg]]</f>
        <v>1600.4014916617832</v>
      </c>
      <c r="AN7" s="507">
        <f>Port[[#This Row],[EAD (THB)]]*Port[[#This Row],[LGD_avg]]</f>
        <v>31085292.545164771</v>
      </c>
      <c r="AO7" s="507">
        <f>Port[[#This Row],[EAD_Interest (THB)]]*Port[[#This Row],[LGD_avg]]</f>
        <v>27199.62731235188</v>
      </c>
      <c r="AP7" s="507">
        <f>Port[[#This Row],[EAD_Drawn (THB)]]+Port[[#This Row],[EAD_Interest (THB)]]</f>
        <v>89234500.647095993</v>
      </c>
      <c r="AQ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1337347.33094952</v>
      </c>
      <c r="AR7" s="522">
        <f>MAX(Port[[#This Row],[ECL (THB)]]+Port[[#This Row],[ECL_Interest (THB)]], Port[[#This Row],[ECL CBIRC (THB)]])</f>
        <v>1337347.33094952</v>
      </c>
    </row>
    <row r="8" spans="1:44">
      <c r="A8" s="2" t="s">
        <v>836</v>
      </c>
      <c r="B8" s="2" t="s">
        <v>24</v>
      </c>
      <c r="C8" s="2" t="s">
        <v>17</v>
      </c>
      <c r="D8" s="2" t="s">
        <v>25</v>
      </c>
      <c r="E8" s="2" t="s">
        <v>19</v>
      </c>
      <c r="F8" s="2" t="s">
        <v>20</v>
      </c>
      <c r="G8" s="2" t="s">
        <v>21</v>
      </c>
      <c r="H8">
        <v>1</v>
      </c>
      <c r="I8" s="2" t="s">
        <v>526</v>
      </c>
      <c r="J8" s="505">
        <v>2.0514833509807026E-2</v>
      </c>
      <c r="K8" s="505">
        <v>0.45844375460043896</v>
      </c>
      <c r="L8" s="3">
        <v>1</v>
      </c>
      <c r="M8" s="3">
        <v>5.2488000000000001</v>
      </c>
      <c r="N8" s="507">
        <v>10500000</v>
      </c>
      <c r="O8" s="507">
        <v>0</v>
      </c>
      <c r="P8" s="507">
        <v>10500000</v>
      </c>
      <c r="Q8" s="507">
        <v>9187.5</v>
      </c>
      <c r="R8" s="507">
        <v>98751.421642007757</v>
      </c>
      <c r="S8" s="507">
        <v>0</v>
      </c>
      <c r="T8" s="507">
        <v>98751.421642007757</v>
      </c>
      <c r="U8" s="507">
        <v>86.407493936756808</v>
      </c>
      <c r="V8" s="507">
        <f>Port[[#This Row],[EAD_Drawn (CNY)]]*Port[[#This Row],[CNY -&gt; FCY]]</f>
        <v>10500000</v>
      </c>
      <c r="W8" s="507">
        <f>Port[[#This Row],[EAD_Undrawn (CNY)]]*Port[[#This Row],[CNY -&gt; FCY]]</f>
        <v>0</v>
      </c>
      <c r="X8" s="507">
        <f>Port[[#This Row],[EAD (CNY)]]*Port[[#This Row],[CNY -&gt; FCY]]</f>
        <v>10500000</v>
      </c>
      <c r="Y8" s="507">
        <f>Port[[#This Row],[EAD_Interest (CNY)]]*Port[[#This Row],[CNY -&gt; FCY]]</f>
        <v>9187.5</v>
      </c>
      <c r="Z8" s="507">
        <f>Port[[#This Row],[ECL_Drawn (CNY)]]*Port[[#This Row],[CNY -&gt; FCY]]</f>
        <v>98751.421642007757</v>
      </c>
      <c r="AA8" s="507">
        <f>Port[[#This Row],[ECL_Undrawn (CNY)]]*Port[[#This Row],[CNY -&gt; FCY]]</f>
        <v>0</v>
      </c>
      <c r="AB8" s="507">
        <f>Port[[#This Row],[ECL (CNY)]]*Port[[#This Row],[CNY -&gt; FCY]]</f>
        <v>98751.421642007757</v>
      </c>
      <c r="AC8" s="507">
        <f>Port[[#This Row],[ECL_Interest (CNY)]]*Port[[#This Row],[CNY -&gt; FCY]]</f>
        <v>86.407493936756808</v>
      </c>
      <c r="AD8" s="507">
        <f>Port[[#This Row],[EAD_Drawn (CNY)]]*Port[[#This Row],[CNY -&gt; THB]]</f>
        <v>55112400</v>
      </c>
      <c r="AE8" s="507">
        <f>Port[[#This Row],[EAD_Undrawn (CNY)]]*Port[[#This Row],[CNY -&gt; THB]]</f>
        <v>0</v>
      </c>
      <c r="AF8" s="507">
        <f>Port[[#This Row],[EAD (CNY)]]*Port[[#This Row],[CNY -&gt; THB]]</f>
        <v>55112400</v>
      </c>
      <c r="AG8" s="507">
        <f>Port[[#This Row],[EAD_Interest (CNY)]]*Port[[#This Row],[CNY -&gt; THB]]</f>
        <v>48223.35</v>
      </c>
      <c r="AH8" s="507">
        <f>Port[[#This Row],[ECL_Drawn (CNY)]]*Port[[#This Row],[CNY -&gt; THB]]</f>
        <v>518326.4619145703</v>
      </c>
      <c r="AI8" s="507">
        <f>Port[[#This Row],[ECL_Undrawn (CNY)]]*Port[[#This Row],[CNY -&gt; THB]]</f>
        <v>0</v>
      </c>
      <c r="AJ8" s="507">
        <f>Port[[#This Row],[ECL (CNY)]]*Port[[#This Row],[CNY -&gt; THB]]</f>
        <v>518326.4619145703</v>
      </c>
      <c r="AK8" s="507">
        <f>Port[[#This Row],[ECL_Interest (CNY)]]*Port[[#This Row],[CNY -&gt; THB]]</f>
        <v>453.53565417524914</v>
      </c>
      <c r="AL8" s="507">
        <f>Port[[#This Row],[EAD (THB)]]*Port[[#This Row],[PD_avg]]</f>
        <v>1130621.7103258888</v>
      </c>
      <c r="AM8" s="507">
        <f>Port[[#This Row],[EAD_Interest (THB)]]*Port[[#This Row],[PD_avg]]</f>
        <v>989.29399653515259</v>
      </c>
      <c r="AN8" s="507">
        <f>Port[[#This Row],[EAD (THB)]]*Port[[#This Row],[LGD_avg]]</f>
        <v>25265935.581041232</v>
      </c>
      <c r="AO8" s="507">
        <f>Port[[#This Row],[EAD_Interest (THB)]]*Port[[#This Row],[LGD_avg]]</f>
        <v>22107.693633411076</v>
      </c>
      <c r="AP8" s="507">
        <f>Port[[#This Row],[EAD_Drawn (THB)]]+Port[[#This Row],[EAD_Interest (THB)]]</f>
        <v>55160623.350000001</v>
      </c>
      <c r="AQ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826686</v>
      </c>
      <c r="AR8" s="522">
        <f>MAX(Port[[#This Row],[ECL (THB)]]+Port[[#This Row],[ECL_Interest (THB)]], Port[[#This Row],[ECL CBIRC (THB)]])</f>
        <v>826686</v>
      </c>
    </row>
    <row r="9" spans="1:44">
      <c r="A9" s="2" t="s">
        <v>837</v>
      </c>
      <c r="B9" s="2" t="s">
        <v>838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>
        <v>1</v>
      </c>
      <c r="I9" s="2" t="s">
        <v>526</v>
      </c>
      <c r="J9" s="505">
        <v>4.8109749303825028E-2</v>
      </c>
      <c r="K9" s="505">
        <v>0.90000000000000013</v>
      </c>
      <c r="L9" s="3">
        <v>1</v>
      </c>
      <c r="M9" s="3">
        <v>5.2488000000000001</v>
      </c>
      <c r="N9" s="507">
        <v>50000000</v>
      </c>
      <c r="O9" s="507">
        <v>0</v>
      </c>
      <c r="P9" s="507">
        <v>50000000</v>
      </c>
      <c r="Q9" s="507">
        <v>42583.33</v>
      </c>
      <c r="R9" s="507">
        <v>2164938.7186721261</v>
      </c>
      <c r="S9" s="507">
        <v>0</v>
      </c>
      <c r="T9" s="507">
        <v>2164938.7186721261</v>
      </c>
      <c r="U9" s="507">
        <v>1843.8059977398464</v>
      </c>
      <c r="V9" s="507">
        <f>Port[[#This Row],[EAD_Drawn (CNY)]]*Port[[#This Row],[CNY -&gt; FCY]]</f>
        <v>50000000</v>
      </c>
      <c r="W9" s="507">
        <f>Port[[#This Row],[EAD_Undrawn (CNY)]]*Port[[#This Row],[CNY -&gt; FCY]]</f>
        <v>0</v>
      </c>
      <c r="X9" s="507">
        <f>Port[[#This Row],[EAD (CNY)]]*Port[[#This Row],[CNY -&gt; FCY]]</f>
        <v>50000000</v>
      </c>
      <c r="Y9" s="507">
        <f>Port[[#This Row],[EAD_Interest (CNY)]]*Port[[#This Row],[CNY -&gt; FCY]]</f>
        <v>42583.33</v>
      </c>
      <c r="Z9" s="507">
        <f>Port[[#This Row],[ECL_Drawn (CNY)]]*Port[[#This Row],[CNY -&gt; FCY]]</f>
        <v>2164938.7186721261</v>
      </c>
      <c r="AA9" s="507">
        <f>Port[[#This Row],[ECL_Undrawn (CNY)]]*Port[[#This Row],[CNY -&gt; FCY]]</f>
        <v>0</v>
      </c>
      <c r="AB9" s="507">
        <f>Port[[#This Row],[ECL (CNY)]]*Port[[#This Row],[CNY -&gt; FCY]]</f>
        <v>2164938.7186721261</v>
      </c>
      <c r="AC9" s="507">
        <f>Port[[#This Row],[ECL_Interest (CNY)]]*Port[[#This Row],[CNY -&gt; FCY]]</f>
        <v>1843.8059977398464</v>
      </c>
      <c r="AD9" s="507">
        <f>Port[[#This Row],[EAD_Drawn (CNY)]]*Port[[#This Row],[CNY -&gt; THB]]</f>
        <v>262440000</v>
      </c>
      <c r="AE9" s="507">
        <f>Port[[#This Row],[EAD_Undrawn (CNY)]]*Port[[#This Row],[CNY -&gt; THB]]</f>
        <v>0</v>
      </c>
      <c r="AF9" s="507">
        <f>Port[[#This Row],[EAD (CNY)]]*Port[[#This Row],[CNY -&gt; THB]]</f>
        <v>262440000</v>
      </c>
      <c r="AG9" s="507">
        <f>Port[[#This Row],[EAD_Interest (CNY)]]*Port[[#This Row],[CNY -&gt; THB]]</f>
        <v>223511.38250400001</v>
      </c>
      <c r="AH9" s="507">
        <f>Port[[#This Row],[ECL_Drawn (CNY)]]*Port[[#This Row],[CNY -&gt; THB]]</f>
        <v>11363330.346566256</v>
      </c>
      <c r="AI9" s="507">
        <f>Port[[#This Row],[ECL_Undrawn (CNY)]]*Port[[#This Row],[CNY -&gt; THB]]</f>
        <v>0</v>
      </c>
      <c r="AJ9" s="507">
        <f>Port[[#This Row],[ECL (CNY)]]*Port[[#This Row],[CNY -&gt; THB]]</f>
        <v>11363330.346566256</v>
      </c>
      <c r="AK9" s="507">
        <f>Port[[#This Row],[ECL_Interest (CNY)]]*Port[[#This Row],[CNY -&gt; THB]]</f>
        <v>9677.7689209369055</v>
      </c>
      <c r="AL9" s="507">
        <f>Port[[#This Row],[EAD (THB)]]*Port[[#This Row],[PD_avg]]</f>
        <v>12625922.607295841</v>
      </c>
      <c r="AM9" s="507">
        <f>Port[[#This Row],[EAD_Interest (THB)]]*Port[[#This Row],[PD_avg]]</f>
        <v>10753.076578818784</v>
      </c>
      <c r="AN9" s="507">
        <f>Port[[#This Row],[EAD (THB)]]*Port[[#This Row],[LGD_avg]]</f>
        <v>236196000.00000003</v>
      </c>
      <c r="AO9" s="507">
        <f>Port[[#This Row],[EAD_Interest (THB)]]*Port[[#This Row],[LGD_avg]]</f>
        <v>201160.24425360005</v>
      </c>
      <c r="AP9" s="507">
        <f>Port[[#This Row],[EAD_Drawn (THB)]]+Port[[#This Row],[EAD_Interest (THB)]]</f>
        <v>262663511.38250399</v>
      </c>
      <c r="AQ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9" s="522">
        <f>MAX(Port[[#This Row],[ECL (THB)]]+Port[[#This Row],[ECL_Interest (THB)]], Port[[#This Row],[ECL CBIRC (THB)]])</f>
        <v>11373008.115487194</v>
      </c>
    </row>
    <row r="10" spans="1:44">
      <c r="A10" s="2" t="s">
        <v>839</v>
      </c>
      <c r="B10" s="2" t="s">
        <v>22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>
        <v>1</v>
      </c>
      <c r="I10" s="2" t="s">
        <v>526</v>
      </c>
      <c r="J10" s="505">
        <v>5.2260409683794924E-3</v>
      </c>
      <c r="K10" s="505">
        <v>0.8999999999999998</v>
      </c>
      <c r="L10" s="3">
        <v>1</v>
      </c>
      <c r="M10" s="3">
        <v>5.2488000000000001</v>
      </c>
      <c r="N10" s="507">
        <v>20000000</v>
      </c>
      <c r="O10" s="507">
        <v>0</v>
      </c>
      <c r="P10" s="507">
        <v>20000000</v>
      </c>
      <c r="Q10" s="507">
        <v>180066.67</v>
      </c>
      <c r="R10" s="507">
        <v>94068.73743083085</v>
      </c>
      <c r="S10" s="507">
        <v>0</v>
      </c>
      <c r="T10" s="507">
        <v>94068.73743083085</v>
      </c>
      <c r="U10" s="507">
        <v>846.9322150137034</v>
      </c>
      <c r="V10" s="507">
        <f>Port[[#This Row],[EAD_Drawn (CNY)]]*Port[[#This Row],[CNY -&gt; FCY]]</f>
        <v>20000000</v>
      </c>
      <c r="W10" s="507">
        <f>Port[[#This Row],[EAD_Undrawn (CNY)]]*Port[[#This Row],[CNY -&gt; FCY]]</f>
        <v>0</v>
      </c>
      <c r="X10" s="507">
        <f>Port[[#This Row],[EAD (CNY)]]*Port[[#This Row],[CNY -&gt; FCY]]</f>
        <v>20000000</v>
      </c>
      <c r="Y10" s="507">
        <f>Port[[#This Row],[EAD_Interest (CNY)]]*Port[[#This Row],[CNY -&gt; FCY]]</f>
        <v>180066.67</v>
      </c>
      <c r="Z10" s="507">
        <f>Port[[#This Row],[ECL_Drawn (CNY)]]*Port[[#This Row],[CNY -&gt; FCY]]</f>
        <v>94068.73743083085</v>
      </c>
      <c r="AA10" s="507">
        <f>Port[[#This Row],[ECL_Undrawn (CNY)]]*Port[[#This Row],[CNY -&gt; FCY]]</f>
        <v>0</v>
      </c>
      <c r="AB10" s="507">
        <f>Port[[#This Row],[ECL (CNY)]]*Port[[#This Row],[CNY -&gt; FCY]]</f>
        <v>94068.73743083085</v>
      </c>
      <c r="AC10" s="507">
        <f>Port[[#This Row],[ECL_Interest (CNY)]]*Port[[#This Row],[CNY -&gt; FCY]]</f>
        <v>846.9322150137034</v>
      </c>
      <c r="AD10" s="507">
        <f>Port[[#This Row],[EAD_Drawn (CNY)]]*Port[[#This Row],[CNY -&gt; THB]]</f>
        <v>104976000</v>
      </c>
      <c r="AE10" s="507">
        <f>Port[[#This Row],[EAD_Undrawn (CNY)]]*Port[[#This Row],[CNY -&gt; THB]]</f>
        <v>0</v>
      </c>
      <c r="AF10" s="507">
        <f>Port[[#This Row],[EAD (CNY)]]*Port[[#This Row],[CNY -&gt; THB]]</f>
        <v>104976000</v>
      </c>
      <c r="AG10" s="507">
        <f>Port[[#This Row],[EAD_Interest (CNY)]]*Port[[#This Row],[CNY -&gt; THB]]</f>
        <v>945133.93749600009</v>
      </c>
      <c r="AH10" s="507">
        <f>Port[[#This Row],[ECL_Drawn (CNY)]]*Port[[#This Row],[CNY -&gt; THB]]</f>
        <v>493747.98902694497</v>
      </c>
      <c r="AI10" s="507">
        <f>Port[[#This Row],[ECL_Undrawn (CNY)]]*Port[[#This Row],[CNY -&gt; THB]]</f>
        <v>0</v>
      </c>
      <c r="AJ10" s="507">
        <f>Port[[#This Row],[ECL (CNY)]]*Port[[#This Row],[CNY -&gt; THB]]</f>
        <v>493747.98902694497</v>
      </c>
      <c r="AK10" s="507">
        <f>Port[[#This Row],[ECL_Interest (CNY)]]*Port[[#This Row],[CNY -&gt; THB]]</f>
        <v>4445.3778101639264</v>
      </c>
      <c r="AL10" s="507">
        <f>Port[[#This Row],[EAD (THB)]]*Port[[#This Row],[PD_avg]]</f>
        <v>548608.87669660558</v>
      </c>
      <c r="AM10" s="507">
        <f>Port[[#This Row],[EAD_Interest (THB)]]*Port[[#This Row],[PD_avg]]</f>
        <v>4939.3086779599189</v>
      </c>
      <c r="AN10" s="507">
        <f>Port[[#This Row],[EAD (THB)]]*Port[[#This Row],[LGD_avg]]</f>
        <v>94478399.999999985</v>
      </c>
      <c r="AO10" s="507">
        <f>Port[[#This Row],[EAD_Interest (THB)]]*Port[[#This Row],[LGD_avg]]</f>
        <v>850620.54374639993</v>
      </c>
      <c r="AP10" s="507">
        <f>Port[[#This Row],[EAD_Drawn (THB)]]+Port[[#This Row],[EAD_Interest (THB)]]</f>
        <v>105921133.93749601</v>
      </c>
      <c r="AQ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1574640</v>
      </c>
      <c r="AR10" s="522">
        <f>MAX(Port[[#This Row],[ECL (THB)]]+Port[[#This Row],[ECL_Interest (THB)]], Port[[#This Row],[ECL CBIRC (THB)]])</f>
        <v>1574640</v>
      </c>
    </row>
    <row r="11" spans="1:44">
      <c r="A11" s="2" t="s">
        <v>840</v>
      </c>
      <c r="B11" s="2" t="s">
        <v>22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>
        <v>1</v>
      </c>
      <c r="I11" s="2" t="s">
        <v>526</v>
      </c>
      <c r="J11" s="505">
        <v>5.2260409683794924E-3</v>
      </c>
      <c r="K11" s="505">
        <v>0.9</v>
      </c>
      <c r="L11" s="3">
        <v>1</v>
      </c>
      <c r="M11" s="3">
        <v>5.2488000000000001</v>
      </c>
      <c r="N11" s="507">
        <v>26000000</v>
      </c>
      <c r="O11" s="507">
        <v>0</v>
      </c>
      <c r="P11" s="507">
        <v>26000000</v>
      </c>
      <c r="Q11" s="507">
        <v>199290</v>
      </c>
      <c r="R11" s="507">
        <v>122289.35866008012</v>
      </c>
      <c r="S11" s="507">
        <v>0</v>
      </c>
      <c r="T11" s="507">
        <v>122289.35866008012</v>
      </c>
      <c r="U11" s="507">
        <v>937.3479341295141</v>
      </c>
      <c r="V11" s="507">
        <f>Port[[#This Row],[EAD_Drawn (CNY)]]*Port[[#This Row],[CNY -&gt; FCY]]</f>
        <v>26000000</v>
      </c>
      <c r="W11" s="507">
        <f>Port[[#This Row],[EAD_Undrawn (CNY)]]*Port[[#This Row],[CNY -&gt; FCY]]</f>
        <v>0</v>
      </c>
      <c r="X11" s="507">
        <f>Port[[#This Row],[EAD (CNY)]]*Port[[#This Row],[CNY -&gt; FCY]]</f>
        <v>26000000</v>
      </c>
      <c r="Y11" s="507">
        <f>Port[[#This Row],[EAD_Interest (CNY)]]*Port[[#This Row],[CNY -&gt; FCY]]</f>
        <v>199290</v>
      </c>
      <c r="Z11" s="507">
        <f>Port[[#This Row],[ECL_Drawn (CNY)]]*Port[[#This Row],[CNY -&gt; FCY]]</f>
        <v>122289.35866008012</v>
      </c>
      <c r="AA11" s="507">
        <f>Port[[#This Row],[ECL_Undrawn (CNY)]]*Port[[#This Row],[CNY -&gt; FCY]]</f>
        <v>0</v>
      </c>
      <c r="AB11" s="507">
        <f>Port[[#This Row],[ECL (CNY)]]*Port[[#This Row],[CNY -&gt; FCY]]</f>
        <v>122289.35866008012</v>
      </c>
      <c r="AC11" s="507">
        <f>Port[[#This Row],[ECL_Interest (CNY)]]*Port[[#This Row],[CNY -&gt; FCY]]</f>
        <v>937.3479341295141</v>
      </c>
      <c r="AD11" s="507">
        <f>Port[[#This Row],[EAD_Drawn (CNY)]]*Port[[#This Row],[CNY -&gt; THB]]</f>
        <v>136468800</v>
      </c>
      <c r="AE11" s="507">
        <f>Port[[#This Row],[EAD_Undrawn (CNY)]]*Port[[#This Row],[CNY -&gt; THB]]</f>
        <v>0</v>
      </c>
      <c r="AF11" s="507">
        <f>Port[[#This Row],[EAD (CNY)]]*Port[[#This Row],[CNY -&gt; THB]]</f>
        <v>136468800</v>
      </c>
      <c r="AG11" s="507">
        <f>Port[[#This Row],[EAD_Interest (CNY)]]*Port[[#This Row],[CNY -&gt; THB]]</f>
        <v>1046033.3520000001</v>
      </c>
      <c r="AH11" s="507">
        <f>Port[[#This Row],[ECL_Drawn (CNY)]]*Port[[#This Row],[CNY -&gt; THB]]</f>
        <v>641872.38573502854</v>
      </c>
      <c r="AI11" s="507">
        <f>Port[[#This Row],[ECL_Undrawn (CNY)]]*Port[[#This Row],[CNY -&gt; THB]]</f>
        <v>0</v>
      </c>
      <c r="AJ11" s="507">
        <f>Port[[#This Row],[ECL (CNY)]]*Port[[#This Row],[CNY -&gt; THB]]</f>
        <v>641872.38573502854</v>
      </c>
      <c r="AK11" s="507">
        <f>Port[[#This Row],[ECL_Interest (CNY)]]*Port[[#This Row],[CNY -&gt; THB]]</f>
        <v>4919.9518366589937</v>
      </c>
      <c r="AL11" s="507">
        <f>Port[[#This Row],[EAD (THB)]]*Port[[#This Row],[PD_avg]]</f>
        <v>713191.53970558732</v>
      </c>
      <c r="AM11" s="507">
        <f>Port[[#This Row],[EAD_Interest (THB)]]*Port[[#This Row],[PD_avg]]</f>
        <v>5466.6131518433267</v>
      </c>
      <c r="AN11" s="507">
        <f>Port[[#This Row],[EAD (THB)]]*Port[[#This Row],[LGD_avg]]</f>
        <v>122821920</v>
      </c>
      <c r="AO11" s="507">
        <f>Port[[#This Row],[EAD_Interest (THB)]]*Port[[#This Row],[LGD_avg]]</f>
        <v>941430.0168000001</v>
      </c>
      <c r="AP11" s="507">
        <f>Port[[#This Row],[EAD_Drawn (THB)]]+Port[[#This Row],[EAD_Interest (THB)]]</f>
        <v>137514833.352</v>
      </c>
      <c r="AQ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2047032</v>
      </c>
      <c r="AR11" s="522">
        <f>MAX(Port[[#This Row],[ECL (THB)]]+Port[[#This Row],[ECL_Interest (THB)]], Port[[#This Row],[ECL CBIRC (THB)]])</f>
        <v>2047032</v>
      </c>
    </row>
    <row r="12" spans="1:44">
      <c r="A12" s="2" t="s">
        <v>841</v>
      </c>
      <c r="B12" s="2" t="s">
        <v>22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>
        <v>1</v>
      </c>
      <c r="I12" s="2" t="s">
        <v>526</v>
      </c>
      <c r="J12" s="505">
        <v>5.2260409683794924E-3</v>
      </c>
      <c r="K12" s="505">
        <v>0.9</v>
      </c>
      <c r="L12" s="3">
        <v>1</v>
      </c>
      <c r="M12" s="3">
        <v>5.2488000000000001</v>
      </c>
      <c r="N12" s="507">
        <v>19000000</v>
      </c>
      <c r="O12" s="507">
        <v>0</v>
      </c>
      <c r="P12" s="507">
        <v>19000000</v>
      </c>
      <c r="Q12" s="507">
        <v>138700</v>
      </c>
      <c r="R12" s="507">
        <v>89365.300559289317</v>
      </c>
      <c r="S12" s="507">
        <v>0</v>
      </c>
      <c r="T12" s="507">
        <v>89365.300559289317</v>
      </c>
      <c r="U12" s="507">
        <v>652.36669408281205</v>
      </c>
      <c r="V12" s="507">
        <f>Port[[#This Row],[EAD_Drawn (CNY)]]*Port[[#This Row],[CNY -&gt; FCY]]</f>
        <v>19000000</v>
      </c>
      <c r="W12" s="507">
        <f>Port[[#This Row],[EAD_Undrawn (CNY)]]*Port[[#This Row],[CNY -&gt; FCY]]</f>
        <v>0</v>
      </c>
      <c r="X12" s="507">
        <f>Port[[#This Row],[EAD (CNY)]]*Port[[#This Row],[CNY -&gt; FCY]]</f>
        <v>19000000</v>
      </c>
      <c r="Y12" s="507">
        <f>Port[[#This Row],[EAD_Interest (CNY)]]*Port[[#This Row],[CNY -&gt; FCY]]</f>
        <v>138700</v>
      </c>
      <c r="Z12" s="507">
        <f>Port[[#This Row],[ECL_Drawn (CNY)]]*Port[[#This Row],[CNY -&gt; FCY]]</f>
        <v>89365.300559289317</v>
      </c>
      <c r="AA12" s="507">
        <f>Port[[#This Row],[ECL_Undrawn (CNY)]]*Port[[#This Row],[CNY -&gt; FCY]]</f>
        <v>0</v>
      </c>
      <c r="AB12" s="507">
        <f>Port[[#This Row],[ECL (CNY)]]*Port[[#This Row],[CNY -&gt; FCY]]</f>
        <v>89365.300559289317</v>
      </c>
      <c r="AC12" s="507">
        <f>Port[[#This Row],[ECL_Interest (CNY)]]*Port[[#This Row],[CNY -&gt; FCY]]</f>
        <v>652.36669408281205</v>
      </c>
      <c r="AD12" s="507">
        <f>Port[[#This Row],[EAD_Drawn (CNY)]]*Port[[#This Row],[CNY -&gt; THB]]</f>
        <v>99727200</v>
      </c>
      <c r="AE12" s="507">
        <f>Port[[#This Row],[EAD_Undrawn (CNY)]]*Port[[#This Row],[CNY -&gt; THB]]</f>
        <v>0</v>
      </c>
      <c r="AF12" s="507">
        <f>Port[[#This Row],[EAD (CNY)]]*Port[[#This Row],[CNY -&gt; THB]]</f>
        <v>99727200</v>
      </c>
      <c r="AG12" s="507">
        <f>Port[[#This Row],[EAD_Interest (CNY)]]*Port[[#This Row],[CNY -&gt; THB]]</f>
        <v>728008.56</v>
      </c>
      <c r="AH12" s="507">
        <f>Port[[#This Row],[ECL_Drawn (CNY)]]*Port[[#This Row],[CNY -&gt; THB]]</f>
        <v>469060.58957559778</v>
      </c>
      <c r="AI12" s="507">
        <f>Port[[#This Row],[ECL_Undrawn (CNY)]]*Port[[#This Row],[CNY -&gt; THB]]</f>
        <v>0</v>
      </c>
      <c r="AJ12" s="507">
        <f>Port[[#This Row],[ECL (CNY)]]*Port[[#This Row],[CNY -&gt; THB]]</f>
        <v>469060.58957559778</v>
      </c>
      <c r="AK12" s="507">
        <f>Port[[#This Row],[ECL_Interest (CNY)]]*Port[[#This Row],[CNY -&gt; THB]]</f>
        <v>3424.1423039018641</v>
      </c>
      <c r="AL12" s="507">
        <f>Port[[#This Row],[EAD (THB)]]*Port[[#This Row],[PD_avg]]</f>
        <v>521178.43286177533</v>
      </c>
      <c r="AM12" s="507">
        <f>Port[[#This Row],[EAD_Interest (THB)]]*Port[[#This Row],[PD_avg]]</f>
        <v>3804.60255989096</v>
      </c>
      <c r="AN12" s="507">
        <f>Port[[#This Row],[EAD (THB)]]*Port[[#This Row],[LGD_avg]]</f>
        <v>89754480</v>
      </c>
      <c r="AO12" s="507">
        <f>Port[[#This Row],[EAD_Interest (THB)]]*Port[[#This Row],[LGD_avg]]</f>
        <v>655207.70400000003</v>
      </c>
      <c r="AP12" s="507">
        <f>Port[[#This Row],[EAD_Drawn (THB)]]+Port[[#This Row],[EAD_Interest (THB)]]</f>
        <v>100455208.56</v>
      </c>
      <c r="AQ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1495908</v>
      </c>
      <c r="AR12" s="522">
        <f>MAX(Port[[#This Row],[ECL (THB)]]+Port[[#This Row],[ECL_Interest (THB)]], Port[[#This Row],[ECL CBIRC (THB)]])</f>
        <v>1495908</v>
      </c>
    </row>
    <row r="13" spans="1:44">
      <c r="A13" s="2" t="s">
        <v>842</v>
      </c>
      <c r="B13" s="2" t="s">
        <v>27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>
        <v>1</v>
      </c>
      <c r="I13" s="2" t="s">
        <v>526</v>
      </c>
      <c r="J13" s="505">
        <v>2.0514833509807026E-2</v>
      </c>
      <c r="K13" s="505">
        <v>0.66595150517717128</v>
      </c>
      <c r="L13" s="3">
        <v>1</v>
      </c>
      <c r="M13" s="3">
        <v>5.2488000000000001</v>
      </c>
      <c r="N13" s="507">
        <v>50000000</v>
      </c>
      <c r="O13" s="507">
        <v>0</v>
      </c>
      <c r="P13" s="507">
        <v>50000000</v>
      </c>
      <c r="Q13" s="507">
        <v>375000</v>
      </c>
      <c r="R13" s="507">
        <v>683094.21271575312</v>
      </c>
      <c r="S13" s="507">
        <v>0</v>
      </c>
      <c r="T13" s="507">
        <v>683094.21271575312</v>
      </c>
      <c r="U13" s="507">
        <v>5123.2065953681486</v>
      </c>
      <c r="V13" s="507">
        <f>Port[[#This Row],[EAD_Drawn (CNY)]]*Port[[#This Row],[CNY -&gt; FCY]]</f>
        <v>50000000</v>
      </c>
      <c r="W13" s="507">
        <f>Port[[#This Row],[EAD_Undrawn (CNY)]]*Port[[#This Row],[CNY -&gt; FCY]]</f>
        <v>0</v>
      </c>
      <c r="X13" s="507">
        <f>Port[[#This Row],[EAD (CNY)]]*Port[[#This Row],[CNY -&gt; FCY]]</f>
        <v>50000000</v>
      </c>
      <c r="Y13" s="507">
        <f>Port[[#This Row],[EAD_Interest (CNY)]]*Port[[#This Row],[CNY -&gt; FCY]]</f>
        <v>375000</v>
      </c>
      <c r="Z13" s="507">
        <f>Port[[#This Row],[ECL_Drawn (CNY)]]*Port[[#This Row],[CNY -&gt; FCY]]</f>
        <v>683094.21271575312</v>
      </c>
      <c r="AA13" s="507">
        <f>Port[[#This Row],[ECL_Undrawn (CNY)]]*Port[[#This Row],[CNY -&gt; FCY]]</f>
        <v>0</v>
      </c>
      <c r="AB13" s="507">
        <f>Port[[#This Row],[ECL (CNY)]]*Port[[#This Row],[CNY -&gt; FCY]]</f>
        <v>683094.21271575312</v>
      </c>
      <c r="AC13" s="507">
        <f>Port[[#This Row],[ECL_Interest (CNY)]]*Port[[#This Row],[CNY -&gt; FCY]]</f>
        <v>5123.2065953681486</v>
      </c>
      <c r="AD13" s="507">
        <f>Port[[#This Row],[EAD_Drawn (CNY)]]*Port[[#This Row],[CNY -&gt; THB]]</f>
        <v>262440000</v>
      </c>
      <c r="AE13" s="507">
        <f>Port[[#This Row],[EAD_Undrawn (CNY)]]*Port[[#This Row],[CNY -&gt; THB]]</f>
        <v>0</v>
      </c>
      <c r="AF13" s="507">
        <f>Port[[#This Row],[EAD (CNY)]]*Port[[#This Row],[CNY -&gt; THB]]</f>
        <v>262440000</v>
      </c>
      <c r="AG13" s="507">
        <f>Port[[#This Row],[EAD_Interest (CNY)]]*Port[[#This Row],[CNY -&gt; THB]]</f>
        <v>1968300</v>
      </c>
      <c r="AH13" s="507">
        <f>Port[[#This Row],[ECL_Drawn (CNY)]]*Port[[#This Row],[CNY -&gt; THB]]</f>
        <v>3585424.9037024449</v>
      </c>
      <c r="AI13" s="507">
        <f>Port[[#This Row],[ECL_Undrawn (CNY)]]*Port[[#This Row],[CNY -&gt; THB]]</f>
        <v>0</v>
      </c>
      <c r="AJ13" s="507">
        <f>Port[[#This Row],[ECL (CNY)]]*Port[[#This Row],[CNY -&gt; THB]]</f>
        <v>3585424.9037024449</v>
      </c>
      <c r="AK13" s="507">
        <f>Port[[#This Row],[ECL_Interest (CNY)]]*Port[[#This Row],[CNY -&gt; THB]]</f>
        <v>26890.68677776834</v>
      </c>
      <c r="AL13" s="507">
        <f>Port[[#This Row],[EAD (THB)]]*Port[[#This Row],[PD_avg]]</f>
        <v>5383912.9063137555</v>
      </c>
      <c r="AM13" s="507">
        <f>Port[[#This Row],[EAD_Interest (THB)]]*Port[[#This Row],[PD_avg]]</f>
        <v>40379.346797353166</v>
      </c>
      <c r="AN13" s="507">
        <f>Port[[#This Row],[EAD (THB)]]*Port[[#This Row],[LGD_avg]]</f>
        <v>174772313.01869684</v>
      </c>
      <c r="AO13" s="507">
        <f>Port[[#This Row],[EAD_Interest (THB)]]*Port[[#This Row],[LGD_avg]]</f>
        <v>1310792.3476402261</v>
      </c>
      <c r="AP13" s="507">
        <f>Port[[#This Row],[EAD_Drawn (THB)]]+Port[[#This Row],[EAD_Interest (THB)]]</f>
        <v>264408300</v>
      </c>
      <c r="AQ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13" s="522">
        <f>MAX(Port[[#This Row],[ECL (THB)]]+Port[[#This Row],[ECL_Interest (THB)]], Port[[#This Row],[ECL CBIRC (THB)]])</f>
        <v>3936600</v>
      </c>
    </row>
    <row r="14" spans="1:44">
      <c r="A14" s="2" t="s">
        <v>843</v>
      </c>
      <c r="B14" s="2" t="s">
        <v>838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>
        <v>1</v>
      </c>
      <c r="I14" s="2" t="s">
        <v>526</v>
      </c>
      <c r="J14" s="505">
        <v>4.8109749303825028E-2</v>
      </c>
      <c r="K14" s="505">
        <v>0.90000000000000013</v>
      </c>
      <c r="L14" s="3">
        <v>1</v>
      </c>
      <c r="M14" s="3">
        <v>5.2488000000000001</v>
      </c>
      <c r="N14" s="507">
        <v>150000000</v>
      </c>
      <c r="O14" s="507">
        <v>0</v>
      </c>
      <c r="P14" s="507">
        <v>150000000</v>
      </c>
      <c r="Q14" s="507">
        <v>127750</v>
      </c>
      <c r="R14" s="507">
        <v>6494816.1560163796</v>
      </c>
      <c r="S14" s="507">
        <v>0</v>
      </c>
      <c r="T14" s="507">
        <v>6494816.1560163796</v>
      </c>
      <c r="U14" s="507">
        <v>5531.4184262072822</v>
      </c>
      <c r="V14" s="507">
        <f>Port[[#This Row],[EAD_Drawn (CNY)]]*Port[[#This Row],[CNY -&gt; FCY]]</f>
        <v>150000000</v>
      </c>
      <c r="W14" s="507">
        <f>Port[[#This Row],[EAD_Undrawn (CNY)]]*Port[[#This Row],[CNY -&gt; FCY]]</f>
        <v>0</v>
      </c>
      <c r="X14" s="507">
        <f>Port[[#This Row],[EAD (CNY)]]*Port[[#This Row],[CNY -&gt; FCY]]</f>
        <v>150000000</v>
      </c>
      <c r="Y14" s="507">
        <f>Port[[#This Row],[EAD_Interest (CNY)]]*Port[[#This Row],[CNY -&gt; FCY]]</f>
        <v>127750</v>
      </c>
      <c r="Z14" s="507">
        <f>Port[[#This Row],[ECL_Drawn (CNY)]]*Port[[#This Row],[CNY -&gt; FCY]]</f>
        <v>6494816.1560163796</v>
      </c>
      <c r="AA14" s="507">
        <f>Port[[#This Row],[ECL_Undrawn (CNY)]]*Port[[#This Row],[CNY -&gt; FCY]]</f>
        <v>0</v>
      </c>
      <c r="AB14" s="507">
        <f>Port[[#This Row],[ECL (CNY)]]*Port[[#This Row],[CNY -&gt; FCY]]</f>
        <v>6494816.1560163796</v>
      </c>
      <c r="AC14" s="507">
        <f>Port[[#This Row],[ECL_Interest (CNY)]]*Port[[#This Row],[CNY -&gt; FCY]]</f>
        <v>5531.4184262072822</v>
      </c>
      <c r="AD14" s="507">
        <f>Port[[#This Row],[EAD_Drawn (CNY)]]*Port[[#This Row],[CNY -&gt; THB]]</f>
        <v>787320000</v>
      </c>
      <c r="AE14" s="507">
        <f>Port[[#This Row],[EAD_Undrawn (CNY)]]*Port[[#This Row],[CNY -&gt; THB]]</f>
        <v>0</v>
      </c>
      <c r="AF14" s="507">
        <f>Port[[#This Row],[EAD (CNY)]]*Port[[#This Row],[CNY -&gt; THB]]</f>
        <v>787320000</v>
      </c>
      <c r="AG14" s="507">
        <f>Port[[#This Row],[EAD_Interest (CNY)]]*Port[[#This Row],[CNY -&gt; THB]]</f>
        <v>670534.20000000007</v>
      </c>
      <c r="AH14" s="507">
        <f>Port[[#This Row],[ECL_Drawn (CNY)]]*Port[[#This Row],[CNY -&gt; THB]]</f>
        <v>34089991.039698772</v>
      </c>
      <c r="AI14" s="507">
        <f>Port[[#This Row],[ECL_Undrawn (CNY)]]*Port[[#This Row],[CNY -&gt; THB]]</f>
        <v>0</v>
      </c>
      <c r="AJ14" s="507">
        <f>Port[[#This Row],[ECL (CNY)]]*Port[[#This Row],[CNY -&gt; THB]]</f>
        <v>34089991.039698772</v>
      </c>
      <c r="AK14" s="507">
        <f>Port[[#This Row],[ECL_Interest (CNY)]]*Port[[#This Row],[CNY -&gt; THB]]</f>
        <v>29033.309035476785</v>
      </c>
      <c r="AL14" s="507">
        <f>Port[[#This Row],[EAD (THB)]]*Port[[#This Row],[PD_avg]]</f>
        <v>37877767.821887523</v>
      </c>
      <c r="AM14" s="507">
        <f>Port[[#This Row],[EAD_Interest (THB)]]*Port[[#This Row],[PD_avg]]</f>
        <v>32259.232261640875</v>
      </c>
      <c r="AN14" s="507">
        <f>Port[[#This Row],[EAD (THB)]]*Port[[#This Row],[LGD_avg]]</f>
        <v>708588000.00000012</v>
      </c>
      <c r="AO14" s="507">
        <f>Port[[#This Row],[EAD_Interest (THB)]]*Port[[#This Row],[LGD_avg]]</f>
        <v>603480.78000000014</v>
      </c>
      <c r="AP14" s="507">
        <f>Port[[#This Row],[EAD_Drawn (THB)]]+Port[[#This Row],[EAD_Interest (THB)]]</f>
        <v>787990534.20000005</v>
      </c>
      <c r="AQ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11809800</v>
      </c>
      <c r="AR14" s="522">
        <f>MAX(Port[[#This Row],[ECL (THB)]]+Port[[#This Row],[ECL_Interest (THB)]], Port[[#This Row],[ECL CBIRC (THB)]])</f>
        <v>34119024.348734252</v>
      </c>
    </row>
    <row r="15" spans="1:44">
      <c r="A15" s="2" t="s">
        <v>844</v>
      </c>
      <c r="B15" s="2" t="s">
        <v>22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>
        <v>1</v>
      </c>
      <c r="I15" s="2" t="s">
        <v>526</v>
      </c>
      <c r="J15" s="505">
        <v>5.2260409683794924E-3</v>
      </c>
      <c r="K15" s="505">
        <v>0.89999999999999991</v>
      </c>
      <c r="L15" s="3">
        <v>1</v>
      </c>
      <c r="M15" s="3">
        <v>5.2488000000000001</v>
      </c>
      <c r="N15" s="507">
        <v>46000000</v>
      </c>
      <c r="O15" s="507">
        <v>0</v>
      </c>
      <c r="P15" s="507">
        <v>46000000</v>
      </c>
      <c r="Q15" s="507">
        <v>296623.33</v>
      </c>
      <c r="R15" s="507">
        <v>216358.09609091096</v>
      </c>
      <c r="S15" s="507">
        <v>0</v>
      </c>
      <c r="T15" s="507">
        <v>216358.09609091096</v>
      </c>
      <c r="U15" s="507">
        <v>1395.1491072814347</v>
      </c>
      <c r="V15" s="507">
        <f>Port[[#This Row],[EAD_Drawn (CNY)]]*Port[[#This Row],[CNY -&gt; FCY]]</f>
        <v>46000000</v>
      </c>
      <c r="W15" s="507">
        <f>Port[[#This Row],[EAD_Undrawn (CNY)]]*Port[[#This Row],[CNY -&gt; FCY]]</f>
        <v>0</v>
      </c>
      <c r="X15" s="507">
        <f>Port[[#This Row],[EAD (CNY)]]*Port[[#This Row],[CNY -&gt; FCY]]</f>
        <v>46000000</v>
      </c>
      <c r="Y15" s="507">
        <f>Port[[#This Row],[EAD_Interest (CNY)]]*Port[[#This Row],[CNY -&gt; FCY]]</f>
        <v>296623.33</v>
      </c>
      <c r="Z15" s="507">
        <f>Port[[#This Row],[ECL_Drawn (CNY)]]*Port[[#This Row],[CNY -&gt; FCY]]</f>
        <v>216358.09609091096</v>
      </c>
      <c r="AA15" s="507">
        <f>Port[[#This Row],[ECL_Undrawn (CNY)]]*Port[[#This Row],[CNY -&gt; FCY]]</f>
        <v>0</v>
      </c>
      <c r="AB15" s="507">
        <f>Port[[#This Row],[ECL (CNY)]]*Port[[#This Row],[CNY -&gt; FCY]]</f>
        <v>216358.09609091096</v>
      </c>
      <c r="AC15" s="507">
        <f>Port[[#This Row],[ECL_Interest (CNY)]]*Port[[#This Row],[CNY -&gt; FCY]]</f>
        <v>1395.1491072814347</v>
      </c>
      <c r="AD15" s="507">
        <f>Port[[#This Row],[EAD_Drawn (CNY)]]*Port[[#This Row],[CNY -&gt; THB]]</f>
        <v>241444800</v>
      </c>
      <c r="AE15" s="507">
        <f>Port[[#This Row],[EAD_Undrawn (CNY)]]*Port[[#This Row],[CNY -&gt; THB]]</f>
        <v>0</v>
      </c>
      <c r="AF15" s="507">
        <f>Port[[#This Row],[EAD (CNY)]]*Port[[#This Row],[CNY -&gt; THB]]</f>
        <v>241444800</v>
      </c>
      <c r="AG15" s="507">
        <f>Port[[#This Row],[EAD_Interest (CNY)]]*Port[[#This Row],[CNY -&gt; THB]]</f>
        <v>1556916.5345040001</v>
      </c>
      <c r="AH15" s="507">
        <f>Port[[#This Row],[ECL_Drawn (CNY)]]*Port[[#This Row],[CNY -&gt; THB]]</f>
        <v>1135620.3747619735</v>
      </c>
      <c r="AI15" s="507">
        <f>Port[[#This Row],[ECL_Undrawn (CNY)]]*Port[[#This Row],[CNY -&gt; THB]]</f>
        <v>0</v>
      </c>
      <c r="AJ15" s="507">
        <f>Port[[#This Row],[ECL (CNY)]]*Port[[#This Row],[CNY -&gt; THB]]</f>
        <v>1135620.3747619735</v>
      </c>
      <c r="AK15" s="507">
        <f>Port[[#This Row],[ECL_Interest (CNY)]]*Port[[#This Row],[CNY -&gt; THB]]</f>
        <v>7322.8586342987946</v>
      </c>
      <c r="AL15" s="507">
        <f>Port[[#This Row],[EAD (THB)]]*Port[[#This Row],[PD_avg]]</f>
        <v>1261800.4164021928</v>
      </c>
      <c r="AM15" s="507">
        <f>Port[[#This Row],[EAD_Interest (THB)]]*Port[[#This Row],[PD_avg]]</f>
        <v>8136.5095936653279</v>
      </c>
      <c r="AN15" s="507">
        <f>Port[[#This Row],[EAD (THB)]]*Port[[#This Row],[LGD_avg]]</f>
        <v>217300319.99999997</v>
      </c>
      <c r="AO15" s="507">
        <f>Port[[#This Row],[EAD_Interest (THB)]]*Port[[#This Row],[LGD_avg]]</f>
        <v>1401224.8810536</v>
      </c>
      <c r="AP15" s="507">
        <f>Port[[#This Row],[EAD_Drawn (THB)]]+Port[[#This Row],[EAD_Interest (THB)]]</f>
        <v>243001716.534504</v>
      </c>
      <c r="AQ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3621672</v>
      </c>
      <c r="AR15" s="522">
        <f>MAX(Port[[#This Row],[ECL (THB)]]+Port[[#This Row],[ECL_Interest (THB)]], Port[[#This Row],[ECL CBIRC (THB)]])</f>
        <v>3621672</v>
      </c>
    </row>
    <row r="16" spans="1:44">
      <c r="A16" s="2" t="s">
        <v>845</v>
      </c>
      <c r="B16" s="2" t="s">
        <v>22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>
        <v>1</v>
      </c>
      <c r="I16" s="2" t="s">
        <v>526</v>
      </c>
      <c r="J16" s="505">
        <v>5.2260409683794924E-3</v>
      </c>
      <c r="K16" s="505">
        <v>0.89999999999999991</v>
      </c>
      <c r="L16" s="3">
        <v>1</v>
      </c>
      <c r="M16" s="3">
        <v>5.2488000000000001</v>
      </c>
      <c r="N16" s="507">
        <v>60000000</v>
      </c>
      <c r="O16" s="507">
        <v>0</v>
      </c>
      <c r="P16" s="507">
        <v>60000000</v>
      </c>
      <c r="Q16" s="507">
        <v>343100</v>
      </c>
      <c r="R16" s="507">
        <v>282206.21229249256</v>
      </c>
      <c r="S16" s="507">
        <v>0</v>
      </c>
      <c r="T16" s="507">
        <v>282206.21229249256</v>
      </c>
      <c r="U16" s="507">
        <v>1613.7491906259031</v>
      </c>
      <c r="V16" s="507">
        <f>Port[[#This Row],[EAD_Drawn (CNY)]]*Port[[#This Row],[CNY -&gt; FCY]]</f>
        <v>60000000</v>
      </c>
      <c r="W16" s="507">
        <f>Port[[#This Row],[EAD_Undrawn (CNY)]]*Port[[#This Row],[CNY -&gt; FCY]]</f>
        <v>0</v>
      </c>
      <c r="X16" s="507">
        <f>Port[[#This Row],[EAD (CNY)]]*Port[[#This Row],[CNY -&gt; FCY]]</f>
        <v>60000000</v>
      </c>
      <c r="Y16" s="507">
        <f>Port[[#This Row],[EAD_Interest (CNY)]]*Port[[#This Row],[CNY -&gt; FCY]]</f>
        <v>343100</v>
      </c>
      <c r="Z16" s="507">
        <f>Port[[#This Row],[ECL_Drawn (CNY)]]*Port[[#This Row],[CNY -&gt; FCY]]</f>
        <v>282206.21229249256</v>
      </c>
      <c r="AA16" s="507">
        <f>Port[[#This Row],[ECL_Undrawn (CNY)]]*Port[[#This Row],[CNY -&gt; FCY]]</f>
        <v>0</v>
      </c>
      <c r="AB16" s="507">
        <f>Port[[#This Row],[ECL (CNY)]]*Port[[#This Row],[CNY -&gt; FCY]]</f>
        <v>282206.21229249256</v>
      </c>
      <c r="AC16" s="507">
        <f>Port[[#This Row],[ECL_Interest (CNY)]]*Port[[#This Row],[CNY -&gt; FCY]]</f>
        <v>1613.7491906259031</v>
      </c>
      <c r="AD16" s="507">
        <f>Port[[#This Row],[EAD_Drawn (CNY)]]*Port[[#This Row],[CNY -&gt; THB]]</f>
        <v>314928000</v>
      </c>
      <c r="AE16" s="507">
        <f>Port[[#This Row],[EAD_Undrawn (CNY)]]*Port[[#This Row],[CNY -&gt; THB]]</f>
        <v>0</v>
      </c>
      <c r="AF16" s="507">
        <f>Port[[#This Row],[EAD (CNY)]]*Port[[#This Row],[CNY -&gt; THB]]</f>
        <v>314928000</v>
      </c>
      <c r="AG16" s="507">
        <f>Port[[#This Row],[EAD_Interest (CNY)]]*Port[[#This Row],[CNY -&gt; THB]]</f>
        <v>1800863.28</v>
      </c>
      <c r="AH16" s="507">
        <f>Port[[#This Row],[ECL_Drawn (CNY)]]*Port[[#This Row],[CNY -&gt; THB]]</f>
        <v>1481243.967080835</v>
      </c>
      <c r="AI16" s="507">
        <f>Port[[#This Row],[ECL_Undrawn (CNY)]]*Port[[#This Row],[CNY -&gt; THB]]</f>
        <v>0</v>
      </c>
      <c r="AJ16" s="507">
        <f>Port[[#This Row],[ECL (CNY)]]*Port[[#This Row],[CNY -&gt; THB]]</f>
        <v>1481243.967080835</v>
      </c>
      <c r="AK16" s="507">
        <f>Port[[#This Row],[ECL_Interest (CNY)]]*Port[[#This Row],[CNY -&gt; THB]]</f>
        <v>8470.2467517572404</v>
      </c>
      <c r="AL16" s="507">
        <f>Port[[#This Row],[EAD (THB)]]*Port[[#This Row],[PD_avg]]</f>
        <v>1645826.6300898169</v>
      </c>
      <c r="AM16" s="507">
        <f>Port[[#This Row],[EAD_Interest (THB)]]*Port[[#This Row],[PD_avg]]</f>
        <v>9411.3852797302698</v>
      </c>
      <c r="AN16" s="507">
        <f>Port[[#This Row],[EAD (THB)]]*Port[[#This Row],[LGD_avg]]</f>
        <v>283435200</v>
      </c>
      <c r="AO16" s="507">
        <f>Port[[#This Row],[EAD_Interest (THB)]]*Port[[#This Row],[LGD_avg]]</f>
        <v>1620776.9519999998</v>
      </c>
      <c r="AP16" s="507">
        <f>Port[[#This Row],[EAD_Drawn (THB)]]+Port[[#This Row],[EAD_Interest (THB)]]</f>
        <v>316728863.27999997</v>
      </c>
      <c r="AQ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4723920</v>
      </c>
      <c r="AR16" s="522">
        <f>MAX(Port[[#This Row],[ECL (THB)]]+Port[[#This Row],[ECL_Interest (THB)]], Port[[#This Row],[ECL CBIRC (THB)]])</f>
        <v>4723920</v>
      </c>
    </row>
    <row r="17" spans="1:44">
      <c r="A17" s="2" t="s">
        <v>846</v>
      </c>
      <c r="B17" s="2" t="s">
        <v>22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>
        <v>1</v>
      </c>
      <c r="I17" s="2" t="s">
        <v>526</v>
      </c>
      <c r="J17" s="505">
        <v>5.2260409683794924E-3</v>
      </c>
      <c r="K17" s="505">
        <v>0.8999999999999998</v>
      </c>
      <c r="L17" s="3">
        <v>1</v>
      </c>
      <c r="M17" s="3">
        <v>5.2488000000000001</v>
      </c>
      <c r="N17" s="507">
        <v>29000000</v>
      </c>
      <c r="O17" s="507">
        <v>0</v>
      </c>
      <c r="P17" s="507">
        <v>29000000</v>
      </c>
      <c r="Q17" s="507">
        <v>144661.67000000001</v>
      </c>
      <c r="R17" s="507">
        <v>136399.66927470473</v>
      </c>
      <c r="S17" s="507">
        <v>0</v>
      </c>
      <c r="T17" s="507">
        <v>136399.66927470473</v>
      </c>
      <c r="U17" s="507">
        <v>680.40703257677512</v>
      </c>
      <c r="V17" s="507">
        <f>Port[[#This Row],[EAD_Drawn (CNY)]]*Port[[#This Row],[CNY -&gt; FCY]]</f>
        <v>29000000</v>
      </c>
      <c r="W17" s="507">
        <f>Port[[#This Row],[EAD_Undrawn (CNY)]]*Port[[#This Row],[CNY -&gt; FCY]]</f>
        <v>0</v>
      </c>
      <c r="X17" s="507">
        <f>Port[[#This Row],[EAD (CNY)]]*Port[[#This Row],[CNY -&gt; FCY]]</f>
        <v>29000000</v>
      </c>
      <c r="Y17" s="507">
        <f>Port[[#This Row],[EAD_Interest (CNY)]]*Port[[#This Row],[CNY -&gt; FCY]]</f>
        <v>144661.67000000001</v>
      </c>
      <c r="Z17" s="507">
        <f>Port[[#This Row],[ECL_Drawn (CNY)]]*Port[[#This Row],[CNY -&gt; FCY]]</f>
        <v>136399.66927470473</v>
      </c>
      <c r="AA17" s="507">
        <f>Port[[#This Row],[ECL_Undrawn (CNY)]]*Port[[#This Row],[CNY -&gt; FCY]]</f>
        <v>0</v>
      </c>
      <c r="AB17" s="507">
        <f>Port[[#This Row],[ECL (CNY)]]*Port[[#This Row],[CNY -&gt; FCY]]</f>
        <v>136399.66927470473</v>
      </c>
      <c r="AC17" s="507">
        <f>Port[[#This Row],[ECL_Interest (CNY)]]*Port[[#This Row],[CNY -&gt; FCY]]</f>
        <v>680.40703257677512</v>
      </c>
      <c r="AD17" s="507">
        <f>Port[[#This Row],[EAD_Drawn (CNY)]]*Port[[#This Row],[CNY -&gt; THB]]</f>
        <v>152215200</v>
      </c>
      <c r="AE17" s="507">
        <f>Port[[#This Row],[EAD_Undrawn (CNY)]]*Port[[#This Row],[CNY -&gt; THB]]</f>
        <v>0</v>
      </c>
      <c r="AF17" s="507">
        <f>Port[[#This Row],[EAD (CNY)]]*Port[[#This Row],[CNY -&gt; THB]]</f>
        <v>152215200</v>
      </c>
      <c r="AG17" s="507">
        <f>Port[[#This Row],[EAD_Interest (CNY)]]*Port[[#This Row],[CNY -&gt; THB]]</f>
        <v>759300.17349600012</v>
      </c>
      <c r="AH17" s="507">
        <f>Port[[#This Row],[ECL_Drawn (CNY)]]*Port[[#This Row],[CNY -&gt; THB]]</f>
        <v>715934.58408907021</v>
      </c>
      <c r="AI17" s="507">
        <f>Port[[#This Row],[ECL_Undrawn (CNY)]]*Port[[#This Row],[CNY -&gt; THB]]</f>
        <v>0</v>
      </c>
      <c r="AJ17" s="507">
        <f>Port[[#This Row],[ECL (CNY)]]*Port[[#This Row],[CNY -&gt; THB]]</f>
        <v>715934.58408907021</v>
      </c>
      <c r="AK17" s="507">
        <f>Port[[#This Row],[ECL_Interest (CNY)]]*Port[[#This Row],[CNY -&gt; THB]]</f>
        <v>3571.3204325889774</v>
      </c>
      <c r="AL17" s="507">
        <f>Port[[#This Row],[EAD (THB)]]*Port[[#This Row],[PD_avg]]</f>
        <v>795482.87121007813</v>
      </c>
      <c r="AM17" s="507">
        <f>Port[[#This Row],[EAD_Interest (THB)]]*Port[[#This Row],[PD_avg]]</f>
        <v>3968.133813987753</v>
      </c>
      <c r="AN17" s="507">
        <f>Port[[#This Row],[EAD (THB)]]*Port[[#This Row],[LGD_avg]]</f>
        <v>136993679.99999997</v>
      </c>
      <c r="AO17" s="507">
        <f>Port[[#This Row],[EAD_Interest (THB)]]*Port[[#This Row],[LGD_avg]]</f>
        <v>683370.15614639991</v>
      </c>
      <c r="AP17" s="507">
        <f>Port[[#This Row],[EAD_Drawn (THB)]]+Port[[#This Row],[EAD_Interest (THB)]]</f>
        <v>152974500.17349601</v>
      </c>
      <c r="AQ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2283228</v>
      </c>
      <c r="AR17" s="522">
        <f>MAX(Port[[#This Row],[ECL (THB)]]+Port[[#This Row],[ECL_Interest (THB)]], Port[[#This Row],[ECL CBIRC (THB)]])</f>
        <v>2283228</v>
      </c>
    </row>
    <row r="18" spans="1:44">
      <c r="A18" s="2" t="s">
        <v>847</v>
      </c>
      <c r="B18" s="2" t="s">
        <v>833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>
        <v>1</v>
      </c>
      <c r="I18" s="2" t="s">
        <v>526</v>
      </c>
      <c r="J18" s="505">
        <v>3.0745295499522811E-2</v>
      </c>
      <c r="K18" s="505">
        <v>0.8887085700373446</v>
      </c>
      <c r="L18" s="3">
        <v>1</v>
      </c>
      <c r="M18" s="3">
        <v>5.2488000000000001</v>
      </c>
      <c r="N18" s="507">
        <v>187000000</v>
      </c>
      <c r="O18" s="507">
        <v>0</v>
      </c>
      <c r="P18" s="507">
        <v>187000000</v>
      </c>
      <c r="Q18" s="507">
        <v>152716.67000000001</v>
      </c>
      <c r="R18" s="507">
        <v>5109514.6209674701</v>
      </c>
      <c r="S18" s="507">
        <v>0</v>
      </c>
      <c r="T18" s="507">
        <v>5109514.6209674701</v>
      </c>
      <c r="U18" s="507">
        <v>4172.770364868793</v>
      </c>
      <c r="V18" s="507">
        <f>Port[[#This Row],[EAD_Drawn (CNY)]]*Port[[#This Row],[CNY -&gt; FCY]]</f>
        <v>187000000</v>
      </c>
      <c r="W18" s="507">
        <f>Port[[#This Row],[EAD_Undrawn (CNY)]]*Port[[#This Row],[CNY -&gt; FCY]]</f>
        <v>0</v>
      </c>
      <c r="X18" s="507">
        <f>Port[[#This Row],[EAD (CNY)]]*Port[[#This Row],[CNY -&gt; FCY]]</f>
        <v>187000000</v>
      </c>
      <c r="Y18" s="507">
        <f>Port[[#This Row],[EAD_Interest (CNY)]]*Port[[#This Row],[CNY -&gt; FCY]]</f>
        <v>152716.67000000001</v>
      </c>
      <c r="Z18" s="507">
        <f>Port[[#This Row],[ECL_Drawn (CNY)]]*Port[[#This Row],[CNY -&gt; FCY]]</f>
        <v>5109514.6209674701</v>
      </c>
      <c r="AA18" s="507">
        <f>Port[[#This Row],[ECL_Undrawn (CNY)]]*Port[[#This Row],[CNY -&gt; FCY]]</f>
        <v>0</v>
      </c>
      <c r="AB18" s="507">
        <f>Port[[#This Row],[ECL (CNY)]]*Port[[#This Row],[CNY -&gt; FCY]]</f>
        <v>5109514.6209674701</v>
      </c>
      <c r="AC18" s="507">
        <f>Port[[#This Row],[ECL_Interest (CNY)]]*Port[[#This Row],[CNY -&gt; FCY]]</f>
        <v>4172.770364868793</v>
      </c>
      <c r="AD18" s="507">
        <f>Port[[#This Row],[EAD_Drawn (CNY)]]*Port[[#This Row],[CNY -&gt; THB]]</f>
        <v>981525600</v>
      </c>
      <c r="AE18" s="507">
        <f>Port[[#This Row],[EAD_Undrawn (CNY)]]*Port[[#This Row],[CNY -&gt; THB]]</f>
        <v>0</v>
      </c>
      <c r="AF18" s="507">
        <f>Port[[#This Row],[EAD (CNY)]]*Port[[#This Row],[CNY -&gt; THB]]</f>
        <v>981525600</v>
      </c>
      <c r="AG18" s="507">
        <f>Port[[#This Row],[EAD_Interest (CNY)]]*Port[[#This Row],[CNY -&gt; THB]]</f>
        <v>801579.25749600003</v>
      </c>
      <c r="AH18" s="507">
        <f>Port[[#This Row],[ECL_Drawn (CNY)]]*Port[[#This Row],[CNY -&gt; THB]]</f>
        <v>26818820.342534058</v>
      </c>
      <c r="AI18" s="507">
        <f>Port[[#This Row],[ECL_Undrawn (CNY)]]*Port[[#This Row],[CNY -&gt; THB]]</f>
        <v>0</v>
      </c>
      <c r="AJ18" s="507">
        <f>Port[[#This Row],[ECL (CNY)]]*Port[[#This Row],[CNY -&gt; THB]]</f>
        <v>26818820.342534058</v>
      </c>
      <c r="AK18" s="507">
        <f>Port[[#This Row],[ECL_Interest (CNY)]]*Port[[#This Row],[CNY -&gt; THB]]</f>
        <v>21902.037091123322</v>
      </c>
      <c r="AL18" s="507">
        <f>Port[[#This Row],[EAD (THB)]]*Port[[#This Row],[PD_avg]]</f>
        <v>30177294.612346426</v>
      </c>
      <c r="AM18" s="507">
        <f>Port[[#This Row],[EAD_Interest (THB)]]*Port[[#This Row],[PD_avg]]</f>
        <v>24644.791138002605</v>
      </c>
      <c r="AN18" s="507">
        <f>Port[[#This Row],[EAD (THB)]]*Port[[#This Row],[LGD_avg]]</f>
        <v>872290212.43104672</v>
      </c>
      <c r="AO18" s="507">
        <f>Port[[#This Row],[EAD_Interest (THB)]]*Port[[#This Row],[LGD_avg]]</f>
        <v>712370.35570086667</v>
      </c>
      <c r="AP18" s="507">
        <f>Port[[#This Row],[EAD_Drawn (THB)]]+Port[[#This Row],[EAD_Interest (THB)]]</f>
        <v>982327179.257496</v>
      </c>
      <c r="AQ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14722884</v>
      </c>
      <c r="AR18" s="522">
        <f>MAX(Port[[#This Row],[ECL (THB)]]+Port[[#This Row],[ECL_Interest (THB)]], Port[[#This Row],[ECL CBIRC (THB)]])</f>
        <v>26840722.379625183</v>
      </c>
    </row>
    <row r="19" spans="1:44">
      <c r="A19" s="2" t="s">
        <v>848</v>
      </c>
      <c r="B19" s="2" t="s">
        <v>849</v>
      </c>
      <c r="C19" s="2" t="s">
        <v>17</v>
      </c>
      <c r="D19" s="2" t="s">
        <v>25</v>
      </c>
      <c r="E19" s="2" t="s">
        <v>19</v>
      </c>
      <c r="F19" s="2" t="s">
        <v>20</v>
      </c>
      <c r="G19" s="2" t="s">
        <v>21</v>
      </c>
      <c r="H19">
        <v>1</v>
      </c>
      <c r="I19" s="2" t="s">
        <v>526</v>
      </c>
      <c r="J19" s="505">
        <v>4.8109749303825028E-2</v>
      </c>
      <c r="K19" s="505">
        <v>0.61694436855735046</v>
      </c>
      <c r="L19" s="3">
        <v>1</v>
      </c>
      <c r="M19" s="3">
        <v>5.2488000000000001</v>
      </c>
      <c r="N19" s="507">
        <v>711221.59</v>
      </c>
      <c r="O19" s="507">
        <v>0</v>
      </c>
      <c r="P19" s="507">
        <v>711221.59</v>
      </c>
      <c r="Q19" s="507">
        <v>1899.23</v>
      </c>
      <c r="R19" s="507">
        <v>21109.795683364355</v>
      </c>
      <c r="S19" s="507">
        <v>0</v>
      </c>
      <c r="T19" s="507">
        <v>21109.795683364355</v>
      </c>
      <c r="U19" s="507">
        <v>56.371119520874061</v>
      </c>
      <c r="V19" s="507">
        <f>Port[[#This Row],[EAD_Drawn (CNY)]]*Port[[#This Row],[CNY -&gt; FCY]]</f>
        <v>711221.59</v>
      </c>
      <c r="W19" s="507">
        <f>Port[[#This Row],[EAD_Undrawn (CNY)]]*Port[[#This Row],[CNY -&gt; FCY]]</f>
        <v>0</v>
      </c>
      <c r="X19" s="507">
        <f>Port[[#This Row],[EAD (CNY)]]*Port[[#This Row],[CNY -&gt; FCY]]</f>
        <v>711221.59</v>
      </c>
      <c r="Y19" s="507">
        <f>Port[[#This Row],[EAD_Interest (CNY)]]*Port[[#This Row],[CNY -&gt; FCY]]</f>
        <v>1899.23</v>
      </c>
      <c r="Z19" s="507">
        <f>Port[[#This Row],[ECL_Drawn (CNY)]]*Port[[#This Row],[CNY -&gt; FCY]]</f>
        <v>21109.795683364355</v>
      </c>
      <c r="AA19" s="507">
        <f>Port[[#This Row],[ECL_Undrawn (CNY)]]*Port[[#This Row],[CNY -&gt; FCY]]</f>
        <v>0</v>
      </c>
      <c r="AB19" s="507">
        <f>Port[[#This Row],[ECL (CNY)]]*Port[[#This Row],[CNY -&gt; FCY]]</f>
        <v>21109.795683364355</v>
      </c>
      <c r="AC19" s="507">
        <f>Port[[#This Row],[ECL_Interest (CNY)]]*Port[[#This Row],[CNY -&gt; FCY]]</f>
        <v>56.371119520874061</v>
      </c>
      <c r="AD19" s="507">
        <f>Port[[#This Row],[EAD_Drawn (CNY)]]*Port[[#This Row],[CNY -&gt; THB]]</f>
        <v>3733059.8815919999</v>
      </c>
      <c r="AE19" s="507">
        <f>Port[[#This Row],[EAD_Undrawn (CNY)]]*Port[[#This Row],[CNY -&gt; THB]]</f>
        <v>0</v>
      </c>
      <c r="AF19" s="507">
        <f>Port[[#This Row],[EAD (CNY)]]*Port[[#This Row],[CNY -&gt; THB]]</f>
        <v>3733059.8815919999</v>
      </c>
      <c r="AG19" s="507">
        <f>Port[[#This Row],[EAD_Interest (CNY)]]*Port[[#This Row],[CNY -&gt; THB]]</f>
        <v>9968.6784239999997</v>
      </c>
      <c r="AH19" s="507">
        <f>Port[[#This Row],[ECL_Drawn (CNY)]]*Port[[#This Row],[CNY -&gt; THB]]</f>
        <v>110801.09558284283</v>
      </c>
      <c r="AI19" s="507">
        <f>Port[[#This Row],[ECL_Undrawn (CNY)]]*Port[[#This Row],[CNY -&gt; THB]]</f>
        <v>0</v>
      </c>
      <c r="AJ19" s="507">
        <f>Port[[#This Row],[ECL (CNY)]]*Port[[#This Row],[CNY -&gt; THB]]</f>
        <v>110801.09558284283</v>
      </c>
      <c r="AK19" s="507">
        <f>Port[[#This Row],[ECL_Interest (CNY)]]*Port[[#This Row],[CNY -&gt; THB]]</f>
        <v>295.88073214116378</v>
      </c>
      <c r="AL19" s="507">
        <f>Port[[#This Row],[EAD (THB)]]*Port[[#This Row],[PD_avg]]</f>
        <v>179596.57503955785</v>
      </c>
      <c r="AM19" s="507">
        <f>Port[[#This Row],[EAD_Interest (THB)]]*Port[[#This Row],[PD_avg]]</f>
        <v>479.59061986908955</v>
      </c>
      <c r="AN19" s="507">
        <f>Port[[#This Row],[EAD (THB)]]*Port[[#This Row],[LGD_avg]]</f>
        <v>2303090.2714355537</v>
      </c>
      <c r="AO19" s="507">
        <f>Port[[#This Row],[EAD_Interest (THB)]]*Port[[#This Row],[LGD_avg]]</f>
        <v>6150.1200156459636</v>
      </c>
      <c r="AP19" s="507">
        <f>Port[[#This Row],[EAD_Drawn (THB)]]+Port[[#This Row],[EAD_Interest (THB)]]</f>
        <v>3743028.5600159997</v>
      </c>
      <c r="AQ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55995.898223879994</v>
      </c>
      <c r="AR19" s="522">
        <f>MAX(Port[[#This Row],[ECL (THB)]]+Port[[#This Row],[ECL_Interest (THB)]], Port[[#This Row],[ECL CBIRC (THB)]])</f>
        <v>111096.97631498399</v>
      </c>
    </row>
    <row r="20" spans="1:44">
      <c r="A20" s="2" t="s">
        <v>850</v>
      </c>
      <c r="B20" s="2" t="s">
        <v>851</v>
      </c>
      <c r="C20" s="2" t="s">
        <v>17</v>
      </c>
      <c r="D20" s="2" t="s">
        <v>25</v>
      </c>
      <c r="E20" s="2" t="s">
        <v>19</v>
      </c>
      <c r="F20" s="2" t="s">
        <v>20</v>
      </c>
      <c r="G20" s="2" t="s">
        <v>21</v>
      </c>
      <c r="H20">
        <v>1</v>
      </c>
      <c r="I20" s="2" t="s">
        <v>526</v>
      </c>
      <c r="J20" s="505">
        <v>2.0514833509807026E-2</v>
      </c>
      <c r="K20" s="505">
        <v>0.68646590672397001</v>
      </c>
      <c r="L20" s="3">
        <v>1</v>
      </c>
      <c r="M20" s="3">
        <v>5.2488000000000001</v>
      </c>
      <c r="N20" s="507">
        <v>32000000</v>
      </c>
      <c r="O20" s="507">
        <v>0</v>
      </c>
      <c r="P20" s="507">
        <v>32000000</v>
      </c>
      <c r="Q20" s="507">
        <v>32355.56</v>
      </c>
      <c r="R20" s="507">
        <v>450647.48117123084</v>
      </c>
      <c r="S20" s="507">
        <v>0</v>
      </c>
      <c r="T20" s="507">
        <v>450647.48117123084</v>
      </c>
      <c r="U20" s="507">
        <v>455.65473799639472</v>
      </c>
      <c r="V20" s="507">
        <f>Port[[#This Row],[EAD_Drawn (CNY)]]*Port[[#This Row],[CNY -&gt; FCY]]</f>
        <v>32000000</v>
      </c>
      <c r="W20" s="507">
        <f>Port[[#This Row],[EAD_Undrawn (CNY)]]*Port[[#This Row],[CNY -&gt; FCY]]</f>
        <v>0</v>
      </c>
      <c r="X20" s="507">
        <f>Port[[#This Row],[EAD (CNY)]]*Port[[#This Row],[CNY -&gt; FCY]]</f>
        <v>32000000</v>
      </c>
      <c r="Y20" s="507">
        <f>Port[[#This Row],[EAD_Interest (CNY)]]*Port[[#This Row],[CNY -&gt; FCY]]</f>
        <v>32355.56</v>
      </c>
      <c r="Z20" s="507">
        <f>Port[[#This Row],[ECL_Drawn (CNY)]]*Port[[#This Row],[CNY -&gt; FCY]]</f>
        <v>450647.48117123084</v>
      </c>
      <c r="AA20" s="507">
        <f>Port[[#This Row],[ECL_Undrawn (CNY)]]*Port[[#This Row],[CNY -&gt; FCY]]</f>
        <v>0</v>
      </c>
      <c r="AB20" s="507">
        <f>Port[[#This Row],[ECL (CNY)]]*Port[[#This Row],[CNY -&gt; FCY]]</f>
        <v>450647.48117123084</v>
      </c>
      <c r="AC20" s="507">
        <f>Port[[#This Row],[ECL_Interest (CNY)]]*Port[[#This Row],[CNY -&gt; FCY]]</f>
        <v>455.65473799639472</v>
      </c>
      <c r="AD20" s="507">
        <f>Port[[#This Row],[EAD_Drawn (CNY)]]*Port[[#This Row],[CNY -&gt; THB]]</f>
        <v>167961600</v>
      </c>
      <c r="AE20" s="507">
        <f>Port[[#This Row],[EAD_Undrawn (CNY)]]*Port[[#This Row],[CNY -&gt; THB]]</f>
        <v>0</v>
      </c>
      <c r="AF20" s="507">
        <f>Port[[#This Row],[EAD (CNY)]]*Port[[#This Row],[CNY -&gt; THB]]</f>
        <v>167961600</v>
      </c>
      <c r="AG20" s="507">
        <f>Port[[#This Row],[EAD_Interest (CNY)]]*Port[[#This Row],[CNY -&gt; THB]]</f>
        <v>169827.86332800001</v>
      </c>
      <c r="AH20" s="507">
        <f>Port[[#This Row],[ECL_Drawn (CNY)]]*Port[[#This Row],[CNY -&gt; THB]]</f>
        <v>2365358.4991715564</v>
      </c>
      <c r="AI20" s="507">
        <f>Port[[#This Row],[ECL_Undrawn (CNY)]]*Port[[#This Row],[CNY -&gt; THB]]</f>
        <v>0</v>
      </c>
      <c r="AJ20" s="507">
        <f>Port[[#This Row],[ECL (CNY)]]*Port[[#This Row],[CNY -&gt; THB]]</f>
        <v>2365358.4991715564</v>
      </c>
      <c r="AK20" s="507">
        <f>Port[[#This Row],[ECL_Interest (CNY)]]*Port[[#This Row],[CNY -&gt; THB]]</f>
        <v>2391.6405887954766</v>
      </c>
      <c r="AL20" s="507">
        <f>Port[[#This Row],[EAD (THB)]]*Port[[#This Row],[PD_avg]]</f>
        <v>3445704.2600408038</v>
      </c>
      <c r="AM20" s="507">
        <f>Port[[#This Row],[EAD_Interest (THB)]]*Port[[#This Row],[PD_avg]]</f>
        <v>3483.9903415001822</v>
      </c>
      <c r="AN20" s="507">
        <f>Port[[#This Row],[EAD (THB)]]*Port[[#This Row],[LGD_avg]]</f>
        <v>115299912.03880876</v>
      </c>
      <c r="AO20" s="507">
        <f>Port[[#This Row],[EAD_Interest (THB)]]*Port[[#This Row],[LGD_avg]]</f>
        <v>116581.03818644998</v>
      </c>
      <c r="AP20" s="507">
        <f>Port[[#This Row],[EAD_Drawn (THB)]]+Port[[#This Row],[EAD_Interest (THB)]]</f>
        <v>168131427.86332801</v>
      </c>
      <c r="AQ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2519424</v>
      </c>
      <c r="AR20" s="522">
        <f>MAX(Port[[#This Row],[ECL (THB)]]+Port[[#This Row],[ECL_Interest (THB)]], Port[[#This Row],[ECL CBIRC (THB)]])</f>
        <v>2519424</v>
      </c>
    </row>
    <row r="21" spans="1:44">
      <c r="A21" s="2" t="s">
        <v>852</v>
      </c>
      <c r="B21" s="2" t="s">
        <v>851</v>
      </c>
      <c r="C21" s="2" t="s">
        <v>17</v>
      </c>
      <c r="D21" s="2" t="s">
        <v>25</v>
      </c>
      <c r="E21" s="2" t="s">
        <v>19</v>
      </c>
      <c r="F21" s="2" t="s">
        <v>20</v>
      </c>
      <c r="G21" s="2" t="s">
        <v>21</v>
      </c>
      <c r="H21">
        <v>1</v>
      </c>
      <c r="I21" s="2" t="s">
        <v>526</v>
      </c>
      <c r="J21" s="505">
        <v>2.0514833509807026E-2</v>
      </c>
      <c r="K21" s="505">
        <v>0.65596103621243118</v>
      </c>
      <c r="L21" s="3">
        <v>1</v>
      </c>
      <c r="M21" s="3">
        <v>5.2488000000000001</v>
      </c>
      <c r="N21" s="507">
        <v>28000000</v>
      </c>
      <c r="O21" s="507">
        <v>0</v>
      </c>
      <c r="P21" s="507">
        <v>28000000</v>
      </c>
      <c r="Q21" s="507">
        <v>28311.11</v>
      </c>
      <c r="R21" s="507">
        <v>376794.08051091869</v>
      </c>
      <c r="S21" s="507">
        <v>0</v>
      </c>
      <c r="T21" s="507">
        <v>376794.08051091869</v>
      </c>
      <c r="U21" s="507">
        <v>380.98066645333842</v>
      </c>
      <c r="V21" s="507">
        <f>Port[[#This Row],[EAD_Drawn (CNY)]]*Port[[#This Row],[CNY -&gt; FCY]]</f>
        <v>28000000</v>
      </c>
      <c r="W21" s="507">
        <f>Port[[#This Row],[EAD_Undrawn (CNY)]]*Port[[#This Row],[CNY -&gt; FCY]]</f>
        <v>0</v>
      </c>
      <c r="X21" s="507">
        <f>Port[[#This Row],[EAD (CNY)]]*Port[[#This Row],[CNY -&gt; FCY]]</f>
        <v>28000000</v>
      </c>
      <c r="Y21" s="507">
        <f>Port[[#This Row],[EAD_Interest (CNY)]]*Port[[#This Row],[CNY -&gt; FCY]]</f>
        <v>28311.11</v>
      </c>
      <c r="Z21" s="507">
        <f>Port[[#This Row],[ECL_Drawn (CNY)]]*Port[[#This Row],[CNY -&gt; FCY]]</f>
        <v>376794.08051091869</v>
      </c>
      <c r="AA21" s="507">
        <f>Port[[#This Row],[ECL_Undrawn (CNY)]]*Port[[#This Row],[CNY -&gt; FCY]]</f>
        <v>0</v>
      </c>
      <c r="AB21" s="507">
        <f>Port[[#This Row],[ECL (CNY)]]*Port[[#This Row],[CNY -&gt; FCY]]</f>
        <v>376794.08051091869</v>
      </c>
      <c r="AC21" s="507">
        <f>Port[[#This Row],[ECL_Interest (CNY)]]*Port[[#This Row],[CNY -&gt; FCY]]</f>
        <v>380.98066645333842</v>
      </c>
      <c r="AD21" s="507">
        <f>Port[[#This Row],[EAD_Drawn (CNY)]]*Port[[#This Row],[CNY -&gt; THB]]</f>
        <v>146966400</v>
      </c>
      <c r="AE21" s="507">
        <f>Port[[#This Row],[EAD_Undrawn (CNY)]]*Port[[#This Row],[CNY -&gt; THB]]</f>
        <v>0</v>
      </c>
      <c r="AF21" s="507">
        <f>Port[[#This Row],[EAD (CNY)]]*Port[[#This Row],[CNY -&gt; THB]]</f>
        <v>146966400</v>
      </c>
      <c r="AG21" s="507">
        <f>Port[[#This Row],[EAD_Interest (CNY)]]*Port[[#This Row],[CNY -&gt; THB]]</f>
        <v>148599.35416800002</v>
      </c>
      <c r="AH21" s="507">
        <f>Port[[#This Row],[ECL_Drawn (CNY)]]*Port[[#This Row],[CNY -&gt; THB]]</f>
        <v>1977716.7697857101</v>
      </c>
      <c r="AI21" s="507">
        <f>Port[[#This Row],[ECL_Undrawn (CNY)]]*Port[[#This Row],[CNY -&gt; THB]]</f>
        <v>0</v>
      </c>
      <c r="AJ21" s="507">
        <f>Port[[#This Row],[ECL (CNY)]]*Port[[#This Row],[CNY -&gt; THB]]</f>
        <v>1977716.7697857101</v>
      </c>
      <c r="AK21" s="507">
        <f>Port[[#This Row],[ECL_Interest (CNY)]]*Port[[#This Row],[CNY -&gt; THB]]</f>
        <v>1999.6913220802828</v>
      </c>
      <c r="AL21" s="507">
        <f>Port[[#This Row],[EAD (THB)]]*Port[[#This Row],[PD_avg]]</f>
        <v>3014991.2275357032</v>
      </c>
      <c r="AM21" s="507">
        <f>Port[[#This Row],[EAD_Interest (THB)]]*Port[[#This Row],[PD_avg]]</f>
        <v>3048.4910104213691</v>
      </c>
      <c r="AN21" s="507">
        <f>Port[[#This Row],[EAD (THB)]]*Port[[#This Row],[LGD_avg]]</f>
        <v>96404232.032410651</v>
      </c>
      <c r="AO21" s="507">
        <f>Port[[#This Row],[EAD_Interest (THB)]]*Port[[#This Row],[LGD_avg]]</f>
        <v>97475.386340539349</v>
      </c>
      <c r="AP21" s="507">
        <f>Port[[#This Row],[EAD_Drawn (THB)]]+Port[[#This Row],[EAD_Interest (THB)]]</f>
        <v>147114999.354168</v>
      </c>
      <c r="AQ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2204496</v>
      </c>
      <c r="AR21" s="522">
        <f>MAX(Port[[#This Row],[ECL (THB)]]+Port[[#This Row],[ECL_Interest (THB)]], Port[[#This Row],[ECL CBIRC (THB)]])</f>
        <v>2204496</v>
      </c>
    </row>
    <row r="22" spans="1:44">
      <c r="A22" s="2" t="s">
        <v>28</v>
      </c>
      <c r="B22" s="2" t="s">
        <v>29</v>
      </c>
      <c r="C22" s="2" t="s">
        <v>17</v>
      </c>
      <c r="D22" s="2" t="s">
        <v>30</v>
      </c>
      <c r="E22" s="2" t="s">
        <v>19</v>
      </c>
      <c r="F22" s="2" t="s">
        <v>20</v>
      </c>
      <c r="G22" s="2" t="s">
        <v>21</v>
      </c>
      <c r="H22">
        <v>1</v>
      </c>
      <c r="I22" s="2" t="s">
        <v>526</v>
      </c>
      <c r="J22" s="505">
        <v>3.0745295499522811E-2</v>
      </c>
      <c r="K22" s="505">
        <v>0.89999999999999991</v>
      </c>
      <c r="L22" s="3">
        <v>1</v>
      </c>
      <c r="M22" s="3">
        <v>5.2488000000000001</v>
      </c>
      <c r="N22" s="507">
        <v>61922.68</v>
      </c>
      <c r="O22" s="507">
        <v>0</v>
      </c>
      <c r="P22" s="507">
        <v>61922.68</v>
      </c>
      <c r="Q22" s="507">
        <v>66.819999999999993</v>
      </c>
      <c r="R22" s="507">
        <v>1713.447985250152</v>
      </c>
      <c r="S22" s="507">
        <v>0</v>
      </c>
      <c r="T22" s="507">
        <v>1713.447985250152</v>
      </c>
      <c r="U22" s="507">
        <v>1.8489605807503029</v>
      </c>
      <c r="V22" s="507">
        <f>Port[[#This Row],[EAD_Drawn (CNY)]]*Port[[#This Row],[CNY -&gt; FCY]]</f>
        <v>61922.68</v>
      </c>
      <c r="W22" s="507">
        <f>Port[[#This Row],[EAD_Undrawn (CNY)]]*Port[[#This Row],[CNY -&gt; FCY]]</f>
        <v>0</v>
      </c>
      <c r="X22" s="507">
        <f>Port[[#This Row],[EAD (CNY)]]*Port[[#This Row],[CNY -&gt; FCY]]</f>
        <v>61922.68</v>
      </c>
      <c r="Y22" s="507">
        <f>Port[[#This Row],[EAD_Interest (CNY)]]*Port[[#This Row],[CNY -&gt; FCY]]</f>
        <v>66.819999999999993</v>
      </c>
      <c r="Z22" s="507">
        <f>Port[[#This Row],[ECL_Drawn (CNY)]]*Port[[#This Row],[CNY -&gt; FCY]]</f>
        <v>1713.447985250152</v>
      </c>
      <c r="AA22" s="507">
        <f>Port[[#This Row],[ECL_Undrawn (CNY)]]*Port[[#This Row],[CNY -&gt; FCY]]</f>
        <v>0</v>
      </c>
      <c r="AB22" s="507">
        <f>Port[[#This Row],[ECL (CNY)]]*Port[[#This Row],[CNY -&gt; FCY]]</f>
        <v>1713.447985250152</v>
      </c>
      <c r="AC22" s="507">
        <f>Port[[#This Row],[ECL_Interest (CNY)]]*Port[[#This Row],[CNY -&gt; FCY]]</f>
        <v>1.8489605807503029</v>
      </c>
      <c r="AD22" s="507">
        <f>Port[[#This Row],[EAD_Drawn (CNY)]]*Port[[#This Row],[CNY -&gt; THB]]</f>
        <v>325019.76278400002</v>
      </c>
      <c r="AE22" s="507">
        <f>Port[[#This Row],[EAD_Undrawn (CNY)]]*Port[[#This Row],[CNY -&gt; THB]]</f>
        <v>0</v>
      </c>
      <c r="AF22" s="507">
        <f>Port[[#This Row],[EAD (CNY)]]*Port[[#This Row],[CNY -&gt; THB]]</f>
        <v>325019.76278400002</v>
      </c>
      <c r="AG22" s="507">
        <f>Port[[#This Row],[EAD_Interest (CNY)]]*Port[[#This Row],[CNY -&gt; THB]]</f>
        <v>350.72481599999998</v>
      </c>
      <c r="AH22" s="507">
        <f>Port[[#This Row],[ECL_Drawn (CNY)]]*Port[[#This Row],[CNY -&gt; THB]]</f>
        <v>8993.5457849809973</v>
      </c>
      <c r="AI22" s="507">
        <f>Port[[#This Row],[ECL_Undrawn (CNY)]]*Port[[#This Row],[CNY -&gt; THB]]</f>
        <v>0</v>
      </c>
      <c r="AJ22" s="507">
        <f>Port[[#This Row],[ECL (CNY)]]*Port[[#This Row],[CNY -&gt; THB]]</f>
        <v>8993.5457849809973</v>
      </c>
      <c r="AK22" s="507">
        <f>Port[[#This Row],[ECL_Interest (CNY)]]*Port[[#This Row],[CNY -&gt; THB]]</f>
        <v>9.7048242962421902</v>
      </c>
      <c r="AL22" s="507">
        <f>Port[[#This Row],[EAD (THB)]]*Port[[#This Row],[PD_avg]]</f>
        <v>9992.8286499788883</v>
      </c>
      <c r="AM22" s="507">
        <f>Port[[#This Row],[EAD_Interest (THB)]]*Port[[#This Row],[PD_avg]]</f>
        <v>10.783138106935764</v>
      </c>
      <c r="AN22" s="507">
        <f>Port[[#This Row],[EAD (THB)]]*Port[[#This Row],[LGD_avg]]</f>
        <v>292517.78650559997</v>
      </c>
      <c r="AO22" s="507">
        <f>Port[[#This Row],[EAD_Interest (THB)]]*Port[[#This Row],[LGD_avg]]</f>
        <v>315.65233439999997</v>
      </c>
      <c r="AP22" s="507">
        <f>Port[[#This Row],[EAD_Drawn (THB)]]+Port[[#This Row],[EAD_Interest (THB)]]</f>
        <v>325370.48759999999</v>
      </c>
      <c r="AQ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4875.2964417600006</v>
      </c>
      <c r="AR22" s="522">
        <f>MAX(Port[[#This Row],[ECL (THB)]]+Port[[#This Row],[ECL_Interest (THB)]], Port[[#This Row],[ECL CBIRC (THB)]])</f>
        <v>9003.2506092772401</v>
      </c>
    </row>
    <row r="23" spans="1:44">
      <c r="A23" s="2" t="s">
        <v>31</v>
      </c>
      <c r="B23" s="2" t="s">
        <v>29</v>
      </c>
      <c r="C23" s="2" t="s">
        <v>17</v>
      </c>
      <c r="D23" s="2" t="s">
        <v>30</v>
      </c>
      <c r="E23" s="2" t="s">
        <v>19</v>
      </c>
      <c r="F23" s="2" t="s">
        <v>20</v>
      </c>
      <c r="G23" s="2" t="s">
        <v>21</v>
      </c>
      <c r="H23">
        <v>1</v>
      </c>
      <c r="I23" s="2" t="s">
        <v>526</v>
      </c>
      <c r="J23" s="505">
        <v>3.0745295499522811E-2</v>
      </c>
      <c r="K23" s="505">
        <v>0.9</v>
      </c>
      <c r="L23" s="3">
        <v>1</v>
      </c>
      <c r="M23" s="3">
        <v>5.2488000000000001</v>
      </c>
      <c r="N23" s="507">
        <v>59096.160000000003</v>
      </c>
      <c r="O23" s="507">
        <v>0</v>
      </c>
      <c r="P23" s="507">
        <v>59096.160000000003</v>
      </c>
      <c r="Q23" s="507">
        <v>63.77</v>
      </c>
      <c r="R23" s="507">
        <v>1635.2360118783722</v>
      </c>
      <c r="S23" s="507">
        <v>0</v>
      </c>
      <c r="T23" s="507">
        <v>1635.2360118783722</v>
      </c>
      <c r="U23" s="507">
        <v>1.7645647446041126</v>
      </c>
      <c r="V23" s="507">
        <f>Port[[#This Row],[EAD_Drawn (CNY)]]*Port[[#This Row],[CNY -&gt; FCY]]</f>
        <v>59096.160000000003</v>
      </c>
      <c r="W23" s="507">
        <f>Port[[#This Row],[EAD_Undrawn (CNY)]]*Port[[#This Row],[CNY -&gt; FCY]]</f>
        <v>0</v>
      </c>
      <c r="X23" s="507">
        <f>Port[[#This Row],[EAD (CNY)]]*Port[[#This Row],[CNY -&gt; FCY]]</f>
        <v>59096.160000000003</v>
      </c>
      <c r="Y23" s="507">
        <f>Port[[#This Row],[EAD_Interest (CNY)]]*Port[[#This Row],[CNY -&gt; FCY]]</f>
        <v>63.77</v>
      </c>
      <c r="Z23" s="507">
        <f>Port[[#This Row],[ECL_Drawn (CNY)]]*Port[[#This Row],[CNY -&gt; FCY]]</f>
        <v>1635.2360118783722</v>
      </c>
      <c r="AA23" s="507">
        <f>Port[[#This Row],[ECL_Undrawn (CNY)]]*Port[[#This Row],[CNY -&gt; FCY]]</f>
        <v>0</v>
      </c>
      <c r="AB23" s="507">
        <f>Port[[#This Row],[ECL (CNY)]]*Port[[#This Row],[CNY -&gt; FCY]]</f>
        <v>1635.2360118783722</v>
      </c>
      <c r="AC23" s="507">
        <f>Port[[#This Row],[ECL_Interest (CNY)]]*Port[[#This Row],[CNY -&gt; FCY]]</f>
        <v>1.7645647446041126</v>
      </c>
      <c r="AD23" s="507">
        <f>Port[[#This Row],[EAD_Drawn (CNY)]]*Port[[#This Row],[CNY -&gt; THB]]</f>
        <v>310183.92460800003</v>
      </c>
      <c r="AE23" s="507">
        <f>Port[[#This Row],[EAD_Undrawn (CNY)]]*Port[[#This Row],[CNY -&gt; THB]]</f>
        <v>0</v>
      </c>
      <c r="AF23" s="507">
        <f>Port[[#This Row],[EAD (CNY)]]*Port[[#This Row],[CNY -&gt; THB]]</f>
        <v>310183.92460800003</v>
      </c>
      <c r="AG23" s="507">
        <f>Port[[#This Row],[EAD_Interest (CNY)]]*Port[[#This Row],[CNY -&gt; THB]]</f>
        <v>334.71597600000001</v>
      </c>
      <c r="AH23" s="507">
        <f>Port[[#This Row],[ECL_Drawn (CNY)]]*Port[[#This Row],[CNY -&gt; THB]]</f>
        <v>8583.0267791471997</v>
      </c>
      <c r="AI23" s="507">
        <f>Port[[#This Row],[ECL_Undrawn (CNY)]]*Port[[#This Row],[CNY -&gt; THB]]</f>
        <v>0</v>
      </c>
      <c r="AJ23" s="507">
        <f>Port[[#This Row],[ECL (CNY)]]*Port[[#This Row],[CNY -&gt; THB]]</f>
        <v>8583.0267791471997</v>
      </c>
      <c r="AK23" s="507">
        <f>Port[[#This Row],[ECL_Interest (CNY)]]*Port[[#This Row],[CNY -&gt; THB]]</f>
        <v>9.261847431478067</v>
      </c>
      <c r="AL23" s="507">
        <f>Port[[#This Row],[EAD (THB)]]*Port[[#This Row],[PD_avg]]</f>
        <v>9536.6964212746661</v>
      </c>
      <c r="AM23" s="507">
        <f>Port[[#This Row],[EAD_Interest (THB)]]*Port[[#This Row],[PD_avg]]</f>
        <v>10.290941590531185</v>
      </c>
      <c r="AN23" s="507">
        <f>Port[[#This Row],[EAD (THB)]]*Port[[#This Row],[LGD_avg]]</f>
        <v>279165.53214720002</v>
      </c>
      <c r="AO23" s="507">
        <f>Port[[#This Row],[EAD_Interest (THB)]]*Port[[#This Row],[LGD_avg]]</f>
        <v>301.24437840000002</v>
      </c>
      <c r="AP23" s="507">
        <f>Port[[#This Row],[EAD_Drawn (THB)]]+Port[[#This Row],[EAD_Interest (THB)]]</f>
        <v>310518.64058400004</v>
      </c>
      <c r="AQ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4652.7588691199999</v>
      </c>
      <c r="AR23" s="522">
        <f>MAX(Port[[#This Row],[ECL (THB)]]+Port[[#This Row],[ECL_Interest (THB)]], Port[[#This Row],[ECL CBIRC (THB)]])</f>
        <v>8592.2886265786783</v>
      </c>
    </row>
    <row r="24" spans="1:44">
      <c r="A24" s="2" t="s">
        <v>32</v>
      </c>
      <c r="B24" s="2" t="s">
        <v>29</v>
      </c>
      <c r="C24" s="2" t="s">
        <v>17</v>
      </c>
      <c r="D24" s="2" t="s">
        <v>30</v>
      </c>
      <c r="E24" s="2" t="s">
        <v>19</v>
      </c>
      <c r="F24" s="2" t="s">
        <v>20</v>
      </c>
      <c r="G24" s="2" t="s">
        <v>21</v>
      </c>
      <c r="H24">
        <v>1</v>
      </c>
      <c r="I24" s="2" t="s">
        <v>526</v>
      </c>
      <c r="J24" s="505">
        <v>3.0745295499522811E-2</v>
      </c>
      <c r="K24" s="505">
        <v>0.9</v>
      </c>
      <c r="L24" s="3">
        <v>1</v>
      </c>
      <c r="M24" s="3">
        <v>5.2488000000000001</v>
      </c>
      <c r="N24" s="507">
        <v>312518.15999999997</v>
      </c>
      <c r="O24" s="507">
        <v>0</v>
      </c>
      <c r="P24" s="507">
        <v>312518.15999999997</v>
      </c>
      <c r="Q24" s="507">
        <v>337.26</v>
      </c>
      <c r="R24" s="507">
        <v>8647.6168603504357</v>
      </c>
      <c r="S24" s="507">
        <v>0</v>
      </c>
      <c r="T24" s="507">
        <v>8647.6168603504357</v>
      </c>
      <c r="U24" s="507">
        <v>9.3322425241521572</v>
      </c>
      <c r="V24" s="507">
        <f>Port[[#This Row],[EAD_Drawn (CNY)]]*Port[[#This Row],[CNY -&gt; FCY]]</f>
        <v>312518.15999999997</v>
      </c>
      <c r="W24" s="507">
        <f>Port[[#This Row],[EAD_Undrawn (CNY)]]*Port[[#This Row],[CNY -&gt; FCY]]</f>
        <v>0</v>
      </c>
      <c r="X24" s="507">
        <f>Port[[#This Row],[EAD (CNY)]]*Port[[#This Row],[CNY -&gt; FCY]]</f>
        <v>312518.15999999997</v>
      </c>
      <c r="Y24" s="507">
        <f>Port[[#This Row],[EAD_Interest (CNY)]]*Port[[#This Row],[CNY -&gt; FCY]]</f>
        <v>337.26</v>
      </c>
      <c r="Z24" s="507">
        <f>Port[[#This Row],[ECL_Drawn (CNY)]]*Port[[#This Row],[CNY -&gt; FCY]]</f>
        <v>8647.6168603504357</v>
      </c>
      <c r="AA24" s="507">
        <f>Port[[#This Row],[ECL_Undrawn (CNY)]]*Port[[#This Row],[CNY -&gt; FCY]]</f>
        <v>0</v>
      </c>
      <c r="AB24" s="507">
        <f>Port[[#This Row],[ECL (CNY)]]*Port[[#This Row],[CNY -&gt; FCY]]</f>
        <v>8647.6168603504357</v>
      </c>
      <c r="AC24" s="507">
        <f>Port[[#This Row],[ECL_Interest (CNY)]]*Port[[#This Row],[CNY -&gt; FCY]]</f>
        <v>9.3322425241521572</v>
      </c>
      <c r="AD24" s="507">
        <f>Port[[#This Row],[EAD_Drawn (CNY)]]*Port[[#This Row],[CNY -&gt; THB]]</f>
        <v>1640345.3182079999</v>
      </c>
      <c r="AE24" s="507">
        <f>Port[[#This Row],[EAD_Undrawn (CNY)]]*Port[[#This Row],[CNY -&gt; THB]]</f>
        <v>0</v>
      </c>
      <c r="AF24" s="507">
        <f>Port[[#This Row],[EAD (CNY)]]*Port[[#This Row],[CNY -&gt; THB]]</f>
        <v>1640345.3182079999</v>
      </c>
      <c r="AG24" s="507">
        <f>Port[[#This Row],[EAD_Interest (CNY)]]*Port[[#This Row],[CNY -&gt; THB]]</f>
        <v>1770.210288</v>
      </c>
      <c r="AH24" s="507">
        <f>Port[[#This Row],[ECL_Drawn (CNY)]]*Port[[#This Row],[CNY -&gt; THB]]</f>
        <v>45389.611376607369</v>
      </c>
      <c r="AI24" s="507">
        <f>Port[[#This Row],[ECL_Undrawn (CNY)]]*Port[[#This Row],[CNY -&gt; THB]]</f>
        <v>0</v>
      </c>
      <c r="AJ24" s="507">
        <f>Port[[#This Row],[ECL (CNY)]]*Port[[#This Row],[CNY -&gt; THB]]</f>
        <v>45389.611376607369</v>
      </c>
      <c r="AK24" s="507">
        <f>Port[[#This Row],[ECL_Interest (CNY)]]*Port[[#This Row],[CNY -&gt; THB]]</f>
        <v>48.983074560769843</v>
      </c>
      <c r="AL24" s="507">
        <f>Port[[#This Row],[EAD (THB)]]*Port[[#This Row],[PD_avg]]</f>
        <v>50432.901529563736</v>
      </c>
      <c r="AM24" s="507">
        <f>Port[[#This Row],[EAD_Interest (THB)]]*Port[[#This Row],[PD_avg]]</f>
        <v>54.425638400855377</v>
      </c>
      <c r="AN24" s="507">
        <f>Port[[#This Row],[EAD (THB)]]*Port[[#This Row],[LGD_avg]]</f>
        <v>1476310.7863872</v>
      </c>
      <c r="AO24" s="507">
        <f>Port[[#This Row],[EAD_Interest (THB)]]*Port[[#This Row],[LGD_avg]]</f>
        <v>1593.1892591999999</v>
      </c>
      <c r="AP24" s="507">
        <f>Port[[#This Row],[EAD_Drawn (THB)]]+Port[[#This Row],[EAD_Interest (THB)]]</f>
        <v>1642115.528496</v>
      </c>
      <c r="AQ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24605.179773119999</v>
      </c>
      <c r="AR24" s="522">
        <f>MAX(Port[[#This Row],[ECL (THB)]]+Port[[#This Row],[ECL_Interest (THB)]], Port[[#This Row],[ECL CBIRC (THB)]])</f>
        <v>45438.594451168137</v>
      </c>
    </row>
    <row r="25" spans="1:44">
      <c r="A25" s="2" t="s">
        <v>33</v>
      </c>
      <c r="B25" s="2" t="s">
        <v>29</v>
      </c>
      <c r="C25" s="2" t="s">
        <v>17</v>
      </c>
      <c r="D25" s="2" t="s">
        <v>30</v>
      </c>
      <c r="E25" s="2" t="s">
        <v>19</v>
      </c>
      <c r="F25" s="2" t="s">
        <v>20</v>
      </c>
      <c r="G25" s="2" t="s">
        <v>21</v>
      </c>
      <c r="H25">
        <v>1</v>
      </c>
      <c r="I25" s="2" t="s">
        <v>526</v>
      </c>
      <c r="J25" s="505">
        <v>3.0745295499522811E-2</v>
      </c>
      <c r="K25" s="505">
        <v>0.90000000000000036</v>
      </c>
      <c r="L25" s="3">
        <v>1</v>
      </c>
      <c r="M25" s="3">
        <v>5.2488000000000001</v>
      </c>
      <c r="N25" s="507">
        <v>10384.64</v>
      </c>
      <c r="O25" s="507">
        <v>0</v>
      </c>
      <c r="P25" s="507">
        <v>10384.64</v>
      </c>
      <c r="Q25" s="507">
        <v>11.21</v>
      </c>
      <c r="R25" s="507">
        <v>287.35094291054816</v>
      </c>
      <c r="S25" s="507">
        <v>0</v>
      </c>
      <c r="T25" s="507">
        <v>287.35094291054816</v>
      </c>
      <c r="U25" s="507">
        <v>0.31018928629468567</v>
      </c>
      <c r="V25" s="507">
        <f>Port[[#This Row],[EAD_Drawn (CNY)]]*Port[[#This Row],[CNY -&gt; FCY]]</f>
        <v>10384.64</v>
      </c>
      <c r="W25" s="507">
        <f>Port[[#This Row],[EAD_Undrawn (CNY)]]*Port[[#This Row],[CNY -&gt; FCY]]</f>
        <v>0</v>
      </c>
      <c r="X25" s="507">
        <f>Port[[#This Row],[EAD (CNY)]]*Port[[#This Row],[CNY -&gt; FCY]]</f>
        <v>10384.64</v>
      </c>
      <c r="Y25" s="507">
        <f>Port[[#This Row],[EAD_Interest (CNY)]]*Port[[#This Row],[CNY -&gt; FCY]]</f>
        <v>11.21</v>
      </c>
      <c r="Z25" s="507">
        <f>Port[[#This Row],[ECL_Drawn (CNY)]]*Port[[#This Row],[CNY -&gt; FCY]]</f>
        <v>287.35094291054816</v>
      </c>
      <c r="AA25" s="507">
        <f>Port[[#This Row],[ECL_Undrawn (CNY)]]*Port[[#This Row],[CNY -&gt; FCY]]</f>
        <v>0</v>
      </c>
      <c r="AB25" s="507">
        <f>Port[[#This Row],[ECL (CNY)]]*Port[[#This Row],[CNY -&gt; FCY]]</f>
        <v>287.35094291054816</v>
      </c>
      <c r="AC25" s="507">
        <f>Port[[#This Row],[ECL_Interest (CNY)]]*Port[[#This Row],[CNY -&gt; FCY]]</f>
        <v>0.31018928629468567</v>
      </c>
      <c r="AD25" s="507">
        <f>Port[[#This Row],[EAD_Drawn (CNY)]]*Port[[#This Row],[CNY -&gt; THB]]</f>
        <v>54506.898432000002</v>
      </c>
      <c r="AE25" s="507">
        <f>Port[[#This Row],[EAD_Undrawn (CNY)]]*Port[[#This Row],[CNY -&gt; THB]]</f>
        <v>0</v>
      </c>
      <c r="AF25" s="507">
        <f>Port[[#This Row],[EAD (CNY)]]*Port[[#This Row],[CNY -&gt; THB]]</f>
        <v>54506.898432000002</v>
      </c>
      <c r="AG25" s="507">
        <f>Port[[#This Row],[EAD_Interest (CNY)]]*Port[[#This Row],[CNY -&gt; THB]]</f>
        <v>58.839048000000005</v>
      </c>
      <c r="AH25" s="507">
        <f>Port[[#This Row],[ECL_Drawn (CNY)]]*Port[[#This Row],[CNY -&gt; THB]]</f>
        <v>1508.2476291488852</v>
      </c>
      <c r="AI25" s="507">
        <f>Port[[#This Row],[ECL_Undrawn (CNY)]]*Port[[#This Row],[CNY -&gt; THB]]</f>
        <v>0</v>
      </c>
      <c r="AJ25" s="507">
        <f>Port[[#This Row],[ECL (CNY)]]*Port[[#This Row],[CNY -&gt; THB]]</f>
        <v>1508.2476291488852</v>
      </c>
      <c r="AK25" s="507">
        <f>Port[[#This Row],[ECL_Interest (CNY)]]*Port[[#This Row],[CNY -&gt; THB]]</f>
        <v>1.6281215259035462</v>
      </c>
      <c r="AL25" s="507">
        <f>Port[[#This Row],[EAD (THB)]]*Port[[#This Row],[PD_avg]]</f>
        <v>1675.8306990543167</v>
      </c>
      <c r="AM25" s="507">
        <f>Port[[#This Row],[EAD_Interest (THB)]]*Port[[#This Row],[PD_avg]]</f>
        <v>1.8090239176706069</v>
      </c>
      <c r="AN25" s="507">
        <f>Port[[#This Row],[EAD (THB)]]*Port[[#This Row],[LGD_avg]]</f>
        <v>49056.208588800022</v>
      </c>
      <c r="AO25" s="507">
        <f>Port[[#This Row],[EAD_Interest (THB)]]*Port[[#This Row],[LGD_avg]]</f>
        <v>52.955143200000023</v>
      </c>
      <c r="AP25" s="507">
        <f>Port[[#This Row],[EAD_Drawn (THB)]]+Port[[#This Row],[EAD_Interest (THB)]]</f>
        <v>54565.737480000003</v>
      </c>
      <c r="AQ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817.60347648000004</v>
      </c>
      <c r="AR25" s="522">
        <f>MAX(Port[[#This Row],[ECL (THB)]]+Port[[#This Row],[ECL_Interest (THB)]], Port[[#This Row],[ECL CBIRC (THB)]])</f>
        <v>1509.8757506747886</v>
      </c>
    </row>
    <row r="26" spans="1:44">
      <c r="A26" s="2" t="s">
        <v>34</v>
      </c>
      <c r="B26" s="2" t="s">
        <v>29</v>
      </c>
      <c r="C26" s="2" t="s">
        <v>17</v>
      </c>
      <c r="D26" s="2" t="s">
        <v>30</v>
      </c>
      <c r="E26" s="2" t="s">
        <v>19</v>
      </c>
      <c r="F26" s="2" t="s">
        <v>20</v>
      </c>
      <c r="G26" s="2" t="s">
        <v>21</v>
      </c>
      <c r="H26">
        <v>1</v>
      </c>
      <c r="I26" s="2" t="s">
        <v>526</v>
      </c>
      <c r="J26" s="505">
        <v>3.0745295499522811E-2</v>
      </c>
      <c r="K26" s="505">
        <v>0.90000000000000013</v>
      </c>
      <c r="L26" s="3">
        <v>1</v>
      </c>
      <c r="M26" s="3">
        <v>5.2488000000000001</v>
      </c>
      <c r="N26" s="507">
        <v>22892.32</v>
      </c>
      <c r="O26" s="507">
        <v>0</v>
      </c>
      <c r="P26" s="507">
        <v>22892.32</v>
      </c>
      <c r="Q26" s="507">
        <v>24.7</v>
      </c>
      <c r="R26" s="507">
        <v>633.44802876267249</v>
      </c>
      <c r="S26" s="507">
        <v>0</v>
      </c>
      <c r="T26" s="507">
        <v>633.44802876267249</v>
      </c>
      <c r="U26" s="507">
        <v>0.68346791895439218</v>
      </c>
      <c r="V26" s="507">
        <f>Port[[#This Row],[EAD_Drawn (CNY)]]*Port[[#This Row],[CNY -&gt; FCY]]</f>
        <v>22892.32</v>
      </c>
      <c r="W26" s="507">
        <f>Port[[#This Row],[EAD_Undrawn (CNY)]]*Port[[#This Row],[CNY -&gt; FCY]]</f>
        <v>0</v>
      </c>
      <c r="X26" s="507">
        <f>Port[[#This Row],[EAD (CNY)]]*Port[[#This Row],[CNY -&gt; FCY]]</f>
        <v>22892.32</v>
      </c>
      <c r="Y26" s="507">
        <f>Port[[#This Row],[EAD_Interest (CNY)]]*Port[[#This Row],[CNY -&gt; FCY]]</f>
        <v>24.7</v>
      </c>
      <c r="Z26" s="507">
        <f>Port[[#This Row],[ECL_Drawn (CNY)]]*Port[[#This Row],[CNY -&gt; FCY]]</f>
        <v>633.44802876267249</v>
      </c>
      <c r="AA26" s="507">
        <f>Port[[#This Row],[ECL_Undrawn (CNY)]]*Port[[#This Row],[CNY -&gt; FCY]]</f>
        <v>0</v>
      </c>
      <c r="AB26" s="507">
        <f>Port[[#This Row],[ECL (CNY)]]*Port[[#This Row],[CNY -&gt; FCY]]</f>
        <v>633.44802876267249</v>
      </c>
      <c r="AC26" s="507">
        <f>Port[[#This Row],[ECL_Interest (CNY)]]*Port[[#This Row],[CNY -&gt; FCY]]</f>
        <v>0.68346791895439218</v>
      </c>
      <c r="AD26" s="507">
        <f>Port[[#This Row],[EAD_Drawn (CNY)]]*Port[[#This Row],[CNY -&gt; THB]]</f>
        <v>120157.209216</v>
      </c>
      <c r="AE26" s="507">
        <f>Port[[#This Row],[EAD_Undrawn (CNY)]]*Port[[#This Row],[CNY -&gt; THB]]</f>
        <v>0</v>
      </c>
      <c r="AF26" s="507">
        <f>Port[[#This Row],[EAD (CNY)]]*Port[[#This Row],[CNY -&gt; THB]]</f>
        <v>120157.209216</v>
      </c>
      <c r="AG26" s="507">
        <f>Port[[#This Row],[EAD_Interest (CNY)]]*Port[[#This Row],[CNY -&gt; THB]]</f>
        <v>129.64536000000001</v>
      </c>
      <c r="AH26" s="507">
        <f>Port[[#This Row],[ECL_Drawn (CNY)]]*Port[[#This Row],[CNY -&gt; THB]]</f>
        <v>3324.8420133695154</v>
      </c>
      <c r="AI26" s="507">
        <f>Port[[#This Row],[ECL_Undrawn (CNY)]]*Port[[#This Row],[CNY -&gt; THB]]</f>
        <v>0</v>
      </c>
      <c r="AJ26" s="507">
        <f>Port[[#This Row],[ECL (CNY)]]*Port[[#This Row],[CNY -&gt; THB]]</f>
        <v>3324.8420133695154</v>
      </c>
      <c r="AK26" s="507">
        <f>Port[[#This Row],[ECL_Interest (CNY)]]*Port[[#This Row],[CNY -&gt; THB]]</f>
        <v>3.5873864130078137</v>
      </c>
      <c r="AL26" s="507">
        <f>Port[[#This Row],[EAD (THB)]]*Port[[#This Row],[PD_avg]]</f>
        <v>3694.2689037439059</v>
      </c>
      <c r="AM26" s="507">
        <f>Port[[#This Row],[EAD_Interest (THB)]]*Port[[#This Row],[PD_avg]]</f>
        <v>3.9859849033420152</v>
      </c>
      <c r="AN26" s="507">
        <f>Port[[#This Row],[EAD (THB)]]*Port[[#This Row],[LGD_avg]]</f>
        <v>108141.48829440001</v>
      </c>
      <c r="AO26" s="507">
        <f>Port[[#This Row],[EAD_Interest (THB)]]*Port[[#This Row],[LGD_avg]]</f>
        <v>116.68082400000003</v>
      </c>
      <c r="AP26" s="507">
        <f>Port[[#This Row],[EAD_Drawn (THB)]]+Port[[#This Row],[EAD_Interest (THB)]]</f>
        <v>120286.854576</v>
      </c>
      <c r="AQ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1802.35813824</v>
      </c>
      <c r="AR26" s="522">
        <f>MAX(Port[[#This Row],[ECL (THB)]]+Port[[#This Row],[ECL_Interest (THB)]], Port[[#This Row],[ECL CBIRC (THB)]])</f>
        <v>3328.429399782523</v>
      </c>
    </row>
    <row r="27" spans="1:44">
      <c r="A27" s="2" t="s">
        <v>35</v>
      </c>
      <c r="B27" s="2" t="s">
        <v>29</v>
      </c>
      <c r="C27" s="2" t="s">
        <v>17</v>
      </c>
      <c r="D27" s="2" t="s">
        <v>30</v>
      </c>
      <c r="E27" s="2" t="s">
        <v>19</v>
      </c>
      <c r="F27" s="2" t="s">
        <v>20</v>
      </c>
      <c r="G27" s="2" t="s">
        <v>21</v>
      </c>
      <c r="H27">
        <v>1</v>
      </c>
      <c r="I27" s="2" t="s">
        <v>526</v>
      </c>
      <c r="J27" s="505">
        <v>3.0745295499522811E-2</v>
      </c>
      <c r="K27" s="505">
        <v>0.90000000000000013</v>
      </c>
      <c r="L27" s="3">
        <v>1</v>
      </c>
      <c r="M27" s="3">
        <v>5.2488000000000001</v>
      </c>
      <c r="N27" s="507">
        <v>31634.639999999999</v>
      </c>
      <c r="O27" s="507">
        <v>0</v>
      </c>
      <c r="P27" s="507">
        <v>31634.639999999999</v>
      </c>
      <c r="Q27" s="507">
        <v>34.14</v>
      </c>
      <c r="R27" s="507">
        <v>875.354719338922</v>
      </c>
      <c r="S27" s="507">
        <v>0</v>
      </c>
      <c r="T27" s="507">
        <v>875.354719338922</v>
      </c>
      <c r="U27" s="507">
        <v>0.944679949518338</v>
      </c>
      <c r="V27" s="507">
        <f>Port[[#This Row],[EAD_Drawn (CNY)]]*Port[[#This Row],[CNY -&gt; FCY]]</f>
        <v>31634.639999999999</v>
      </c>
      <c r="W27" s="507">
        <f>Port[[#This Row],[EAD_Undrawn (CNY)]]*Port[[#This Row],[CNY -&gt; FCY]]</f>
        <v>0</v>
      </c>
      <c r="X27" s="507">
        <f>Port[[#This Row],[EAD (CNY)]]*Port[[#This Row],[CNY -&gt; FCY]]</f>
        <v>31634.639999999999</v>
      </c>
      <c r="Y27" s="507">
        <f>Port[[#This Row],[EAD_Interest (CNY)]]*Port[[#This Row],[CNY -&gt; FCY]]</f>
        <v>34.14</v>
      </c>
      <c r="Z27" s="507">
        <f>Port[[#This Row],[ECL_Drawn (CNY)]]*Port[[#This Row],[CNY -&gt; FCY]]</f>
        <v>875.354719338922</v>
      </c>
      <c r="AA27" s="507">
        <f>Port[[#This Row],[ECL_Undrawn (CNY)]]*Port[[#This Row],[CNY -&gt; FCY]]</f>
        <v>0</v>
      </c>
      <c r="AB27" s="507">
        <f>Port[[#This Row],[ECL (CNY)]]*Port[[#This Row],[CNY -&gt; FCY]]</f>
        <v>875.354719338922</v>
      </c>
      <c r="AC27" s="507">
        <f>Port[[#This Row],[ECL_Interest (CNY)]]*Port[[#This Row],[CNY -&gt; FCY]]</f>
        <v>0.944679949518338</v>
      </c>
      <c r="AD27" s="507">
        <f>Port[[#This Row],[EAD_Drawn (CNY)]]*Port[[#This Row],[CNY -&gt; THB]]</f>
        <v>166043.89843199999</v>
      </c>
      <c r="AE27" s="507">
        <f>Port[[#This Row],[EAD_Undrawn (CNY)]]*Port[[#This Row],[CNY -&gt; THB]]</f>
        <v>0</v>
      </c>
      <c r="AF27" s="507">
        <f>Port[[#This Row],[EAD (CNY)]]*Port[[#This Row],[CNY -&gt; THB]]</f>
        <v>166043.89843199999</v>
      </c>
      <c r="AG27" s="507">
        <f>Port[[#This Row],[EAD_Interest (CNY)]]*Port[[#This Row],[CNY -&gt; THB]]</f>
        <v>179.19403200000002</v>
      </c>
      <c r="AH27" s="507">
        <f>Port[[#This Row],[ECL_Drawn (CNY)]]*Port[[#This Row],[CNY -&gt; THB]]</f>
        <v>4594.5618508661337</v>
      </c>
      <c r="AI27" s="507">
        <f>Port[[#This Row],[ECL_Undrawn (CNY)]]*Port[[#This Row],[CNY -&gt; THB]]</f>
        <v>0</v>
      </c>
      <c r="AJ27" s="507">
        <f>Port[[#This Row],[ECL (CNY)]]*Port[[#This Row],[CNY -&gt; THB]]</f>
        <v>4594.5618508661337</v>
      </c>
      <c r="AK27" s="507">
        <f>Port[[#This Row],[ECL_Interest (CNY)]]*Port[[#This Row],[CNY -&gt; THB]]</f>
        <v>4.9584361190318527</v>
      </c>
      <c r="AL27" s="507">
        <f>Port[[#This Row],[EAD (THB)]]*Port[[#This Row],[PD_avg]]</f>
        <v>5105.0687231845923</v>
      </c>
      <c r="AM27" s="507">
        <f>Port[[#This Row],[EAD_Interest (THB)]]*Port[[#This Row],[PD_avg]]</f>
        <v>5.5093734655909472</v>
      </c>
      <c r="AN27" s="507">
        <f>Port[[#This Row],[EAD (THB)]]*Port[[#This Row],[LGD_avg]]</f>
        <v>149439.5085888</v>
      </c>
      <c r="AO27" s="507">
        <f>Port[[#This Row],[EAD_Interest (THB)]]*Port[[#This Row],[LGD_avg]]</f>
        <v>161.27462880000004</v>
      </c>
      <c r="AP27" s="507">
        <f>Port[[#This Row],[EAD_Drawn (THB)]]+Port[[#This Row],[EAD_Interest (THB)]]</f>
        <v>166223.09246399999</v>
      </c>
      <c r="AQ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2490.6584764799995</v>
      </c>
      <c r="AR27" s="522">
        <f>MAX(Port[[#This Row],[ECL (THB)]]+Port[[#This Row],[ECL_Interest (THB)]], Port[[#This Row],[ECL CBIRC (THB)]])</f>
        <v>4599.5202869851655</v>
      </c>
    </row>
    <row r="28" spans="1:44">
      <c r="A28" s="2" t="s">
        <v>36</v>
      </c>
      <c r="B28" s="2" t="s">
        <v>29</v>
      </c>
      <c r="C28" s="2" t="s">
        <v>17</v>
      </c>
      <c r="D28" s="2" t="s">
        <v>30</v>
      </c>
      <c r="E28" s="2" t="s">
        <v>19</v>
      </c>
      <c r="F28" s="2" t="s">
        <v>20</v>
      </c>
      <c r="G28" s="2" t="s">
        <v>21</v>
      </c>
      <c r="H28">
        <v>1</v>
      </c>
      <c r="I28" s="2" t="s">
        <v>526</v>
      </c>
      <c r="J28" s="505">
        <v>3.0745295499522811E-2</v>
      </c>
      <c r="K28" s="505">
        <v>0.9</v>
      </c>
      <c r="L28" s="3">
        <v>1</v>
      </c>
      <c r="M28" s="3">
        <v>5.2488000000000001</v>
      </c>
      <c r="N28" s="507">
        <v>646153.84</v>
      </c>
      <c r="O28" s="507">
        <v>0</v>
      </c>
      <c r="P28" s="507">
        <v>646153.84</v>
      </c>
      <c r="Q28" s="507">
        <v>697.31</v>
      </c>
      <c r="R28" s="507">
        <v>17879.571674056246</v>
      </c>
      <c r="S28" s="507">
        <v>0</v>
      </c>
      <c r="T28" s="507">
        <v>17879.571674056246</v>
      </c>
      <c r="U28" s="507">
        <v>19.295101804295026</v>
      </c>
      <c r="V28" s="507">
        <f>Port[[#This Row],[EAD_Drawn (CNY)]]*Port[[#This Row],[CNY -&gt; FCY]]</f>
        <v>646153.84</v>
      </c>
      <c r="W28" s="507">
        <f>Port[[#This Row],[EAD_Undrawn (CNY)]]*Port[[#This Row],[CNY -&gt; FCY]]</f>
        <v>0</v>
      </c>
      <c r="X28" s="507">
        <f>Port[[#This Row],[EAD (CNY)]]*Port[[#This Row],[CNY -&gt; FCY]]</f>
        <v>646153.84</v>
      </c>
      <c r="Y28" s="507">
        <f>Port[[#This Row],[EAD_Interest (CNY)]]*Port[[#This Row],[CNY -&gt; FCY]]</f>
        <v>697.31</v>
      </c>
      <c r="Z28" s="507">
        <f>Port[[#This Row],[ECL_Drawn (CNY)]]*Port[[#This Row],[CNY -&gt; FCY]]</f>
        <v>17879.571674056246</v>
      </c>
      <c r="AA28" s="507">
        <f>Port[[#This Row],[ECL_Undrawn (CNY)]]*Port[[#This Row],[CNY -&gt; FCY]]</f>
        <v>0</v>
      </c>
      <c r="AB28" s="507">
        <f>Port[[#This Row],[ECL (CNY)]]*Port[[#This Row],[CNY -&gt; FCY]]</f>
        <v>17879.571674056246</v>
      </c>
      <c r="AC28" s="507">
        <f>Port[[#This Row],[ECL_Interest (CNY)]]*Port[[#This Row],[CNY -&gt; FCY]]</f>
        <v>19.295101804295026</v>
      </c>
      <c r="AD28" s="507">
        <f>Port[[#This Row],[EAD_Drawn (CNY)]]*Port[[#This Row],[CNY -&gt; THB]]</f>
        <v>3391532.2753920001</v>
      </c>
      <c r="AE28" s="507">
        <f>Port[[#This Row],[EAD_Undrawn (CNY)]]*Port[[#This Row],[CNY -&gt; THB]]</f>
        <v>0</v>
      </c>
      <c r="AF28" s="507">
        <f>Port[[#This Row],[EAD (CNY)]]*Port[[#This Row],[CNY -&gt; THB]]</f>
        <v>3391532.2753920001</v>
      </c>
      <c r="AG28" s="507">
        <f>Port[[#This Row],[EAD_Interest (CNY)]]*Port[[#This Row],[CNY -&gt; THB]]</f>
        <v>3660.0407279999999</v>
      </c>
      <c r="AH28" s="507">
        <f>Port[[#This Row],[ECL_Drawn (CNY)]]*Port[[#This Row],[CNY -&gt; THB]]</f>
        <v>93846.295802786422</v>
      </c>
      <c r="AI28" s="507">
        <f>Port[[#This Row],[ECL_Undrawn (CNY)]]*Port[[#This Row],[CNY -&gt; THB]]</f>
        <v>0</v>
      </c>
      <c r="AJ28" s="507">
        <f>Port[[#This Row],[ECL (CNY)]]*Port[[#This Row],[CNY -&gt; THB]]</f>
        <v>93846.295802786422</v>
      </c>
      <c r="AK28" s="507">
        <f>Port[[#This Row],[ECL_Interest (CNY)]]*Port[[#This Row],[CNY -&gt; THB]]</f>
        <v>101.27613035038374</v>
      </c>
      <c r="AL28" s="507">
        <f>Port[[#This Row],[EAD (THB)]]*Port[[#This Row],[PD_avg]]</f>
        <v>104273.66200309602</v>
      </c>
      <c r="AM28" s="507">
        <f>Port[[#This Row],[EAD_Interest (THB)]]*Port[[#This Row],[PD_avg]]</f>
        <v>112.52903372264859</v>
      </c>
      <c r="AN28" s="507">
        <f>Port[[#This Row],[EAD (THB)]]*Port[[#This Row],[LGD_avg]]</f>
        <v>3052379.0478528002</v>
      </c>
      <c r="AO28" s="507">
        <f>Port[[#This Row],[EAD_Interest (THB)]]*Port[[#This Row],[LGD_avg]]</f>
        <v>3294.0366552</v>
      </c>
      <c r="AP28" s="507">
        <f>Port[[#This Row],[EAD_Drawn (THB)]]+Port[[#This Row],[EAD_Interest (THB)]]</f>
        <v>3395192.3161200001</v>
      </c>
      <c r="AQ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50872.984130880002</v>
      </c>
      <c r="AR28" s="522">
        <f>MAX(Port[[#This Row],[ECL (THB)]]+Port[[#This Row],[ECL_Interest (THB)]], Port[[#This Row],[ECL CBIRC (THB)]])</f>
        <v>93947.571933136802</v>
      </c>
    </row>
    <row r="29" spans="1:44">
      <c r="A29" s="2" t="s">
        <v>37</v>
      </c>
      <c r="B29" s="2" t="s">
        <v>29</v>
      </c>
      <c r="C29" s="2" t="s">
        <v>17</v>
      </c>
      <c r="D29" s="2" t="s">
        <v>30</v>
      </c>
      <c r="E29" s="2" t="s">
        <v>19</v>
      </c>
      <c r="F29" s="2" t="s">
        <v>20</v>
      </c>
      <c r="G29" s="2" t="s">
        <v>21</v>
      </c>
      <c r="H29">
        <v>1</v>
      </c>
      <c r="I29" s="2" t="s">
        <v>526</v>
      </c>
      <c r="J29" s="505">
        <v>3.0745295499522811E-2</v>
      </c>
      <c r="K29" s="505">
        <v>0.9</v>
      </c>
      <c r="L29" s="3">
        <v>1</v>
      </c>
      <c r="M29" s="3">
        <v>5.2488000000000001</v>
      </c>
      <c r="N29" s="507">
        <v>18630.8</v>
      </c>
      <c r="O29" s="507">
        <v>0</v>
      </c>
      <c r="P29" s="507">
        <v>18630.8</v>
      </c>
      <c r="Q29" s="507">
        <v>20.11</v>
      </c>
      <c r="R29" s="507">
        <v>515.52850625325868</v>
      </c>
      <c r="S29" s="507">
        <v>0</v>
      </c>
      <c r="T29" s="507">
        <v>515.52850625325868</v>
      </c>
      <c r="U29" s="507">
        <v>0.55645910324586345</v>
      </c>
      <c r="V29" s="507">
        <f>Port[[#This Row],[EAD_Drawn (CNY)]]*Port[[#This Row],[CNY -&gt; FCY]]</f>
        <v>18630.8</v>
      </c>
      <c r="W29" s="507">
        <f>Port[[#This Row],[EAD_Undrawn (CNY)]]*Port[[#This Row],[CNY -&gt; FCY]]</f>
        <v>0</v>
      </c>
      <c r="X29" s="507">
        <f>Port[[#This Row],[EAD (CNY)]]*Port[[#This Row],[CNY -&gt; FCY]]</f>
        <v>18630.8</v>
      </c>
      <c r="Y29" s="507">
        <f>Port[[#This Row],[EAD_Interest (CNY)]]*Port[[#This Row],[CNY -&gt; FCY]]</f>
        <v>20.11</v>
      </c>
      <c r="Z29" s="507">
        <f>Port[[#This Row],[ECL_Drawn (CNY)]]*Port[[#This Row],[CNY -&gt; FCY]]</f>
        <v>515.52850625325868</v>
      </c>
      <c r="AA29" s="507">
        <f>Port[[#This Row],[ECL_Undrawn (CNY)]]*Port[[#This Row],[CNY -&gt; FCY]]</f>
        <v>0</v>
      </c>
      <c r="AB29" s="507">
        <f>Port[[#This Row],[ECL (CNY)]]*Port[[#This Row],[CNY -&gt; FCY]]</f>
        <v>515.52850625325868</v>
      </c>
      <c r="AC29" s="507">
        <f>Port[[#This Row],[ECL_Interest (CNY)]]*Port[[#This Row],[CNY -&gt; FCY]]</f>
        <v>0.55645910324586345</v>
      </c>
      <c r="AD29" s="507">
        <f>Port[[#This Row],[EAD_Drawn (CNY)]]*Port[[#This Row],[CNY -&gt; THB]]</f>
        <v>97789.343039999992</v>
      </c>
      <c r="AE29" s="507">
        <f>Port[[#This Row],[EAD_Undrawn (CNY)]]*Port[[#This Row],[CNY -&gt; THB]]</f>
        <v>0</v>
      </c>
      <c r="AF29" s="507">
        <f>Port[[#This Row],[EAD (CNY)]]*Port[[#This Row],[CNY -&gt; THB]]</f>
        <v>97789.343039999992</v>
      </c>
      <c r="AG29" s="507">
        <f>Port[[#This Row],[EAD_Interest (CNY)]]*Port[[#This Row],[CNY -&gt; THB]]</f>
        <v>105.55336800000001</v>
      </c>
      <c r="AH29" s="507">
        <f>Port[[#This Row],[ECL_Drawn (CNY)]]*Port[[#This Row],[CNY -&gt; THB]]</f>
        <v>2705.9060236221044</v>
      </c>
      <c r="AI29" s="507">
        <f>Port[[#This Row],[ECL_Undrawn (CNY)]]*Port[[#This Row],[CNY -&gt; THB]]</f>
        <v>0</v>
      </c>
      <c r="AJ29" s="507">
        <f>Port[[#This Row],[ECL (CNY)]]*Port[[#This Row],[CNY -&gt; THB]]</f>
        <v>2705.9060236221044</v>
      </c>
      <c r="AK29" s="507">
        <f>Port[[#This Row],[ECL_Interest (CNY)]]*Port[[#This Row],[CNY -&gt; THB]]</f>
        <v>2.9207425411168884</v>
      </c>
      <c r="AL29" s="507">
        <f>Port[[#This Row],[EAD (THB)]]*Port[[#This Row],[PD_avg]]</f>
        <v>3006.5622484690039</v>
      </c>
      <c r="AM29" s="507">
        <f>Port[[#This Row],[EAD_Interest (THB)]]*Port[[#This Row],[PD_avg]]</f>
        <v>3.2452694901298753</v>
      </c>
      <c r="AN29" s="507">
        <f>Port[[#This Row],[EAD (THB)]]*Port[[#This Row],[LGD_avg]]</f>
        <v>88010.408735999998</v>
      </c>
      <c r="AO29" s="507">
        <f>Port[[#This Row],[EAD_Interest (THB)]]*Port[[#This Row],[LGD_avg]]</f>
        <v>94.998031200000014</v>
      </c>
      <c r="AP29" s="507">
        <f>Port[[#This Row],[EAD_Drawn (THB)]]+Port[[#This Row],[EAD_Interest (THB)]]</f>
        <v>97894.896407999986</v>
      </c>
      <c r="AQ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1466.8401455999999</v>
      </c>
      <c r="AR29" s="522">
        <f>MAX(Port[[#This Row],[ECL (THB)]]+Port[[#This Row],[ECL_Interest (THB)]], Port[[#This Row],[ECL CBIRC (THB)]])</f>
        <v>2708.8267661632212</v>
      </c>
    </row>
    <row r="30" spans="1:44">
      <c r="A30" s="2" t="s">
        <v>38</v>
      </c>
      <c r="B30" s="2" t="s">
        <v>29</v>
      </c>
      <c r="C30" s="2" t="s">
        <v>17</v>
      </c>
      <c r="D30" s="2" t="s">
        <v>30</v>
      </c>
      <c r="E30" s="2" t="s">
        <v>19</v>
      </c>
      <c r="F30" s="2" t="s">
        <v>20</v>
      </c>
      <c r="G30" s="2" t="s">
        <v>21</v>
      </c>
      <c r="H30">
        <v>1</v>
      </c>
      <c r="I30" s="2" t="s">
        <v>526</v>
      </c>
      <c r="J30" s="505">
        <v>3.0745295499522811E-2</v>
      </c>
      <c r="K30" s="505">
        <v>0.9</v>
      </c>
      <c r="L30" s="3">
        <v>1</v>
      </c>
      <c r="M30" s="3">
        <v>5.2488000000000001</v>
      </c>
      <c r="N30" s="507">
        <v>51822.94</v>
      </c>
      <c r="O30" s="507">
        <v>0</v>
      </c>
      <c r="P30" s="507">
        <v>51822.94</v>
      </c>
      <c r="Q30" s="507">
        <v>55.93</v>
      </c>
      <c r="R30" s="507">
        <v>1433.9804435586366</v>
      </c>
      <c r="S30" s="507">
        <v>0</v>
      </c>
      <c r="T30" s="507">
        <v>1433.9804435586366</v>
      </c>
      <c r="U30" s="507">
        <v>1.5476259395594796</v>
      </c>
      <c r="V30" s="507">
        <f>Port[[#This Row],[EAD_Drawn (CNY)]]*Port[[#This Row],[CNY -&gt; FCY]]</f>
        <v>51822.94</v>
      </c>
      <c r="W30" s="507">
        <f>Port[[#This Row],[EAD_Undrawn (CNY)]]*Port[[#This Row],[CNY -&gt; FCY]]</f>
        <v>0</v>
      </c>
      <c r="X30" s="507">
        <f>Port[[#This Row],[EAD (CNY)]]*Port[[#This Row],[CNY -&gt; FCY]]</f>
        <v>51822.94</v>
      </c>
      <c r="Y30" s="507">
        <f>Port[[#This Row],[EAD_Interest (CNY)]]*Port[[#This Row],[CNY -&gt; FCY]]</f>
        <v>55.93</v>
      </c>
      <c r="Z30" s="507">
        <f>Port[[#This Row],[ECL_Drawn (CNY)]]*Port[[#This Row],[CNY -&gt; FCY]]</f>
        <v>1433.9804435586366</v>
      </c>
      <c r="AA30" s="507">
        <f>Port[[#This Row],[ECL_Undrawn (CNY)]]*Port[[#This Row],[CNY -&gt; FCY]]</f>
        <v>0</v>
      </c>
      <c r="AB30" s="507">
        <f>Port[[#This Row],[ECL (CNY)]]*Port[[#This Row],[CNY -&gt; FCY]]</f>
        <v>1433.9804435586366</v>
      </c>
      <c r="AC30" s="507">
        <f>Port[[#This Row],[ECL_Interest (CNY)]]*Port[[#This Row],[CNY -&gt; FCY]]</f>
        <v>1.5476259395594796</v>
      </c>
      <c r="AD30" s="507">
        <f>Port[[#This Row],[EAD_Drawn (CNY)]]*Port[[#This Row],[CNY -&gt; THB]]</f>
        <v>272008.24747200002</v>
      </c>
      <c r="AE30" s="507">
        <f>Port[[#This Row],[EAD_Undrawn (CNY)]]*Port[[#This Row],[CNY -&gt; THB]]</f>
        <v>0</v>
      </c>
      <c r="AF30" s="507">
        <f>Port[[#This Row],[EAD (CNY)]]*Port[[#This Row],[CNY -&gt; THB]]</f>
        <v>272008.24747200002</v>
      </c>
      <c r="AG30" s="507">
        <f>Port[[#This Row],[EAD_Interest (CNY)]]*Port[[#This Row],[CNY -&gt; THB]]</f>
        <v>293.56538399999999</v>
      </c>
      <c r="AH30" s="507">
        <f>Port[[#This Row],[ECL_Drawn (CNY)]]*Port[[#This Row],[CNY -&gt; THB]]</f>
        <v>7526.6765521505722</v>
      </c>
      <c r="AI30" s="507">
        <f>Port[[#This Row],[ECL_Undrawn (CNY)]]*Port[[#This Row],[CNY -&gt; THB]]</f>
        <v>0</v>
      </c>
      <c r="AJ30" s="507">
        <f>Port[[#This Row],[ECL (CNY)]]*Port[[#This Row],[CNY -&gt; THB]]</f>
        <v>7526.6765521505722</v>
      </c>
      <c r="AK30" s="507">
        <f>Port[[#This Row],[ECL_Interest (CNY)]]*Port[[#This Row],[CNY -&gt; THB]]</f>
        <v>8.1231790315597969</v>
      </c>
      <c r="AL30" s="507">
        <f>Port[[#This Row],[EAD (THB)]]*Port[[#This Row],[PD_avg]]</f>
        <v>8362.9739468339685</v>
      </c>
      <c r="AM30" s="507">
        <f>Port[[#This Row],[EAD_Interest (THB)]]*Port[[#This Row],[PD_avg]]</f>
        <v>9.0257544795108853</v>
      </c>
      <c r="AN30" s="507">
        <f>Port[[#This Row],[EAD (THB)]]*Port[[#This Row],[LGD_avg]]</f>
        <v>244807.42272480001</v>
      </c>
      <c r="AO30" s="507">
        <f>Port[[#This Row],[EAD_Interest (THB)]]*Port[[#This Row],[LGD_avg]]</f>
        <v>264.20884560000002</v>
      </c>
      <c r="AP30" s="507">
        <f>Port[[#This Row],[EAD_Drawn (THB)]]+Port[[#This Row],[EAD_Interest (THB)]]</f>
        <v>272301.81285600003</v>
      </c>
      <c r="AQ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4080.1237120800001</v>
      </c>
      <c r="AR30" s="522">
        <f>MAX(Port[[#This Row],[ECL (THB)]]+Port[[#This Row],[ECL_Interest (THB)]], Port[[#This Row],[ECL CBIRC (THB)]])</f>
        <v>7534.7997311821318</v>
      </c>
    </row>
    <row r="31" spans="1:44">
      <c r="A31" s="2" t="s">
        <v>39</v>
      </c>
      <c r="B31" s="2" t="s">
        <v>29</v>
      </c>
      <c r="C31" s="2" t="s">
        <v>17</v>
      </c>
      <c r="D31" s="2" t="s">
        <v>30</v>
      </c>
      <c r="E31" s="2" t="s">
        <v>19</v>
      </c>
      <c r="F31" s="2" t="s">
        <v>20</v>
      </c>
      <c r="G31" s="2" t="s">
        <v>21</v>
      </c>
      <c r="H31">
        <v>1</v>
      </c>
      <c r="I31" s="2" t="s">
        <v>526</v>
      </c>
      <c r="J31" s="505">
        <v>3.0745295499522811E-2</v>
      </c>
      <c r="K31" s="505">
        <v>0.9</v>
      </c>
      <c r="L31" s="3">
        <v>1</v>
      </c>
      <c r="M31" s="3">
        <v>5.2488000000000001</v>
      </c>
      <c r="N31" s="507">
        <v>258461.55</v>
      </c>
      <c r="O31" s="507">
        <v>0</v>
      </c>
      <c r="P31" s="507">
        <v>258461.55</v>
      </c>
      <c r="Q31" s="507">
        <v>278.92</v>
      </c>
      <c r="R31" s="507">
        <v>7151.8290570132212</v>
      </c>
      <c r="S31" s="507">
        <v>0</v>
      </c>
      <c r="T31" s="507">
        <v>7151.8290570132212</v>
      </c>
      <c r="U31" s="507">
        <v>7.717930038654214</v>
      </c>
      <c r="V31" s="507">
        <f>Port[[#This Row],[EAD_Drawn (CNY)]]*Port[[#This Row],[CNY -&gt; FCY]]</f>
        <v>258461.55</v>
      </c>
      <c r="W31" s="507">
        <f>Port[[#This Row],[EAD_Undrawn (CNY)]]*Port[[#This Row],[CNY -&gt; FCY]]</f>
        <v>0</v>
      </c>
      <c r="X31" s="507">
        <f>Port[[#This Row],[EAD (CNY)]]*Port[[#This Row],[CNY -&gt; FCY]]</f>
        <v>258461.55</v>
      </c>
      <c r="Y31" s="507">
        <f>Port[[#This Row],[EAD_Interest (CNY)]]*Port[[#This Row],[CNY -&gt; FCY]]</f>
        <v>278.92</v>
      </c>
      <c r="Z31" s="507">
        <f>Port[[#This Row],[ECL_Drawn (CNY)]]*Port[[#This Row],[CNY -&gt; FCY]]</f>
        <v>7151.8290570132212</v>
      </c>
      <c r="AA31" s="507">
        <f>Port[[#This Row],[ECL_Undrawn (CNY)]]*Port[[#This Row],[CNY -&gt; FCY]]</f>
        <v>0</v>
      </c>
      <c r="AB31" s="507">
        <f>Port[[#This Row],[ECL (CNY)]]*Port[[#This Row],[CNY -&gt; FCY]]</f>
        <v>7151.8290570132212</v>
      </c>
      <c r="AC31" s="507">
        <f>Port[[#This Row],[ECL_Interest (CNY)]]*Port[[#This Row],[CNY -&gt; FCY]]</f>
        <v>7.717930038654214</v>
      </c>
      <c r="AD31" s="507">
        <f>Port[[#This Row],[EAD_Drawn (CNY)]]*Port[[#This Row],[CNY -&gt; THB]]</f>
        <v>1356612.98364</v>
      </c>
      <c r="AE31" s="507">
        <f>Port[[#This Row],[EAD_Undrawn (CNY)]]*Port[[#This Row],[CNY -&gt; THB]]</f>
        <v>0</v>
      </c>
      <c r="AF31" s="507">
        <f>Port[[#This Row],[EAD (CNY)]]*Port[[#This Row],[CNY -&gt; THB]]</f>
        <v>1356612.98364</v>
      </c>
      <c r="AG31" s="507">
        <f>Port[[#This Row],[EAD_Interest (CNY)]]*Port[[#This Row],[CNY -&gt; THB]]</f>
        <v>1463.9952960000001</v>
      </c>
      <c r="AH31" s="507">
        <f>Port[[#This Row],[ECL_Drawn (CNY)]]*Port[[#This Row],[CNY -&gt; THB]]</f>
        <v>37538.520354450993</v>
      </c>
      <c r="AI31" s="507">
        <f>Port[[#This Row],[ECL_Undrawn (CNY)]]*Port[[#This Row],[CNY -&gt; THB]]</f>
        <v>0</v>
      </c>
      <c r="AJ31" s="507">
        <f>Port[[#This Row],[ECL (CNY)]]*Port[[#This Row],[CNY -&gt; THB]]</f>
        <v>37538.520354450993</v>
      </c>
      <c r="AK31" s="507">
        <f>Port[[#This Row],[ECL_Interest (CNY)]]*Port[[#This Row],[CNY -&gt; THB]]</f>
        <v>40.50987118688824</v>
      </c>
      <c r="AL31" s="507">
        <f>Port[[#This Row],[EAD (THB)]]*Port[[#This Row],[PD_avg]]</f>
        <v>41709.467060501105</v>
      </c>
      <c r="AM31" s="507">
        <f>Port[[#This Row],[EAD_Interest (THB)]]*Port[[#This Row],[PD_avg]]</f>
        <v>45.010967985431364</v>
      </c>
      <c r="AN31" s="507">
        <f>Port[[#This Row],[EAD (THB)]]*Port[[#This Row],[LGD_avg]]</f>
        <v>1220951.6852760001</v>
      </c>
      <c r="AO31" s="507">
        <f>Port[[#This Row],[EAD_Interest (THB)]]*Port[[#This Row],[LGD_avg]]</f>
        <v>1317.5957664</v>
      </c>
      <c r="AP31" s="507">
        <f>Port[[#This Row],[EAD_Drawn (THB)]]+Port[[#This Row],[EAD_Interest (THB)]]</f>
        <v>1358076.978936</v>
      </c>
      <c r="AQ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20349.194754599997</v>
      </c>
      <c r="AR31" s="522">
        <f>MAX(Port[[#This Row],[ECL (THB)]]+Port[[#This Row],[ECL_Interest (THB)]], Port[[#This Row],[ECL CBIRC (THB)]])</f>
        <v>37579.030225637878</v>
      </c>
    </row>
    <row r="32" spans="1:44">
      <c r="A32" s="2" t="s">
        <v>40</v>
      </c>
      <c r="B32" s="2" t="s">
        <v>29</v>
      </c>
      <c r="C32" s="2" t="s">
        <v>17</v>
      </c>
      <c r="D32" s="2" t="s">
        <v>30</v>
      </c>
      <c r="E32" s="2" t="s">
        <v>19</v>
      </c>
      <c r="F32" s="2" t="s">
        <v>20</v>
      </c>
      <c r="G32" s="2" t="s">
        <v>21</v>
      </c>
      <c r="H32">
        <v>1</v>
      </c>
      <c r="I32" s="2" t="s">
        <v>526</v>
      </c>
      <c r="J32" s="505">
        <v>3.0745295499522811E-2</v>
      </c>
      <c r="K32" s="505">
        <v>0.9</v>
      </c>
      <c r="L32" s="3">
        <v>1</v>
      </c>
      <c r="M32" s="3">
        <v>5.2488000000000001</v>
      </c>
      <c r="N32" s="507">
        <v>64615.4</v>
      </c>
      <c r="O32" s="507">
        <v>0</v>
      </c>
      <c r="P32" s="507">
        <v>64615.4</v>
      </c>
      <c r="Q32" s="507">
        <v>69.73</v>
      </c>
      <c r="R32" s="507">
        <v>1787.9576101378798</v>
      </c>
      <c r="S32" s="507">
        <v>0</v>
      </c>
      <c r="T32" s="507">
        <v>1787.9576101378798</v>
      </c>
      <c r="U32" s="507">
        <v>1.9294825096635535</v>
      </c>
      <c r="V32" s="507">
        <f>Port[[#This Row],[EAD_Drawn (CNY)]]*Port[[#This Row],[CNY -&gt; FCY]]</f>
        <v>64615.4</v>
      </c>
      <c r="W32" s="507">
        <f>Port[[#This Row],[EAD_Undrawn (CNY)]]*Port[[#This Row],[CNY -&gt; FCY]]</f>
        <v>0</v>
      </c>
      <c r="X32" s="507">
        <f>Port[[#This Row],[EAD (CNY)]]*Port[[#This Row],[CNY -&gt; FCY]]</f>
        <v>64615.4</v>
      </c>
      <c r="Y32" s="507">
        <f>Port[[#This Row],[EAD_Interest (CNY)]]*Port[[#This Row],[CNY -&gt; FCY]]</f>
        <v>69.73</v>
      </c>
      <c r="Z32" s="507">
        <f>Port[[#This Row],[ECL_Drawn (CNY)]]*Port[[#This Row],[CNY -&gt; FCY]]</f>
        <v>1787.9576101378798</v>
      </c>
      <c r="AA32" s="507">
        <f>Port[[#This Row],[ECL_Undrawn (CNY)]]*Port[[#This Row],[CNY -&gt; FCY]]</f>
        <v>0</v>
      </c>
      <c r="AB32" s="507">
        <f>Port[[#This Row],[ECL (CNY)]]*Port[[#This Row],[CNY -&gt; FCY]]</f>
        <v>1787.9576101378798</v>
      </c>
      <c r="AC32" s="507">
        <f>Port[[#This Row],[ECL_Interest (CNY)]]*Port[[#This Row],[CNY -&gt; FCY]]</f>
        <v>1.9294825096635535</v>
      </c>
      <c r="AD32" s="507">
        <f>Port[[#This Row],[EAD_Drawn (CNY)]]*Port[[#This Row],[CNY -&gt; THB]]</f>
        <v>339153.31151999999</v>
      </c>
      <c r="AE32" s="507">
        <f>Port[[#This Row],[EAD_Undrawn (CNY)]]*Port[[#This Row],[CNY -&gt; THB]]</f>
        <v>0</v>
      </c>
      <c r="AF32" s="507">
        <f>Port[[#This Row],[EAD (CNY)]]*Port[[#This Row],[CNY -&gt; THB]]</f>
        <v>339153.31151999999</v>
      </c>
      <c r="AG32" s="507">
        <f>Port[[#This Row],[EAD_Interest (CNY)]]*Port[[#This Row],[CNY -&gt; THB]]</f>
        <v>365.99882400000001</v>
      </c>
      <c r="AH32" s="507">
        <f>Port[[#This Row],[ECL_Drawn (CNY)]]*Port[[#This Row],[CNY -&gt; THB]]</f>
        <v>9384.6319040917042</v>
      </c>
      <c r="AI32" s="507">
        <f>Port[[#This Row],[ECL_Undrawn (CNY)]]*Port[[#This Row],[CNY -&gt; THB]]</f>
        <v>0</v>
      </c>
      <c r="AJ32" s="507">
        <f>Port[[#This Row],[ECL (CNY)]]*Port[[#This Row],[CNY -&gt; THB]]</f>
        <v>9384.6319040917042</v>
      </c>
      <c r="AK32" s="507">
        <f>Port[[#This Row],[ECL_Interest (CNY)]]*Port[[#This Row],[CNY -&gt; THB]]</f>
        <v>10.12746779672206</v>
      </c>
      <c r="AL32" s="507">
        <f>Port[[#This Row],[EAD (THB)]]*Port[[#This Row],[PD_avg]]</f>
        <v>10427.368782324114</v>
      </c>
      <c r="AM32" s="507">
        <f>Port[[#This Row],[EAD_Interest (THB)]]*Port[[#This Row],[PD_avg]]</f>
        <v>11.252741996357841</v>
      </c>
      <c r="AN32" s="507">
        <f>Port[[#This Row],[EAD (THB)]]*Port[[#This Row],[LGD_avg]]</f>
        <v>305237.98036799999</v>
      </c>
      <c r="AO32" s="507">
        <f>Port[[#This Row],[EAD_Interest (THB)]]*Port[[#This Row],[LGD_avg]]</f>
        <v>329.3989416</v>
      </c>
      <c r="AP32" s="507">
        <f>Port[[#This Row],[EAD_Drawn (THB)]]+Port[[#This Row],[EAD_Interest (THB)]]</f>
        <v>339519.310344</v>
      </c>
      <c r="AQ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5087.2996727999998</v>
      </c>
      <c r="AR32" s="522">
        <f>MAX(Port[[#This Row],[ECL (THB)]]+Port[[#This Row],[ECL_Interest (THB)]], Port[[#This Row],[ECL CBIRC (THB)]])</f>
        <v>9394.7593718884254</v>
      </c>
    </row>
    <row r="33" spans="1:44">
      <c r="A33" s="2" t="s">
        <v>41</v>
      </c>
      <c r="B33" s="2" t="s">
        <v>29</v>
      </c>
      <c r="C33" s="2" t="s">
        <v>17</v>
      </c>
      <c r="D33" s="2" t="s">
        <v>30</v>
      </c>
      <c r="E33" s="2" t="s">
        <v>19</v>
      </c>
      <c r="F33" s="2" t="s">
        <v>20</v>
      </c>
      <c r="G33" s="2" t="s">
        <v>21</v>
      </c>
      <c r="H33">
        <v>1</v>
      </c>
      <c r="I33" s="2" t="s">
        <v>526</v>
      </c>
      <c r="J33" s="505">
        <v>3.0745295499522811E-2</v>
      </c>
      <c r="K33" s="505">
        <v>0.90000000000000013</v>
      </c>
      <c r="L33" s="3">
        <v>1</v>
      </c>
      <c r="M33" s="3">
        <v>5.2488000000000001</v>
      </c>
      <c r="N33" s="507">
        <v>70000</v>
      </c>
      <c r="O33" s="507">
        <v>0</v>
      </c>
      <c r="P33" s="507">
        <v>70000</v>
      </c>
      <c r="Q33" s="507">
        <v>75.540000000000006</v>
      </c>
      <c r="R33" s="507">
        <v>1936.9536164699371</v>
      </c>
      <c r="S33" s="507">
        <v>0</v>
      </c>
      <c r="T33" s="507">
        <v>1936.9536164699371</v>
      </c>
      <c r="U33" s="507">
        <v>2.0902496598305582</v>
      </c>
      <c r="V33" s="507">
        <f>Port[[#This Row],[EAD_Drawn (CNY)]]*Port[[#This Row],[CNY -&gt; FCY]]</f>
        <v>70000</v>
      </c>
      <c r="W33" s="507">
        <f>Port[[#This Row],[EAD_Undrawn (CNY)]]*Port[[#This Row],[CNY -&gt; FCY]]</f>
        <v>0</v>
      </c>
      <c r="X33" s="507">
        <f>Port[[#This Row],[EAD (CNY)]]*Port[[#This Row],[CNY -&gt; FCY]]</f>
        <v>70000</v>
      </c>
      <c r="Y33" s="507">
        <f>Port[[#This Row],[EAD_Interest (CNY)]]*Port[[#This Row],[CNY -&gt; FCY]]</f>
        <v>75.540000000000006</v>
      </c>
      <c r="Z33" s="507">
        <f>Port[[#This Row],[ECL_Drawn (CNY)]]*Port[[#This Row],[CNY -&gt; FCY]]</f>
        <v>1936.9536164699371</v>
      </c>
      <c r="AA33" s="507">
        <f>Port[[#This Row],[ECL_Undrawn (CNY)]]*Port[[#This Row],[CNY -&gt; FCY]]</f>
        <v>0</v>
      </c>
      <c r="AB33" s="507">
        <f>Port[[#This Row],[ECL (CNY)]]*Port[[#This Row],[CNY -&gt; FCY]]</f>
        <v>1936.9536164699371</v>
      </c>
      <c r="AC33" s="507">
        <f>Port[[#This Row],[ECL_Interest (CNY)]]*Port[[#This Row],[CNY -&gt; FCY]]</f>
        <v>2.0902496598305582</v>
      </c>
      <c r="AD33" s="507">
        <f>Port[[#This Row],[EAD_Drawn (CNY)]]*Port[[#This Row],[CNY -&gt; THB]]</f>
        <v>367416</v>
      </c>
      <c r="AE33" s="507">
        <f>Port[[#This Row],[EAD_Undrawn (CNY)]]*Port[[#This Row],[CNY -&gt; THB]]</f>
        <v>0</v>
      </c>
      <c r="AF33" s="507">
        <f>Port[[#This Row],[EAD (CNY)]]*Port[[#This Row],[CNY -&gt; THB]]</f>
        <v>367416</v>
      </c>
      <c r="AG33" s="507">
        <f>Port[[#This Row],[EAD_Interest (CNY)]]*Port[[#This Row],[CNY -&gt; THB]]</f>
        <v>396.49435200000005</v>
      </c>
      <c r="AH33" s="507">
        <f>Port[[#This Row],[ECL_Drawn (CNY)]]*Port[[#This Row],[CNY -&gt; THB]]</f>
        <v>10166.682142127405</v>
      </c>
      <c r="AI33" s="507">
        <f>Port[[#This Row],[ECL_Undrawn (CNY)]]*Port[[#This Row],[CNY -&gt; THB]]</f>
        <v>0</v>
      </c>
      <c r="AJ33" s="507">
        <f>Port[[#This Row],[ECL (CNY)]]*Port[[#This Row],[CNY -&gt; THB]]</f>
        <v>10166.682142127405</v>
      </c>
      <c r="AK33" s="507">
        <f>Port[[#This Row],[ECL_Interest (CNY)]]*Port[[#This Row],[CNY -&gt; THB]]</f>
        <v>10.971302414518634</v>
      </c>
      <c r="AL33" s="507">
        <f>Port[[#This Row],[EAD (THB)]]*Port[[#This Row],[PD_avg]]</f>
        <v>11296.313491252673</v>
      </c>
      <c r="AM33" s="507">
        <f>Port[[#This Row],[EAD_Interest (THB)]]*Port[[#This Row],[PD_avg]]</f>
        <v>12.190336016131814</v>
      </c>
      <c r="AN33" s="507">
        <f>Port[[#This Row],[EAD (THB)]]*Port[[#This Row],[LGD_avg]]</f>
        <v>330674.40000000002</v>
      </c>
      <c r="AO33" s="507">
        <f>Port[[#This Row],[EAD_Interest (THB)]]*Port[[#This Row],[LGD_avg]]</f>
        <v>356.84491680000008</v>
      </c>
      <c r="AP33" s="507">
        <f>Port[[#This Row],[EAD_Drawn (THB)]]+Port[[#This Row],[EAD_Interest (THB)]]</f>
        <v>367812.49435200001</v>
      </c>
      <c r="AQ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5511.24</v>
      </c>
      <c r="AR33" s="522">
        <f>MAX(Port[[#This Row],[ECL (THB)]]+Port[[#This Row],[ECL_Interest (THB)]], Port[[#This Row],[ECL CBIRC (THB)]])</f>
        <v>10177.653444541924</v>
      </c>
    </row>
    <row r="34" spans="1:44">
      <c r="A34" s="2" t="s">
        <v>43</v>
      </c>
      <c r="B34" s="2" t="s">
        <v>42</v>
      </c>
      <c r="C34" s="2" t="s">
        <v>17</v>
      </c>
      <c r="D34" s="2" t="s">
        <v>25</v>
      </c>
      <c r="E34" s="2" t="s">
        <v>19</v>
      </c>
      <c r="F34" s="2" t="s">
        <v>20</v>
      </c>
      <c r="G34" s="2" t="s">
        <v>21</v>
      </c>
      <c r="H34">
        <v>1</v>
      </c>
      <c r="I34" s="2" t="s">
        <v>526</v>
      </c>
      <c r="J34" s="505">
        <v>2.3168391354034413E-3</v>
      </c>
      <c r="K34" s="505">
        <v>0.36062053622391022</v>
      </c>
      <c r="L34" s="3">
        <v>1</v>
      </c>
      <c r="M34" s="3">
        <v>5.2488000000000001</v>
      </c>
      <c r="N34" s="507">
        <v>62500000.009999998</v>
      </c>
      <c r="O34" s="507">
        <v>0</v>
      </c>
      <c r="P34" s="507">
        <v>62500000.009999998</v>
      </c>
      <c r="Q34" s="507">
        <v>71903.94</v>
      </c>
      <c r="R34" s="507">
        <v>52218.735717963093</v>
      </c>
      <c r="S34" s="507">
        <v>0</v>
      </c>
      <c r="T34" s="507">
        <v>52218.735717963093</v>
      </c>
      <c r="U34" s="507">
        <v>60.075725429432282</v>
      </c>
      <c r="V34" s="507">
        <f>Port[[#This Row],[EAD_Drawn (CNY)]]*Port[[#This Row],[CNY -&gt; FCY]]</f>
        <v>62500000.009999998</v>
      </c>
      <c r="W34" s="507">
        <f>Port[[#This Row],[EAD_Undrawn (CNY)]]*Port[[#This Row],[CNY -&gt; FCY]]</f>
        <v>0</v>
      </c>
      <c r="X34" s="507">
        <f>Port[[#This Row],[EAD (CNY)]]*Port[[#This Row],[CNY -&gt; FCY]]</f>
        <v>62500000.009999998</v>
      </c>
      <c r="Y34" s="507">
        <f>Port[[#This Row],[EAD_Interest (CNY)]]*Port[[#This Row],[CNY -&gt; FCY]]</f>
        <v>71903.94</v>
      </c>
      <c r="Z34" s="507">
        <f>Port[[#This Row],[ECL_Drawn (CNY)]]*Port[[#This Row],[CNY -&gt; FCY]]</f>
        <v>52218.735717963093</v>
      </c>
      <c r="AA34" s="507">
        <f>Port[[#This Row],[ECL_Undrawn (CNY)]]*Port[[#This Row],[CNY -&gt; FCY]]</f>
        <v>0</v>
      </c>
      <c r="AB34" s="507">
        <f>Port[[#This Row],[ECL (CNY)]]*Port[[#This Row],[CNY -&gt; FCY]]</f>
        <v>52218.735717963093</v>
      </c>
      <c r="AC34" s="507">
        <f>Port[[#This Row],[ECL_Interest (CNY)]]*Port[[#This Row],[CNY -&gt; FCY]]</f>
        <v>60.075725429432282</v>
      </c>
      <c r="AD34" s="507">
        <f>Port[[#This Row],[EAD_Drawn (CNY)]]*Port[[#This Row],[CNY -&gt; THB]]</f>
        <v>328050000.05248797</v>
      </c>
      <c r="AE34" s="507">
        <f>Port[[#This Row],[EAD_Undrawn (CNY)]]*Port[[#This Row],[CNY -&gt; THB]]</f>
        <v>0</v>
      </c>
      <c r="AF34" s="507">
        <f>Port[[#This Row],[EAD (CNY)]]*Port[[#This Row],[CNY -&gt; THB]]</f>
        <v>328050000.05248797</v>
      </c>
      <c r="AG34" s="507">
        <f>Port[[#This Row],[EAD_Interest (CNY)]]*Port[[#This Row],[CNY -&gt; THB]]</f>
        <v>377409.400272</v>
      </c>
      <c r="AH34" s="507">
        <f>Port[[#This Row],[ECL_Drawn (CNY)]]*Port[[#This Row],[CNY -&gt; THB]]</f>
        <v>274085.7000364447</v>
      </c>
      <c r="AI34" s="507">
        <f>Port[[#This Row],[ECL_Undrawn (CNY)]]*Port[[#This Row],[CNY -&gt; THB]]</f>
        <v>0</v>
      </c>
      <c r="AJ34" s="507">
        <f>Port[[#This Row],[ECL (CNY)]]*Port[[#This Row],[CNY -&gt; THB]]</f>
        <v>274085.7000364447</v>
      </c>
      <c r="AK34" s="507">
        <f>Port[[#This Row],[ECL_Interest (CNY)]]*Port[[#This Row],[CNY -&gt; THB]]</f>
        <v>315.32546763400416</v>
      </c>
      <c r="AL34" s="507">
        <f>Port[[#This Row],[EAD (THB)]]*Port[[#This Row],[PD_avg]]</f>
        <v>760039.07849070511</v>
      </c>
      <c r="AM34" s="507">
        <f>Port[[#This Row],[EAD_Interest (THB)]]*Port[[#This Row],[PD_avg]]</f>
        <v>874.39686861931182</v>
      </c>
      <c r="AN34" s="507">
        <f>Port[[#This Row],[EAD (THB)]]*Port[[#This Row],[LGD_avg]]</f>
        <v>118301566.92718199</v>
      </c>
      <c r="AO34" s="507">
        <f>Port[[#This Row],[EAD_Interest (THB)]]*Port[[#This Row],[LGD_avg]]</f>
        <v>136101.58030203299</v>
      </c>
      <c r="AP34" s="507">
        <f>Port[[#This Row],[EAD_Drawn (THB)]]+Port[[#This Row],[EAD_Interest (THB)]]</f>
        <v>328427409.45275998</v>
      </c>
      <c r="AQ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4920750.0007873196</v>
      </c>
      <c r="AR34" s="522">
        <f>MAX(Port[[#This Row],[ECL (THB)]]+Port[[#This Row],[ECL_Interest (THB)]], Port[[#This Row],[ECL CBIRC (THB)]])</f>
        <v>4920750.0007873196</v>
      </c>
    </row>
    <row r="35" spans="1:44">
      <c r="A35" s="2" t="s">
        <v>46</v>
      </c>
      <c r="B35" s="2" t="s">
        <v>44</v>
      </c>
      <c r="C35" s="2" t="s">
        <v>17</v>
      </c>
      <c r="D35" s="2" t="s">
        <v>30</v>
      </c>
      <c r="E35" s="2" t="s">
        <v>19</v>
      </c>
      <c r="F35" s="2" t="s">
        <v>20</v>
      </c>
      <c r="G35" s="2" t="s">
        <v>21</v>
      </c>
      <c r="H35">
        <v>1</v>
      </c>
      <c r="I35" s="2" t="s">
        <v>526</v>
      </c>
      <c r="J35" s="505">
        <v>2.0514833509807026E-2</v>
      </c>
      <c r="K35" s="505">
        <v>0.89999999999999991</v>
      </c>
      <c r="L35" s="3">
        <v>1</v>
      </c>
      <c r="M35" s="3">
        <v>5.2488000000000001</v>
      </c>
      <c r="N35" s="507">
        <v>8097601.6600000001</v>
      </c>
      <c r="O35" s="507">
        <v>0</v>
      </c>
      <c r="P35" s="507">
        <v>8097601.6600000001</v>
      </c>
      <c r="Q35" s="507">
        <v>8345.0300000000007</v>
      </c>
      <c r="R35" s="507">
        <v>149508.85489527331</v>
      </c>
      <c r="S35" s="507">
        <v>0</v>
      </c>
      <c r="T35" s="507">
        <v>149508.85489527331</v>
      </c>
      <c r="U35" s="507">
        <v>154.07721097591048</v>
      </c>
      <c r="V35" s="507">
        <f>Port[[#This Row],[EAD_Drawn (CNY)]]*Port[[#This Row],[CNY -&gt; FCY]]</f>
        <v>8097601.6600000001</v>
      </c>
      <c r="W35" s="507">
        <f>Port[[#This Row],[EAD_Undrawn (CNY)]]*Port[[#This Row],[CNY -&gt; FCY]]</f>
        <v>0</v>
      </c>
      <c r="X35" s="507">
        <f>Port[[#This Row],[EAD (CNY)]]*Port[[#This Row],[CNY -&gt; FCY]]</f>
        <v>8097601.6600000001</v>
      </c>
      <c r="Y35" s="507">
        <f>Port[[#This Row],[EAD_Interest (CNY)]]*Port[[#This Row],[CNY -&gt; FCY]]</f>
        <v>8345.0300000000007</v>
      </c>
      <c r="Z35" s="507">
        <f>Port[[#This Row],[ECL_Drawn (CNY)]]*Port[[#This Row],[CNY -&gt; FCY]]</f>
        <v>149508.85489527331</v>
      </c>
      <c r="AA35" s="507">
        <f>Port[[#This Row],[ECL_Undrawn (CNY)]]*Port[[#This Row],[CNY -&gt; FCY]]</f>
        <v>0</v>
      </c>
      <c r="AB35" s="507">
        <f>Port[[#This Row],[ECL (CNY)]]*Port[[#This Row],[CNY -&gt; FCY]]</f>
        <v>149508.85489527331</v>
      </c>
      <c r="AC35" s="507">
        <f>Port[[#This Row],[ECL_Interest (CNY)]]*Port[[#This Row],[CNY -&gt; FCY]]</f>
        <v>154.07721097591048</v>
      </c>
      <c r="AD35" s="507">
        <f>Port[[#This Row],[EAD_Drawn (CNY)]]*Port[[#This Row],[CNY -&gt; THB]]</f>
        <v>42502691.593008004</v>
      </c>
      <c r="AE35" s="507">
        <f>Port[[#This Row],[EAD_Undrawn (CNY)]]*Port[[#This Row],[CNY -&gt; THB]]</f>
        <v>0</v>
      </c>
      <c r="AF35" s="507">
        <f>Port[[#This Row],[EAD (CNY)]]*Port[[#This Row],[CNY -&gt; THB]]</f>
        <v>42502691.593008004</v>
      </c>
      <c r="AG35" s="507">
        <f>Port[[#This Row],[EAD_Interest (CNY)]]*Port[[#This Row],[CNY -&gt; THB]]</f>
        <v>43801.393464000008</v>
      </c>
      <c r="AH35" s="507">
        <f>Port[[#This Row],[ECL_Drawn (CNY)]]*Port[[#This Row],[CNY -&gt; THB]]</f>
        <v>784742.07757431059</v>
      </c>
      <c r="AI35" s="507">
        <f>Port[[#This Row],[ECL_Undrawn (CNY)]]*Port[[#This Row],[CNY -&gt; THB]]</f>
        <v>0</v>
      </c>
      <c r="AJ35" s="507">
        <f>Port[[#This Row],[ECL (CNY)]]*Port[[#This Row],[CNY -&gt; THB]]</f>
        <v>784742.07757431059</v>
      </c>
      <c r="AK35" s="507">
        <f>Port[[#This Row],[ECL_Interest (CNY)]]*Port[[#This Row],[CNY -&gt; THB]]</f>
        <v>808.72046497035888</v>
      </c>
      <c r="AL35" s="507">
        <f>Port[[#This Row],[EAD (THB)]]*Port[[#This Row],[PD_avg]]</f>
        <v>871935.64174923394</v>
      </c>
      <c r="AM35" s="507">
        <f>Port[[#This Row],[EAD_Interest (THB)]]*Port[[#This Row],[PD_avg]]</f>
        <v>898.57829441150977</v>
      </c>
      <c r="AN35" s="507">
        <f>Port[[#This Row],[EAD (THB)]]*Port[[#This Row],[LGD_avg]]</f>
        <v>38252422.4337072</v>
      </c>
      <c r="AO35" s="507">
        <f>Port[[#This Row],[EAD_Interest (THB)]]*Port[[#This Row],[LGD_avg]]</f>
        <v>39421.254117600001</v>
      </c>
      <c r="AP35" s="507">
        <f>Port[[#This Row],[EAD_Drawn (THB)]]+Port[[#This Row],[EAD_Interest (THB)]]</f>
        <v>42546492.986472003</v>
      </c>
      <c r="AQ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637540.37389511999</v>
      </c>
      <c r="AR35" s="522">
        <f>MAX(Port[[#This Row],[ECL (THB)]]+Port[[#This Row],[ECL_Interest (THB)]], Port[[#This Row],[ECL CBIRC (THB)]])</f>
        <v>785550.79803928093</v>
      </c>
    </row>
    <row r="36" spans="1:44">
      <c r="A36" s="2" t="s">
        <v>47</v>
      </c>
      <c r="B36" s="2" t="s">
        <v>44</v>
      </c>
      <c r="C36" s="2" t="s">
        <v>17</v>
      </c>
      <c r="D36" s="2" t="s">
        <v>30</v>
      </c>
      <c r="E36" s="2" t="s">
        <v>19</v>
      </c>
      <c r="F36" s="2" t="s">
        <v>20</v>
      </c>
      <c r="G36" s="2" t="s">
        <v>21</v>
      </c>
      <c r="H36">
        <v>1</v>
      </c>
      <c r="I36" s="2" t="s">
        <v>526</v>
      </c>
      <c r="J36" s="505">
        <v>2.0514833509807026E-2</v>
      </c>
      <c r="K36" s="505">
        <v>0.90000000000000013</v>
      </c>
      <c r="L36" s="3">
        <v>1</v>
      </c>
      <c r="M36" s="3">
        <v>5.2488000000000001</v>
      </c>
      <c r="N36" s="507">
        <v>8481460.5199999996</v>
      </c>
      <c r="O36" s="507">
        <v>0</v>
      </c>
      <c r="P36" s="507">
        <v>8481460.5199999996</v>
      </c>
      <c r="Q36" s="507">
        <v>8740.6200000000008</v>
      </c>
      <c r="R36" s="507">
        <v>156596.1754390212</v>
      </c>
      <c r="S36" s="507">
        <v>0</v>
      </c>
      <c r="T36" s="507">
        <v>156596.1754390212</v>
      </c>
      <c r="U36" s="507">
        <v>161.38112766524057</v>
      </c>
      <c r="V36" s="507">
        <f>Port[[#This Row],[EAD_Drawn (CNY)]]*Port[[#This Row],[CNY -&gt; FCY]]</f>
        <v>8481460.5199999996</v>
      </c>
      <c r="W36" s="507">
        <f>Port[[#This Row],[EAD_Undrawn (CNY)]]*Port[[#This Row],[CNY -&gt; FCY]]</f>
        <v>0</v>
      </c>
      <c r="X36" s="507">
        <f>Port[[#This Row],[EAD (CNY)]]*Port[[#This Row],[CNY -&gt; FCY]]</f>
        <v>8481460.5199999996</v>
      </c>
      <c r="Y36" s="507">
        <f>Port[[#This Row],[EAD_Interest (CNY)]]*Port[[#This Row],[CNY -&gt; FCY]]</f>
        <v>8740.6200000000008</v>
      </c>
      <c r="Z36" s="507">
        <f>Port[[#This Row],[ECL_Drawn (CNY)]]*Port[[#This Row],[CNY -&gt; FCY]]</f>
        <v>156596.1754390212</v>
      </c>
      <c r="AA36" s="507">
        <f>Port[[#This Row],[ECL_Undrawn (CNY)]]*Port[[#This Row],[CNY -&gt; FCY]]</f>
        <v>0</v>
      </c>
      <c r="AB36" s="507">
        <f>Port[[#This Row],[ECL (CNY)]]*Port[[#This Row],[CNY -&gt; FCY]]</f>
        <v>156596.1754390212</v>
      </c>
      <c r="AC36" s="507">
        <f>Port[[#This Row],[ECL_Interest (CNY)]]*Port[[#This Row],[CNY -&gt; FCY]]</f>
        <v>161.38112766524057</v>
      </c>
      <c r="AD36" s="507">
        <f>Port[[#This Row],[EAD_Drawn (CNY)]]*Port[[#This Row],[CNY -&gt; THB]]</f>
        <v>44517489.977375999</v>
      </c>
      <c r="AE36" s="507">
        <f>Port[[#This Row],[EAD_Undrawn (CNY)]]*Port[[#This Row],[CNY -&gt; THB]]</f>
        <v>0</v>
      </c>
      <c r="AF36" s="507">
        <f>Port[[#This Row],[EAD (CNY)]]*Port[[#This Row],[CNY -&gt; THB]]</f>
        <v>44517489.977375999</v>
      </c>
      <c r="AG36" s="507">
        <f>Port[[#This Row],[EAD_Interest (CNY)]]*Port[[#This Row],[CNY -&gt; THB]]</f>
        <v>45877.766256000003</v>
      </c>
      <c r="AH36" s="507">
        <f>Port[[#This Row],[ECL_Drawn (CNY)]]*Port[[#This Row],[CNY -&gt; THB]]</f>
        <v>821942.00564433448</v>
      </c>
      <c r="AI36" s="507">
        <f>Port[[#This Row],[ECL_Undrawn (CNY)]]*Port[[#This Row],[CNY -&gt; THB]]</f>
        <v>0</v>
      </c>
      <c r="AJ36" s="507">
        <f>Port[[#This Row],[ECL (CNY)]]*Port[[#This Row],[CNY -&gt; THB]]</f>
        <v>821942.00564433448</v>
      </c>
      <c r="AK36" s="507">
        <f>Port[[#This Row],[ECL_Interest (CNY)]]*Port[[#This Row],[CNY -&gt; THB]]</f>
        <v>847.05726288931476</v>
      </c>
      <c r="AL36" s="507">
        <f>Port[[#This Row],[EAD (THB)]]*Port[[#This Row],[PD_avg]]</f>
        <v>913268.89516037155</v>
      </c>
      <c r="AM36" s="507">
        <f>Port[[#This Row],[EAD_Interest (THB)]]*Port[[#This Row],[PD_avg]]</f>
        <v>941.17473654368291</v>
      </c>
      <c r="AN36" s="507">
        <f>Port[[#This Row],[EAD (THB)]]*Port[[#This Row],[LGD_avg]]</f>
        <v>40065740.979638405</v>
      </c>
      <c r="AO36" s="507">
        <f>Port[[#This Row],[EAD_Interest (THB)]]*Port[[#This Row],[LGD_avg]]</f>
        <v>41289.989630400007</v>
      </c>
      <c r="AP36" s="507">
        <f>Port[[#This Row],[EAD_Drawn (THB)]]+Port[[#This Row],[EAD_Interest (THB)]]</f>
        <v>44563367.743631996</v>
      </c>
      <c r="AQ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667762.34966064</v>
      </c>
      <c r="AR36" s="522">
        <f>MAX(Port[[#This Row],[ECL (THB)]]+Port[[#This Row],[ECL_Interest (THB)]], Port[[#This Row],[ECL CBIRC (THB)]])</f>
        <v>822789.06290722382</v>
      </c>
    </row>
    <row r="37" spans="1:44">
      <c r="A37" s="2" t="s">
        <v>48</v>
      </c>
      <c r="B37" s="2" t="s">
        <v>44</v>
      </c>
      <c r="C37" s="2" t="s">
        <v>17</v>
      </c>
      <c r="D37" s="2" t="s">
        <v>30</v>
      </c>
      <c r="E37" s="2" t="s">
        <v>19</v>
      </c>
      <c r="F37" s="2" t="s">
        <v>20</v>
      </c>
      <c r="G37" s="2" t="s">
        <v>21</v>
      </c>
      <c r="H37">
        <v>1</v>
      </c>
      <c r="I37" s="2" t="s">
        <v>526</v>
      </c>
      <c r="J37" s="505">
        <v>2.0514833509807026E-2</v>
      </c>
      <c r="K37" s="505">
        <v>0.90000000000000013</v>
      </c>
      <c r="L37" s="3">
        <v>1</v>
      </c>
      <c r="M37" s="3">
        <v>5.2488000000000001</v>
      </c>
      <c r="N37" s="507">
        <v>10859602.51</v>
      </c>
      <c r="O37" s="507">
        <v>0</v>
      </c>
      <c r="P37" s="507">
        <v>10859602.51</v>
      </c>
      <c r="Q37" s="507">
        <v>11191.42</v>
      </c>
      <c r="R37" s="507">
        <v>200504.64372779927</v>
      </c>
      <c r="S37" s="507">
        <v>0</v>
      </c>
      <c r="T37" s="507">
        <v>200504.64372779927</v>
      </c>
      <c r="U37" s="507">
        <v>206.63110623449208</v>
      </c>
      <c r="V37" s="507">
        <f>Port[[#This Row],[EAD_Drawn (CNY)]]*Port[[#This Row],[CNY -&gt; FCY]]</f>
        <v>10859602.51</v>
      </c>
      <c r="W37" s="507">
        <f>Port[[#This Row],[EAD_Undrawn (CNY)]]*Port[[#This Row],[CNY -&gt; FCY]]</f>
        <v>0</v>
      </c>
      <c r="X37" s="507">
        <f>Port[[#This Row],[EAD (CNY)]]*Port[[#This Row],[CNY -&gt; FCY]]</f>
        <v>10859602.51</v>
      </c>
      <c r="Y37" s="507">
        <f>Port[[#This Row],[EAD_Interest (CNY)]]*Port[[#This Row],[CNY -&gt; FCY]]</f>
        <v>11191.42</v>
      </c>
      <c r="Z37" s="507">
        <f>Port[[#This Row],[ECL_Drawn (CNY)]]*Port[[#This Row],[CNY -&gt; FCY]]</f>
        <v>200504.64372779927</v>
      </c>
      <c r="AA37" s="507">
        <f>Port[[#This Row],[ECL_Undrawn (CNY)]]*Port[[#This Row],[CNY -&gt; FCY]]</f>
        <v>0</v>
      </c>
      <c r="AB37" s="507">
        <f>Port[[#This Row],[ECL (CNY)]]*Port[[#This Row],[CNY -&gt; FCY]]</f>
        <v>200504.64372779927</v>
      </c>
      <c r="AC37" s="507">
        <f>Port[[#This Row],[ECL_Interest (CNY)]]*Port[[#This Row],[CNY -&gt; FCY]]</f>
        <v>206.63110623449208</v>
      </c>
      <c r="AD37" s="507">
        <f>Port[[#This Row],[EAD_Drawn (CNY)]]*Port[[#This Row],[CNY -&gt; THB]]</f>
        <v>56999881.654487997</v>
      </c>
      <c r="AE37" s="507">
        <f>Port[[#This Row],[EAD_Undrawn (CNY)]]*Port[[#This Row],[CNY -&gt; THB]]</f>
        <v>0</v>
      </c>
      <c r="AF37" s="507">
        <f>Port[[#This Row],[EAD (CNY)]]*Port[[#This Row],[CNY -&gt; THB]]</f>
        <v>56999881.654487997</v>
      </c>
      <c r="AG37" s="507">
        <f>Port[[#This Row],[EAD_Interest (CNY)]]*Port[[#This Row],[CNY -&gt; THB]]</f>
        <v>58741.525296</v>
      </c>
      <c r="AH37" s="507">
        <f>Port[[#This Row],[ECL_Drawn (CNY)]]*Port[[#This Row],[CNY -&gt; THB]]</f>
        <v>1052408.7739984728</v>
      </c>
      <c r="AI37" s="507">
        <f>Port[[#This Row],[ECL_Undrawn (CNY)]]*Port[[#This Row],[CNY -&gt; THB]]</f>
        <v>0</v>
      </c>
      <c r="AJ37" s="507">
        <f>Port[[#This Row],[ECL (CNY)]]*Port[[#This Row],[CNY -&gt; THB]]</f>
        <v>1052408.7739984728</v>
      </c>
      <c r="AK37" s="507">
        <f>Port[[#This Row],[ECL_Interest (CNY)]]*Port[[#This Row],[CNY -&gt; THB]]</f>
        <v>1084.565350403602</v>
      </c>
      <c r="AL37" s="507">
        <f>Port[[#This Row],[EAD (THB)]]*Port[[#This Row],[PD_avg]]</f>
        <v>1169343.082220525</v>
      </c>
      <c r="AM37" s="507">
        <f>Port[[#This Row],[EAD_Interest (THB)]]*Port[[#This Row],[PD_avg]]</f>
        <v>1205.0726115595578</v>
      </c>
      <c r="AN37" s="507">
        <f>Port[[#This Row],[EAD (THB)]]*Port[[#This Row],[LGD_avg]]</f>
        <v>51299893.489039205</v>
      </c>
      <c r="AO37" s="507">
        <f>Port[[#This Row],[EAD_Interest (THB)]]*Port[[#This Row],[LGD_avg]]</f>
        <v>52867.372766400011</v>
      </c>
      <c r="AP37" s="507">
        <f>Port[[#This Row],[EAD_Drawn (THB)]]+Port[[#This Row],[EAD_Interest (THB)]]</f>
        <v>57058623.179784</v>
      </c>
      <c r="AQ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854998.22481731989</v>
      </c>
      <c r="AR37" s="522">
        <f>MAX(Port[[#This Row],[ECL (THB)]]+Port[[#This Row],[ECL_Interest (THB)]], Port[[#This Row],[ECL CBIRC (THB)]])</f>
        <v>1053493.3393488764</v>
      </c>
    </row>
    <row r="38" spans="1:44">
      <c r="A38" s="2" t="s">
        <v>49</v>
      </c>
      <c r="B38" s="2" t="s">
        <v>44</v>
      </c>
      <c r="C38" s="2" t="s">
        <v>17</v>
      </c>
      <c r="D38" s="2" t="s">
        <v>30</v>
      </c>
      <c r="E38" s="2" t="s">
        <v>19</v>
      </c>
      <c r="F38" s="2" t="s">
        <v>20</v>
      </c>
      <c r="G38" s="2" t="s">
        <v>21</v>
      </c>
      <c r="H38">
        <v>1</v>
      </c>
      <c r="I38" s="2" t="s">
        <v>526</v>
      </c>
      <c r="J38" s="505">
        <v>2.0514833509807026E-2</v>
      </c>
      <c r="K38" s="505">
        <v>0.90000000000000013</v>
      </c>
      <c r="L38" s="3">
        <v>1</v>
      </c>
      <c r="M38" s="3">
        <v>5.2488000000000001</v>
      </c>
      <c r="N38" s="507">
        <v>2932129.89</v>
      </c>
      <c r="O38" s="507">
        <v>0</v>
      </c>
      <c r="P38" s="507">
        <v>2932129.89</v>
      </c>
      <c r="Q38" s="507">
        <v>3021.72</v>
      </c>
      <c r="R38" s="507">
        <v>54136.940870230923</v>
      </c>
      <c r="S38" s="507">
        <v>0</v>
      </c>
      <c r="T38" s="507">
        <v>54136.940870230923</v>
      </c>
      <c r="U38" s="507">
        <v>55.791074441928679</v>
      </c>
      <c r="V38" s="507">
        <f>Port[[#This Row],[EAD_Drawn (CNY)]]*Port[[#This Row],[CNY -&gt; FCY]]</f>
        <v>2932129.89</v>
      </c>
      <c r="W38" s="507">
        <f>Port[[#This Row],[EAD_Undrawn (CNY)]]*Port[[#This Row],[CNY -&gt; FCY]]</f>
        <v>0</v>
      </c>
      <c r="X38" s="507">
        <f>Port[[#This Row],[EAD (CNY)]]*Port[[#This Row],[CNY -&gt; FCY]]</f>
        <v>2932129.89</v>
      </c>
      <c r="Y38" s="507">
        <f>Port[[#This Row],[EAD_Interest (CNY)]]*Port[[#This Row],[CNY -&gt; FCY]]</f>
        <v>3021.72</v>
      </c>
      <c r="Z38" s="507">
        <f>Port[[#This Row],[ECL_Drawn (CNY)]]*Port[[#This Row],[CNY -&gt; FCY]]</f>
        <v>54136.940870230923</v>
      </c>
      <c r="AA38" s="507">
        <f>Port[[#This Row],[ECL_Undrawn (CNY)]]*Port[[#This Row],[CNY -&gt; FCY]]</f>
        <v>0</v>
      </c>
      <c r="AB38" s="507">
        <f>Port[[#This Row],[ECL (CNY)]]*Port[[#This Row],[CNY -&gt; FCY]]</f>
        <v>54136.940870230923</v>
      </c>
      <c r="AC38" s="507">
        <f>Port[[#This Row],[ECL_Interest (CNY)]]*Port[[#This Row],[CNY -&gt; FCY]]</f>
        <v>55.791074441928679</v>
      </c>
      <c r="AD38" s="507">
        <f>Port[[#This Row],[EAD_Drawn (CNY)]]*Port[[#This Row],[CNY -&gt; THB]]</f>
        <v>15390163.366632001</v>
      </c>
      <c r="AE38" s="507">
        <f>Port[[#This Row],[EAD_Undrawn (CNY)]]*Port[[#This Row],[CNY -&gt; THB]]</f>
        <v>0</v>
      </c>
      <c r="AF38" s="507">
        <f>Port[[#This Row],[EAD (CNY)]]*Port[[#This Row],[CNY -&gt; THB]]</f>
        <v>15390163.366632001</v>
      </c>
      <c r="AG38" s="507">
        <f>Port[[#This Row],[EAD_Interest (CNY)]]*Port[[#This Row],[CNY -&gt; THB]]</f>
        <v>15860.403935999999</v>
      </c>
      <c r="AH38" s="507">
        <f>Port[[#This Row],[ECL_Drawn (CNY)]]*Port[[#This Row],[CNY -&gt; THB]]</f>
        <v>284153.9752396681</v>
      </c>
      <c r="AI38" s="507">
        <f>Port[[#This Row],[ECL_Undrawn (CNY)]]*Port[[#This Row],[CNY -&gt; THB]]</f>
        <v>0</v>
      </c>
      <c r="AJ38" s="507">
        <f>Port[[#This Row],[ECL (CNY)]]*Port[[#This Row],[CNY -&gt; THB]]</f>
        <v>284153.9752396681</v>
      </c>
      <c r="AK38" s="507">
        <f>Port[[#This Row],[ECL_Interest (CNY)]]*Port[[#This Row],[CNY -&gt; THB]]</f>
        <v>292.83619153079525</v>
      </c>
      <c r="AL38" s="507">
        <f>Port[[#This Row],[EAD (THB)]]*Port[[#This Row],[PD_avg]]</f>
        <v>315726.63915518671</v>
      </c>
      <c r="AM38" s="507">
        <f>Port[[#This Row],[EAD_Interest (THB)]]*Port[[#This Row],[PD_avg]]</f>
        <v>325.37354614532802</v>
      </c>
      <c r="AN38" s="507">
        <f>Port[[#This Row],[EAD (THB)]]*Port[[#This Row],[LGD_avg]]</f>
        <v>13851147.029968804</v>
      </c>
      <c r="AO38" s="507">
        <f>Port[[#This Row],[EAD_Interest (THB)]]*Port[[#This Row],[LGD_avg]]</f>
        <v>14274.3635424</v>
      </c>
      <c r="AP38" s="507">
        <f>Port[[#This Row],[EAD_Drawn (THB)]]+Port[[#This Row],[EAD_Interest (THB)]]</f>
        <v>15406023.770568002</v>
      </c>
      <c r="AQ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230852.45049948001</v>
      </c>
      <c r="AR38" s="522">
        <f>MAX(Port[[#This Row],[ECL (THB)]]+Port[[#This Row],[ECL_Interest (THB)]], Port[[#This Row],[ECL CBIRC (THB)]])</f>
        <v>284446.8114311989</v>
      </c>
    </row>
    <row r="39" spans="1:44">
      <c r="A39" s="2" t="s">
        <v>853</v>
      </c>
      <c r="B39" s="2" t="s">
        <v>29</v>
      </c>
      <c r="C39" s="2" t="s">
        <v>17</v>
      </c>
      <c r="D39" s="2" t="s">
        <v>30</v>
      </c>
      <c r="E39" s="2" t="s">
        <v>19</v>
      </c>
      <c r="F39" s="2" t="s">
        <v>20</v>
      </c>
      <c r="G39" s="2" t="s">
        <v>21</v>
      </c>
      <c r="H39">
        <v>1</v>
      </c>
      <c r="I39" s="2" t="s">
        <v>526</v>
      </c>
      <c r="J39" s="505">
        <v>3.0745295499522811E-2</v>
      </c>
      <c r="K39" s="505">
        <v>0.90000000000000013</v>
      </c>
      <c r="L39" s="3">
        <v>1</v>
      </c>
      <c r="M39" s="3">
        <v>5.2488000000000001</v>
      </c>
      <c r="N39" s="507">
        <v>418275</v>
      </c>
      <c r="O39" s="507">
        <v>0</v>
      </c>
      <c r="P39" s="507">
        <v>418275</v>
      </c>
      <c r="Q39" s="507">
        <v>378.39</v>
      </c>
      <c r="R39" s="507">
        <v>11573.989627556615</v>
      </c>
      <c r="S39" s="507">
        <v>0</v>
      </c>
      <c r="T39" s="507">
        <v>11573.989627556615</v>
      </c>
      <c r="U39" s="507">
        <v>10.470341127657994</v>
      </c>
      <c r="V39" s="507">
        <f>Port[[#This Row],[EAD_Drawn (CNY)]]*Port[[#This Row],[CNY -&gt; FCY]]</f>
        <v>418275</v>
      </c>
      <c r="W39" s="507">
        <f>Port[[#This Row],[EAD_Undrawn (CNY)]]*Port[[#This Row],[CNY -&gt; FCY]]</f>
        <v>0</v>
      </c>
      <c r="X39" s="507">
        <f>Port[[#This Row],[EAD (CNY)]]*Port[[#This Row],[CNY -&gt; FCY]]</f>
        <v>418275</v>
      </c>
      <c r="Y39" s="507">
        <f>Port[[#This Row],[EAD_Interest (CNY)]]*Port[[#This Row],[CNY -&gt; FCY]]</f>
        <v>378.39</v>
      </c>
      <c r="Z39" s="507">
        <f>Port[[#This Row],[ECL_Drawn (CNY)]]*Port[[#This Row],[CNY -&gt; FCY]]</f>
        <v>11573.989627556615</v>
      </c>
      <c r="AA39" s="507">
        <f>Port[[#This Row],[ECL_Undrawn (CNY)]]*Port[[#This Row],[CNY -&gt; FCY]]</f>
        <v>0</v>
      </c>
      <c r="AB39" s="507">
        <f>Port[[#This Row],[ECL (CNY)]]*Port[[#This Row],[CNY -&gt; FCY]]</f>
        <v>11573.989627556615</v>
      </c>
      <c r="AC39" s="507">
        <f>Port[[#This Row],[ECL_Interest (CNY)]]*Port[[#This Row],[CNY -&gt; FCY]]</f>
        <v>10.470341127657994</v>
      </c>
      <c r="AD39" s="507">
        <f>Port[[#This Row],[EAD_Drawn (CNY)]]*Port[[#This Row],[CNY -&gt; THB]]</f>
        <v>2195441.8199999998</v>
      </c>
      <c r="AE39" s="507">
        <f>Port[[#This Row],[EAD_Undrawn (CNY)]]*Port[[#This Row],[CNY -&gt; THB]]</f>
        <v>0</v>
      </c>
      <c r="AF39" s="507">
        <f>Port[[#This Row],[EAD (CNY)]]*Port[[#This Row],[CNY -&gt; THB]]</f>
        <v>2195441.8199999998</v>
      </c>
      <c r="AG39" s="507">
        <f>Port[[#This Row],[EAD_Interest (CNY)]]*Port[[#This Row],[CNY -&gt; THB]]</f>
        <v>1986.0934319999999</v>
      </c>
      <c r="AH39" s="507">
        <f>Port[[#This Row],[ECL_Drawn (CNY)]]*Port[[#This Row],[CNY -&gt; THB]]</f>
        <v>60749.556757119164</v>
      </c>
      <c r="AI39" s="507">
        <f>Port[[#This Row],[ECL_Undrawn (CNY)]]*Port[[#This Row],[CNY -&gt; THB]]</f>
        <v>0</v>
      </c>
      <c r="AJ39" s="507">
        <f>Port[[#This Row],[ECL (CNY)]]*Port[[#This Row],[CNY -&gt; THB]]</f>
        <v>60749.556757119164</v>
      </c>
      <c r="AK39" s="507">
        <f>Port[[#This Row],[ECL_Interest (CNY)]]*Port[[#This Row],[CNY -&gt; THB]]</f>
        <v>54.956726510851283</v>
      </c>
      <c r="AL39" s="507">
        <f>Port[[#This Row],[EAD (THB)]]*Port[[#This Row],[PD_avg]]</f>
        <v>67499.507507910166</v>
      </c>
      <c r="AM39" s="507">
        <f>Port[[#This Row],[EAD_Interest (THB)]]*Port[[#This Row],[PD_avg]]</f>
        <v>61.063029456501411</v>
      </c>
      <c r="AN39" s="507">
        <f>Port[[#This Row],[EAD (THB)]]*Port[[#This Row],[LGD_avg]]</f>
        <v>1975897.638</v>
      </c>
      <c r="AO39" s="507">
        <f>Port[[#This Row],[EAD_Interest (THB)]]*Port[[#This Row],[LGD_avg]]</f>
        <v>1787.4840888000001</v>
      </c>
      <c r="AP39" s="507">
        <f>Port[[#This Row],[EAD_Drawn (THB)]]+Port[[#This Row],[EAD_Interest (THB)]]</f>
        <v>2197427.9134319997</v>
      </c>
      <c r="AQ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32931.627299999993</v>
      </c>
      <c r="AR39" s="522">
        <f>MAX(Port[[#This Row],[ECL (THB)]]+Port[[#This Row],[ECL_Interest (THB)]], Port[[#This Row],[ECL CBIRC (THB)]])</f>
        <v>60804.513483630013</v>
      </c>
    </row>
    <row r="40" spans="1:44">
      <c r="A40" s="2" t="s">
        <v>854</v>
      </c>
      <c r="B40" s="2" t="s">
        <v>44</v>
      </c>
      <c r="C40" s="2" t="s">
        <v>17</v>
      </c>
      <c r="D40" s="2" t="s">
        <v>30</v>
      </c>
      <c r="E40" s="2" t="s">
        <v>19</v>
      </c>
      <c r="F40" s="2" t="s">
        <v>20</v>
      </c>
      <c r="G40" s="2" t="s">
        <v>21</v>
      </c>
      <c r="H40">
        <v>1</v>
      </c>
      <c r="I40" s="2" t="s">
        <v>526</v>
      </c>
      <c r="J40" s="505">
        <v>2.0514833509807026E-2</v>
      </c>
      <c r="K40" s="505">
        <v>0.90000000000000013</v>
      </c>
      <c r="L40" s="3">
        <v>1</v>
      </c>
      <c r="M40" s="3">
        <v>5.2488000000000001</v>
      </c>
      <c r="N40" s="507">
        <v>2056804.25</v>
      </c>
      <c r="O40" s="507">
        <v>0</v>
      </c>
      <c r="P40" s="507">
        <v>2056804.25</v>
      </c>
      <c r="Q40" s="507">
        <v>2119.65</v>
      </c>
      <c r="R40" s="507">
        <v>37975.497075912164</v>
      </c>
      <c r="S40" s="507">
        <v>0</v>
      </c>
      <c r="T40" s="507">
        <v>37975.497075912164</v>
      </c>
      <c r="U40" s="507">
        <v>39.135840164156221</v>
      </c>
      <c r="V40" s="507">
        <f>Port[[#This Row],[EAD_Drawn (CNY)]]*Port[[#This Row],[CNY -&gt; FCY]]</f>
        <v>2056804.25</v>
      </c>
      <c r="W40" s="507">
        <f>Port[[#This Row],[EAD_Undrawn (CNY)]]*Port[[#This Row],[CNY -&gt; FCY]]</f>
        <v>0</v>
      </c>
      <c r="X40" s="507">
        <f>Port[[#This Row],[EAD (CNY)]]*Port[[#This Row],[CNY -&gt; FCY]]</f>
        <v>2056804.25</v>
      </c>
      <c r="Y40" s="507">
        <f>Port[[#This Row],[EAD_Interest (CNY)]]*Port[[#This Row],[CNY -&gt; FCY]]</f>
        <v>2119.65</v>
      </c>
      <c r="Z40" s="507">
        <f>Port[[#This Row],[ECL_Drawn (CNY)]]*Port[[#This Row],[CNY -&gt; FCY]]</f>
        <v>37975.497075912164</v>
      </c>
      <c r="AA40" s="507">
        <f>Port[[#This Row],[ECL_Undrawn (CNY)]]*Port[[#This Row],[CNY -&gt; FCY]]</f>
        <v>0</v>
      </c>
      <c r="AB40" s="507">
        <f>Port[[#This Row],[ECL (CNY)]]*Port[[#This Row],[CNY -&gt; FCY]]</f>
        <v>37975.497075912164</v>
      </c>
      <c r="AC40" s="507">
        <f>Port[[#This Row],[ECL_Interest (CNY)]]*Port[[#This Row],[CNY -&gt; FCY]]</f>
        <v>39.135840164156221</v>
      </c>
      <c r="AD40" s="507">
        <f>Port[[#This Row],[EAD_Drawn (CNY)]]*Port[[#This Row],[CNY -&gt; THB]]</f>
        <v>10795754.147400001</v>
      </c>
      <c r="AE40" s="507">
        <f>Port[[#This Row],[EAD_Undrawn (CNY)]]*Port[[#This Row],[CNY -&gt; THB]]</f>
        <v>0</v>
      </c>
      <c r="AF40" s="507">
        <f>Port[[#This Row],[EAD (CNY)]]*Port[[#This Row],[CNY -&gt; THB]]</f>
        <v>10795754.147400001</v>
      </c>
      <c r="AG40" s="507">
        <f>Port[[#This Row],[EAD_Interest (CNY)]]*Port[[#This Row],[CNY -&gt; THB]]</f>
        <v>11125.618920000001</v>
      </c>
      <c r="AH40" s="507">
        <f>Port[[#This Row],[ECL_Drawn (CNY)]]*Port[[#This Row],[CNY -&gt; THB]]</f>
        <v>199325.78905204777</v>
      </c>
      <c r="AI40" s="507">
        <f>Port[[#This Row],[ECL_Undrawn (CNY)]]*Port[[#This Row],[CNY -&gt; THB]]</f>
        <v>0</v>
      </c>
      <c r="AJ40" s="507">
        <f>Port[[#This Row],[ECL (CNY)]]*Port[[#This Row],[CNY -&gt; THB]]</f>
        <v>199325.78905204777</v>
      </c>
      <c r="AK40" s="507">
        <f>Port[[#This Row],[ECL_Interest (CNY)]]*Port[[#This Row],[CNY -&gt; THB]]</f>
        <v>205.41619785362317</v>
      </c>
      <c r="AL40" s="507">
        <f>Port[[#This Row],[EAD (THB)]]*Port[[#This Row],[PD_avg]]</f>
        <v>221473.09894671972</v>
      </c>
      <c r="AM40" s="507">
        <f>Port[[#This Row],[EAD_Interest (THB)]]*Port[[#This Row],[PD_avg]]</f>
        <v>228.24021983735906</v>
      </c>
      <c r="AN40" s="507">
        <f>Port[[#This Row],[EAD (THB)]]*Port[[#This Row],[LGD_avg]]</f>
        <v>9716178.732660003</v>
      </c>
      <c r="AO40" s="507">
        <f>Port[[#This Row],[EAD_Interest (THB)]]*Port[[#This Row],[LGD_avg]]</f>
        <v>10013.057028000003</v>
      </c>
      <c r="AP40" s="507">
        <f>Port[[#This Row],[EAD_Drawn (THB)]]+Port[[#This Row],[EAD_Interest (THB)]]</f>
        <v>10806879.766320001</v>
      </c>
      <c r="AQ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161936.31221100001</v>
      </c>
      <c r="AR40" s="522">
        <f>MAX(Port[[#This Row],[ECL (THB)]]+Port[[#This Row],[ECL_Interest (THB)]], Port[[#This Row],[ECL CBIRC (THB)]])</f>
        <v>199531.2052499014</v>
      </c>
    </row>
    <row r="41" spans="1:44">
      <c r="A41" s="2" t="s">
        <v>855</v>
      </c>
      <c r="B41" s="2" t="s">
        <v>29</v>
      </c>
      <c r="C41" s="2" t="s">
        <v>17</v>
      </c>
      <c r="D41" s="2" t="s">
        <v>30</v>
      </c>
      <c r="E41" s="2" t="s">
        <v>19</v>
      </c>
      <c r="F41" s="2" t="s">
        <v>20</v>
      </c>
      <c r="G41" s="2" t="s">
        <v>21</v>
      </c>
      <c r="H41">
        <v>1</v>
      </c>
      <c r="I41" s="2" t="s">
        <v>526</v>
      </c>
      <c r="J41" s="505">
        <v>3.0745295499522811E-2</v>
      </c>
      <c r="K41" s="505">
        <v>0.9</v>
      </c>
      <c r="L41" s="3">
        <v>1</v>
      </c>
      <c r="M41" s="3">
        <v>5.2488000000000001</v>
      </c>
      <c r="N41" s="507">
        <v>400000</v>
      </c>
      <c r="O41" s="507">
        <v>0</v>
      </c>
      <c r="P41" s="507">
        <v>400000</v>
      </c>
      <c r="Q41" s="507">
        <v>361.86</v>
      </c>
      <c r="R41" s="507">
        <v>11068.306379828213</v>
      </c>
      <c r="S41" s="507">
        <v>0</v>
      </c>
      <c r="T41" s="507">
        <v>11068.306379828213</v>
      </c>
      <c r="U41" s="507">
        <v>10.012943366511593</v>
      </c>
      <c r="V41" s="507">
        <f>Port[[#This Row],[EAD_Drawn (CNY)]]*Port[[#This Row],[CNY -&gt; FCY]]</f>
        <v>400000</v>
      </c>
      <c r="W41" s="507">
        <f>Port[[#This Row],[EAD_Undrawn (CNY)]]*Port[[#This Row],[CNY -&gt; FCY]]</f>
        <v>0</v>
      </c>
      <c r="X41" s="507">
        <f>Port[[#This Row],[EAD (CNY)]]*Port[[#This Row],[CNY -&gt; FCY]]</f>
        <v>400000</v>
      </c>
      <c r="Y41" s="507">
        <f>Port[[#This Row],[EAD_Interest (CNY)]]*Port[[#This Row],[CNY -&gt; FCY]]</f>
        <v>361.86</v>
      </c>
      <c r="Z41" s="507">
        <f>Port[[#This Row],[ECL_Drawn (CNY)]]*Port[[#This Row],[CNY -&gt; FCY]]</f>
        <v>11068.306379828213</v>
      </c>
      <c r="AA41" s="507">
        <f>Port[[#This Row],[ECL_Undrawn (CNY)]]*Port[[#This Row],[CNY -&gt; FCY]]</f>
        <v>0</v>
      </c>
      <c r="AB41" s="507">
        <f>Port[[#This Row],[ECL (CNY)]]*Port[[#This Row],[CNY -&gt; FCY]]</f>
        <v>11068.306379828213</v>
      </c>
      <c r="AC41" s="507">
        <f>Port[[#This Row],[ECL_Interest (CNY)]]*Port[[#This Row],[CNY -&gt; FCY]]</f>
        <v>10.012943366511593</v>
      </c>
      <c r="AD41" s="507">
        <f>Port[[#This Row],[EAD_Drawn (CNY)]]*Port[[#This Row],[CNY -&gt; THB]]</f>
        <v>2099520</v>
      </c>
      <c r="AE41" s="507">
        <f>Port[[#This Row],[EAD_Undrawn (CNY)]]*Port[[#This Row],[CNY -&gt; THB]]</f>
        <v>0</v>
      </c>
      <c r="AF41" s="507">
        <f>Port[[#This Row],[EAD (CNY)]]*Port[[#This Row],[CNY -&gt; THB]]</f>
        <v>2099520</v>
      </c>
      <c r="AG41" s="507">
        <f>Port[[#This Row],[EAD_Interest (CNY)]]*Port[[#This Row],[CNY -&gt; THB]]</f>
        <v>1899.330768</v>
      </c>
      <c r="AH41" s="507">
        <f>Port[[#This Row],[ECL_Drawn (CNY)]]*Port[[#This Row],[CNY -&gt; THB]]</f>
        <v>58095.326526442324</v>
      </c>
      <c r="AI41" s="507">
        <f>Port[[#This Row],[ECL_Undrawn (CNY)]]*Port[[#This Row],[CNY -&gt; THB]]</f>
        <v>0</v>
      </c>
      <c r="AJ41" s="507">
        <f>Port[[#This Row],[ECL (CNY)]]*Port[[#This Row],[CNY -&gt; THB]]</f>
        <v>58095.326526442324</v>
      </c>
      <c r="AK41" s="507">
        <f>Port[[#This Row],[ECL_Interest (CNY)]]*Port[[#This Row],[CNY -&gt; THB]]</f>
        <v>52.55593714214605</v>
      </c>
      <c r="AL41" s="507">
        <f>Port[[#This Row],[EAD (THB)]]*Port[[#This Row],[PD_avg]]</f>
        <v>64550.362807158133</v>
      </c>
      <c r="AM41" s="507">
        <f>Port[[#This Row],[EAD_Interest (THB)]]*Port[[#This Row],[PD_avg]]</f>
        <v>58.395485713495603</v>
      </c>
      <c r="AN41" s="507">
        <f>Port[[#This Row],[EAD (THB)]]*Port[[#This Row],[LGD_avg]]</f>
        <v>1889568</v>
      </c>
      <c r="AO41" s="507">
        <f>Port[[#This Row],[EAD_Interest (THB)]]*Port[[#This Row],[LGD_avg]]</f>
        <v>1709.3976912000001</v>
      </c>
      <c r="AP41" s="507">
        <f>Port[[#This Row],[EAD_Drawn (THB)]]+Port[[#This Row],[EAD_Interest (THB)]]</f>
        <v>2101419.3307679999</v>
      </c>
      <c r="AQ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31492.799999999999</v>
      </c>
      <c r="AR41" s="522">
        <f>MAX(Port[[#This Row],[ECL (THB)]]+Port[[#This Row],[ECL_Interest (THB)]], Port[[#This Row],[ECL CBIRC (THB)]])</f>
        <v>58147.882463584472</v>
      </c>
    </row>
    <row r="42" spans="1:44">
      <c r="A42" s="2" t="s">
        <v>856</v>
      </c>
      <c r="B42" s="2" t="s">
        <v>44</v>
      </c>
      <c r="C42" s="2" t="s">
        <v>17</v>
      </c>
      <c r="D42" s="2" t="s">
        <v>30</v>
      </c>
      <c r="E42" s="2" t="s">
        <v>19</v>
      </c>
      <c r="F42" s="2" t="s">
        <v>20</v>
      </c>
      <c r="G42" s="2" t="s">
        <v>21</v>
      </c>
      <c r="H42">
        <v>1</v>
      </c>
      <c r="I42" s="2" t="s">
        <v>526</v>
      </c>
      <c r="J42" s="505">
        <v>2.0514833509807026E-2</v>
      </c>
      <c r="K42" s="505">
        <v>0.90000000000000013</v>
      </c>
      <c r="L42" s="3">
        <v>1</v>
      </c>
      <c r="M42" s="3">
        <v>5.2488000000000001</v>
      </c>
      <c r="N42" s="507">
        <v>2828609.89</v>
      </c>
      <c r="O42" s="507">
        <v>0</v>
      </c>
      <c r="P42" s="507">
        <v>2828609.89</v>
      </c>
      <c r="Q42" s="507">
        <v>2915.04</v>
      </c>
      <c r="R42" s="507">
        <v>52225.614861789218</v>
      </c>
      <c r="S42" s="507">
        <v>0</v>
      </c>
      <c r="T42" s="507">
        <v>52225.614861789218</v>
      </c>
      <c r="U42" s="507">
        <v>53.821404246985082</v>
      </c>
      <c r="V42" s="507">
        <f>Port[[#This Row],[EAD_Drawn (CNY)]]*Port[[#This Row],[CNY -&gt; FCY]]</f>
        <v>2828609.89</v>
      </c>
      <c r="W42" s="507">
        <f>Port[[#This Row],[EAD_Undrawn (CNY)]]*Port[[#This Row],[CNY -&gt; FCY]]</f>
        <v>0</v>
      </c>
      <c r="X42" s="507">
        <f>Port[[#This Row],[EAD (CNY)]]*Port[[#This Row],[CNY -&gt; FCY]]</f>
        <v>2828609.89</v>
      </c>
      <c r="Y42" s="507">
        <f>Port[[#This Row],[EAD_Interest (CNY)]]*Port[[#This Row],[CNY -&gt; FCY]]</f>
        <v>2915.04</v>
      </c>
      <c r="Z42" s="507">
        <f>Port[[#This Row],[ECL_Drawn (CNY)]]*Port[[#This Row],[CNY -&gt; FCY]]</f>
        <v>52225.614861789218</v>
      </c>
      <c r="AA42" s="507">
        <f>Port[[#This Row],[ECL_Undrawn (CNY)]]*Port[[#This Row],[CNY -&gt; FCY]]</f>
        <v>0</v>
      </c>
      <c r="AB42" s="507">
        <f>Port[[#This Row],[ECL (CNY)]]*Port[[#This Row],[CNY -&gt; FCY]]</f>
        <v>52225.614861789218</v>
      </c>
      <c r="AC42" s="507">
        <f>Port[[#This Row],[ECL_Interest (CNY)]]*Port[[#This Row],[CNY -&gt; FCY]]</f>
        <v>53.821404246985082</v>
      </c>
      <c r="AD42" s="507">
        <f>Port[[#This Row],[EAD_Drawn (CNY)]]*Port[[#This Row],[CNY -&gt; THB]]</f>
        <v>14846807.590632001</v>
      </c>
      <c r="AE42" s="507">
        <f>Port[[#This Row],[EAD_Undrawn (CNY)]]*Port[[#This Row],[CNY -&gt; THB]]</f>
        <v>0</v>
      </c>
      <c r="AF42" s="507">
        <f>Port[[#This Row],[EAD (CNY)]]*Port[[#This Row],[CNY -&gt; THB]]</f>
        <v>14846807.590632001</v>
      </c>
      <c r="AG42" s="507">
        <f>Port[[#This Row],[EAD_Interest (CNY)]]*Port[[#This Row],[CNY -&gt; THB]]</f>
        <v>15300.461952</v>
      </c>
      <c r="AH42" s="507">
        <f>Port[[#This Row],[ECL_Drawn (CNY)]]*Port[[#This Row],[CNY -&gt; THB]]</f>
        <v>274121.80728655925</v>
      </c>
      <c r="AI42" s="507">
        <f>Port[[#This Row],[ECL_Undrawn (CNY)]]*Port[[#This Row],[CNY -&gt; THB]]</f>
        <v>0</v>
      </c>
      <c r="AJ42" s="507">
        <f>Port[[#This Row],[ECL (CNY)]]*Port[[#This Row],[CNY -&gt; THB]]</f>
        <v>274121.80728655925</v>
      </c>
      <c r="AK42" s="507">
        <f>Port[[#This Row],[ECL_Interest (CNY)]]*Port[[#This Row],[CNY -&gt; THB]]</f>
        <v>282.49778661157529</v>
      </c>
      <c r="AL42" s="507">
        <f>Port[[#This Row],[EAD (THB)]]*Port[[#This Row],[PD_avg]]</f>
        <v>304579.78587395471</v>
      </c>
      <c r="AM42" s="507">
        <f>Port[[#This Row],[EAD_Interest (THB)]]*Port[[#This Row],[PD_avg]]</f>
        <v>313.88642956841704</v>
      </c>
      <c r="AN42" s="507">
        <f>Port[[#This Row],[EAD (THB)]]*Port[[#This Row],[LGD_avg]]</f>
        <v>13362126.831568804</v>
      </c>
      <c r="AO42" s="507">
        <f>Port[[#This Row],[EAD_Interest (THB)]]*Port[[#This Row],[LGD_avg]]</f>
        <v>13770.415756800001</v>
      </c>
      <c r="AP42" s="507">
        <f>Port[[#This Row],[EAD_Drawn (THB)]]+Port[[#This Row],[EAD_Interest (THB)]]</f>
        <v>14862108.052584002</v>
      </c>
      <c r="AQ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222702.11385948001</v>
      </c>
      <c r="AR42" s="522">
        <f>MAX(Port[[#This Row],[ECL (THB)]]+Port[[#This Row],[ECL_Interest (THB)]], Port[[#This Row],[ECL CBIRC (THB)]])</f>
        <v>274404.30507317081</v>
      </c>
    </row>
    <row r="43" spans="1:44">
      <c r="A43" s="2" t="s">
        <v>857</v>
      </c>
      <c r="B43" s="2" t="s">
        <v>29</v>
      </c>
      <c r="C43" s="2" t="s">
        <v>17</v>
      </c>
      <c r="D43" s="2" t="s">
        <v>30</v>
      </c>
      <c r="E43" s="2" t="s">
        <v>19</v>
      </c>
      <c r="F43" s="2" t="s">
        <v>20</v>
      </c>
      <c r="G43" s="2" t="s">
        <v>21</v>
      </c>
      <c r="H43">
        <v>1</v>
      </c>
      <c r="I43" s="2" t="s">
        <v>526</v>
      </c>
      <c r="J43" s="505">
        <v>3.0745295499522811E-2</v>
      </c>
      <c r="K43" s="505">
        <v>0.90000000000000013</v>
      </c>
      <c r="L43" s="3">
        <v>1</v>
      </c>
      <c r="M43" s="3">
        <v>5.2488000000000001</v>
      </c>
      <c r="N43" s="507">
        <v>866250</v>
      </c>
      <c r="O43" s="507">
        <v>0</v>
      </c>
      <c r="P43" s="507">
        <v>866250</v>
      </c>
      <c r="Q43" s="507">
        <v>783.66</v>
      </c>
      <c r="R43" s="507">
        <v>23969.801003815475</v>
      </c>
      <c r="S43" s="507">
        <v>0</v>
      </c>
      <c r="T43" s="507">
        <v>23969.801003815475</v>
      </c>
      <c r="U43" s="507">
        <v>21.684472444040441</v>
      </c>
      <c r="V43" s="507">
        <f>Port[[#This Row],[EAD_Drawn (CNY)]]*Port[[#This Row],[CNY -&gt; FCY]]</f>
        <v>866250</v>
      </c>
      <c r="W43" s="507">
        <f>Port[[#This Row],[EAD_Undrawn (CNY)]]*Port[[#This Row],[CNY -&gt; FCY]]</f>
        <v>0</v>
      </c>
      <c r="X43" s="507">
        <f>Port[[#This Row],[EAD (CNY)]]*Port[[#This Row],[CNY -&gt; FCY]]</f>
        <v>866250</v>
      </c>
      <c r="Y43" s="507">
        <f>Port[[#This Row],[EAD_Interest (CNY)]]*Port[[#This Row],[CNY -&gt; FCY]]</f>
        <v>783.66</v>
      </c>
      <c r="Z43" s="507">
        <f>Port[[#This Row],[ECL_Drawn (CNY)]]*Port[[#This Row],[CNY -&gt; FCY]]</f>
        <v>23969.801003815475</v>
      </c>
      <c r="AA43" s="507">
        <f>Port[[#This Row],[ECL_Undrawn (CNY)]]*Port[[#This Row],[CNY -&gt; FCY]]</f>
        <v>0</v>
      </c>
      <c r="AB43" s="507">
        <f>Port[[#This Row],[ECL (CNY)]]*Port[[#This Row],[CNY -&gt; FCY]]</f>
        <v>23969.801003815475</v>
      </c>
      <c r="AC43" s="507">
        <f>Port[[#This Row],[ECL_Interest (CNY)]]*Port[[#This Row],[CNY -&gt; FCY]]</f>
        <v>21.684472444040441</v>
      </c>
      <c r="AD43" s="507">
        <f>Port[[#This Row],[EAD_Drawn (CNY)]]*Port[[#This Row],[CNY -&gt; THB]]</f>
        <v>4546773</v>
      </c>
      <c r="AE43" s="507">
        <f>Port[[#This Row],[EAD_Undrawn (CNY)]]*Port[[#This Row],[CNY -&gt; THB]]</f>
        <v>0</v>
      </c>
      <c r="AF43" s="507">
        <f>Port[[#This Row],[EAD (CNY)]]*Port[[#This Row],[CNY -&gt; THB]]</f>
        <v>4546773</v>
      </c>
      <c r="AG43" s="507">
        <f>Port[[#This Row],[EAD_Interest (CNY)]]*Port[[#This Row],[CNY -&gt; THB]]</f>
        <v>4113.2746079999997</v>
      </c>
      <c r="AH43" s="507">
        <f>Port[[#This Row],[ECL_Drawn (CNY)]]*Port[[#This Row],[CNY -&gt; THB]]</f>
        <v>125812.69150882667</v>
      </c>
      <c r="AI43" s="507">
        <f>Port[[#This Row],[ECL_Undrawn (CNY)]]*Port[[#This Row],[CNY -&gt; THB]]</f>
        <v>0</v>
      </c>
      <c r="AJ43" s="507">
        <f>Port[[#This Row],[ECL (CNY)]]*Port[[#This Row],[CNY -&gt; THB]]</f>
        <v>125812.69150882667</v>
      </c>
      <c r="AK43" s="507">
        <f>Port[[#This Row],[ECL_Interest (CNY)]]*Port[[#This Row],[CNY -&gt; THB]]</f>
        <v>113.81745896427947</v>
      </c>
      <c r="AL43" s="507">
        <f>Port[[#This Row],[EAD (THB)]]*Port[[#This Row],[PD_avg]]</f>
        <v>139791.87945425182</v>
      </c>
      <c r="AM43" s="507">
        <f>Port[[#This Row],[EAD_Interest (THB)]]*Port[[#This Row],[PD_avg]]</f>
        <v>126.46384329364385</v>
      </c>
      <c r="AN43" s="507">
        <f>Port[[#This Row],[EAD (THB)]]*Port[[#This Row],[LGD_avg]]</f>
        <v>4092095.7000000007</v>
      </c>
      <c r="AO43" s="507">
        <f>Port[[#This Row],[EAD_Interest (THB)]]*Port[[#This Row],[LGD_avg]]</f>
        <v>3701.9471472000005</v>
      </c>
      <c r="AP43" s="507">
        <f>Port[[#This Row],[EAD_Drawn (THB)]]+Port[[#This Row],[EAD_Interest (THB)]]</f>
        <v>4550886.2746080002</v>
      </c>
      <c r="AQ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68201.595000000001</v>
      </c>
      <c r="AR43" s="522">
        <f>MAX(Port[[#This Row],[ECL (THB)]]+Port[[#This Row],[ECL_Interest (THB)]], Port[[#This Row],[ECL CBIRC (THB)]])</f>
        <v>125926.50896779094</v>
      </c>
    </row>
    <row r="44" spans="1:44">
      <c r="A44" s="2" t="s">
        <v>858</v>
      </c>
      <c r="B44" s="2" t="s">
        <v>44</v>
      </c>
      <c r="C44" s="2" t="s">
        <v>17</v>
      </c>
      <c r="D44" s="2" t="s">
        <v>30</v>
      </c>
      <c r="E44" s="2" t="s">
        <v>19</v>
      </c>
      <c r="F44" s="2" t="s">
        <v>20</v>
      </c>
      <c r="G44" s="2" t="s">
        <v>21</v>
      </c>
      <c r="H44">
        <v>1</v>
      </c>
      <c r="I44" s="2" t="s">
        <v>526</v>
      </c>
      <c r="J44" s="505">
        <v>2.0514833509807026E-2</v>
      </c>
      <c r="K44" s="505">
        <v>0.9</v>
      </c>
      <c r="L44" s="3">
        <v>1</v>
      </c>
      <c r="M44" s="3">
        <v>5.2488000000000001</v>
      </c>
      <c r="N44" s="507">
        <v>5399074.8799999999</v>
      </c>
      <c r="O44" s="507">
        <v>0</v>
      </c>
      <c r="P44" s="507">
        <v>5399074.8799999999</v>
      </c>
      <c r="Q44" s="507">
        <v>5564.05</v>
      </c>
      <c r="R44" s="507">
        <v>99685.010043163216</v>
      </c>
      <c r="S44" s="507">
        <v>0</v>
      </c>
      <c r="T44" s="507">
        <v>99685.010043163216</v>
      </c>
      <c r="U44" s="507">
        <v>102.73100345121762</v>
      </c>
      <c r="V44" s="507">
        <f>Port[[#This Row],[EAD_Drawn (CNY)]]*Port[[#This Row],[CNY -&gt; FCY]]</f>
        <v>5399074.8799999999</v>
      </c>
      <c r="W44" s="507">
        <f>Port[[#This Row],[EAD_Undrawn (CNY)]]*Port[[#This Row],[CNY -&gt; FCY]]</f>
        <v>0</v>
      </c>
      <c r="X44" s="507">
        <f>Port[[#This Row],[EAD (CNY)]]*Port[[#This Row],[CNY -&gt; FCY]]</f>
        <v>5399074.8799999999</v>
      </c>
      <c r="Y44" s="507">
        <f>Port[[#This Row],[EAD_Interest (CNY)]]*Port[[#This Row],[CNY -&gt; FCY]]</f>
        <v>5564.05</v>
      </c>
      <c r="Z44" s="507">
        <f>Port[[#This Row],[ECL_Drawn (CNY)]]*Port[[#This Row],[CNY -&gt; FCY]]</f>
        <v>99685.010043163216</v>
      </c>
      <c r="AA44" s="507">
        <f>Port[[#This Row],[ECL_Undrawn (CNY)]]*Port[[#This Row],[CNY -&gt; FCY]]</f>
        <v>0</v>
      </c>
      <c r="AB44" s="507">
        <f>Port[[#This Row],[ECL (CNY)]]*Port[[#This Row],[CNY -&gt; FCY]]</f>
        <v>99685.010043163216</v>
      </c>
      <c r="AC44" s="507">
        <f>Port[[#This Row],[ECL_Interest (CNY)]]*Port[[#This Row],[CNY -&gt; FCY]]</f>
        <v>102.73100345121762</v>
      </c>
      <c r="AD44" s="507">
        <f>Port[[#This Row],[EAD_Drawn (CNY)]]*Port[[#This Row],[CNY -&gt; THB]]</f>
        <v>28338664.230144002</v>
      </c>
      <c r="AE44" s="507">
        <f>Port[[#This Row],[EAD_Undrawn (CNY)]]*Port[[#This Row],[CNY -&gt; THB]]</f>
        <v>0</v>
      </c>
      <c r="AF44" s="507">
        <f>Port[[#This Row],[EAD (CNY)]]*Port[[#This Row],[CNY -&gt; THB]]</f>
        <v>28338664.230144002</v>
      </c>
      <c r="AG44" s="507">
        <f>Port[[#This Row],[EAD_Interest (CNY)]]*Port[[#This Row],[CNY -&gt; THB]]</f>
        <v>29204.585640000001</v>
      </c>
      <c r="AH44" s="507">
        <f>Port[[#This Row],[ECL_Drawn (CNY)]]*Port[[#This Row],[CNY -&gt; THB]]</f>
        <v>523226.68071455508</v>
      </c>
      <c r="AI44" s="507">
        <f>Port[[#This Row],[ECL_Undrawn (CNY)]]*Port[[#This Row],[CNY -&gt; THB]]</f>
        <v>0</v>
      </c>
      <c r="AJ44" s="507">
        <f>Port[[#This Row],[ECL (CNY)]]*Port[[#This Row],[CNY -&gt; THB]]</f>
        <v>523226.68071455508</v>
      </c>
      <c r="AK44" s="507">
        <f>Port[[#This Row],[ECL_Interest (CNY)]]*Port[[#This Row],[CNY -&gt; THB]]</f>
        <v>539.21449091475108</v>
      </c>
      <c r="AL44" s="507">
        <f>Port[[#This Row],[EAD (THB)]]*Port[[#This Row],[PD_avg]]</f>
        <v>581362.97857172787</v>
      </c>
      <c r="AM44" s="507">
        <f>Port[[#This Row],[EAD_Interest (THB)]]*Port[[#This Row],[PD_avg]]</f>
        <v>599.12721212750114</v>
      </c>
      <c r="AN44" s="507">
        <f>Port[[#This Row],[EAD (THB)]]*Port[[#This Row],[LGD_avg]]</f>
        <v>25504797.807129603</v>
      </c>
      <c r="AO44" s="507">
        <f>Port[[#This Row],[EAD_Interest (THB)]]*Port[[#This Row],[LGD_avg]]</f>
        <v>26284.127076000001</v>
      </c>
      <c r="AP44" s="507">
        <f>Port[[#This Row],[EAD_Drawn (THB)]]+Port[[#This Row],[EAD_Interest (THB)]]</f>
        <v>28367868.815784</v>
      </c>
      <c r="AQ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425079.96345216001</v>
      </c>
      <c r="AR44" s="522">
        <f>MAX(Port[[#This Row],[ECL (THB)]]+Port[[#This Row],[ECL_Interest (THB)]], Port[[#This Row],[ECL CBIRC (THB)]])</f>
        <v>523765.89520546986</v>
      </c>
    </row>
    <row r="45" spans="1:44">
      <c r="A45" s="2" t="s">
        <v>859</v>
      </c>
      <c r="B45" s="2" t="s">
        <v>29</v>
      </c>
      <c r="C45" s="2" t="s">
        <v>17</v>
      </c>
      <c r="D45" s="2" t="s">
        <v>30</v>
      </c>
      <c r="E45" s="2" t="s">
        <v>19</v>
      </c>
      <c r="F45" s="2" t="s">
        <v>20</v>
      </c>
      <c r="G45" s="2" t="s">
        <v>21</v>
      </c>
      <c r="H45">
        <v>1</v>
      </c>
      <c r="I45" s="2" t="s">
        <v>526</v>
      </c>
      <c r="J45" s="505">
        <v>3.0745295499522811E-2</v>
      </c>
      <c r="K45" s="505">
        <v>0.90000000000000013</v>
      </c>
      <c r="L45" s="3">
        <v>1</v>
      </c>
      <c r="M45" s="3">
        <v>5.2488000000000001</v>
      </c>
      <c r="N45" s="507">
        <v>2023267.84</v>
      </c>
      <c r="O45" s="507">
        <v>0</v>
      </c>
      <c r="P45" s="507">
        <v>2023267.84</v>
      </c>
      <c r="Q45" s="507">
        <v>1830.35</v>
      </c>
      <c r="R45" s="507">
        <v>55985.370853933127</v>
      </c>
      <c r="S45" s="507">
        <v>0</v>
      </c>
      <c r="T45" s="507">
        <v>55985.370853933127</v>
      </c>
      <c r="U45" s="507">
        <v>50.647186455796422</v>
      </c>
      <c r="V45" s="507">
        <f>Port[[#This Row],[EAD_Drawn (CNY)]]*Port[[#This Row],[CNY -&gt; FCY]]</f>
        <v>2023267.84</v>
      </c>
      <c r="W45" s="507">
        <f>Port[[#This Row],[EAD_Undrawn (CNY)]]*Port[[#This Row],[CNY -&gt; FCY]]</f>
        <v>0</v>
      </c>
      <c r="X45" s="507">
        <f>Port[[#This Row],[EAD (CNY)]]*Port[[#This Row],[CNY -&gt; FCY]]</f>
        <v>2023267.84</v>
      </c>
      <c r="Y45" s="507">
        <f>Port[[#This Row],[EAD_Interest (CNY)]]*Port[[#This Row],[CNY -&gt; FCY]]</f>
        <v>1830.35</v>
      </c>
      <c r="Z45" s="507">
        <f>Port[[#This Row],[ECL_Drawn (CNY)]]*Port[[#This Row],[CNY -&gt; FCY]]</f>
        <v>55985.370853933127</v>
      </c>
      <c r="AA45" s="507">
        <f>Port[[#This Row],[ECL_Undrawn (CNY)]]*Port[[#This Row],[CNY -&gt; FCY]]</f>
        <v>0</v>
      </c>
      <c r="AB45" s="507">
        <f>Port[[#This Row],[ECL (CNY)]]*Port[[#This Row],[CNY -&gt; FCY]]</f>
        <v>55985.370853933127</v>
      </c>
      <c r="AC45" s="507">
        <f>Port[[#This Row],[ECL_Interest (CNY)]]*Port[[#This Row],[CNY -&gt; FCY]]</f>
        <v>50.647186455796422</v>
      </c>
      <c r="AD45" s="507">
        <f>Port[[#This Row],[EAD_Drawn (CNY)]]*Port[[#This Row],[CNY -&gt; THB]]</f>
        <v>10619728.238592001</v>
      </c>
      <c r="AE45" s="507">
        <f>Port[[#This Row],[EAD_Undrawn (CNY)]]*Port[[#This Row],[CNY -&gt; THB]]</f>
        <v>0</v>
      </c>
      <c r="AF45" s="507">
        <f>Port[[#This Row],[EAD (CNY)]]*Port[[#This Row],[CNY -&gt; THB]]</f>
        <v>10619728.238592001</v>
      </c>
      <c r="AG45" s="507">
        <f>Port[[#This Row],[EAD_Interest (CNY)]]*Port[[#This Row],[CNY -&gt; THB]]</f>
        <v>9607.1410799999994</v>
      </c>
      <c r="AH45" s="507">
        <f>Port[[#This Row],[ECL_Drawn (CNY)]]*Port[[#This Row],[CNY -&gt; THB]]</f>
        <v>293856.0145381242</v>
      </c>
      <c r="AI45" s="507">
        <f>Port[[#This Row],[ECL_Undrawn (CNY)]]*Port[[#This Row],[CNY -&gt; THB]]</f>
        <v>0</v>
      </c>
      <c r="AJ45" s="507">
        <f>Port[[#This Row],[ECL (CNY)]]*Port[[#This Row],[CNY -&gt; THB]]</f>
        <v>293856.0145381242</v>
      </c>
      <c r="AK45" s="507">
        <f>Port[[#This Row],[ECL_Interest (CNY)]]*Port[[#This Row],[CNY -&gt; THB]]</f>
        <v>265.83695226918428</v>
      </c>
      <c r="AL45" s="507">
        <f>Port[[#This Row],[EAD (THB)]]*Port[[#This Row],[PD_avg]]</f>
        <v>326506.68282013794</v>
      </c>
      <c r="AM45" s="507">
        <f>Port[[#This Row],[EAD_Interest (THB)]]*Port[[#This Row],[PD_avg]]</f>
        <v>295.37439141020468</v>
      </c>
      <c r="AN45" s="507">
        <f>Port[[#This Row],[EAD (THB)]]*Port[[#This Row],[LGD_avg]]</f>
        <v>9557755.4147328027</v>
      </c>
      <c r="AO45" s="507">
        <f>Port[[#This Row],[EAD_Interest (THB)]]*Port[[#This Row],[LGD_avg]]</f>
        <v>8646.4269720000011</v>
      </c>
      <c r="AP45" s="507">
        <f>Port[[#This Row],[EAD_Drawn (THB)]]+Port[[#This Row],[EAD_Interest (THB)]]</f>
        <v>10629335.379672</v>
      </c>
      <c r="AQ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159295.92357888</v>
      </c>
      <c r="AR45" s="522">
        <f>MAX(Port[[#This Row],[ECL (THB)]]+Port[[#This Row],[ECL_Interest (THB)]], Port[[#This Row],[ECL CBIRC (THB)]])</f>
        <v>294121.8514903934</v>
      </c>
    </row>
    <row r="46" spans="1:44">
      <c r="A46" s="2" t="s">
        <v>860</v>
      </c>
      <c r="B46" s="2" t="s">
        <v>44</v>
      </c>
      <c r="C46" s="2" t="s">
        <v>17</v>
      </c>
      <c r="D46" s="2" t="s">
        <v>30</v>
      </c>
      <c r="E46" s="2" t="s">
        <v>19</v>
      </c>
      <c r="F46" s="2" t="s">
        <v>20</v>
      </c>
      <c r="G46" s="2" t="s">
        <v>21</v>
      </c>
      <c r="H46">
        <v>1</v>
      </c>
      <c r="I46" s="2" t="s">
        <v>526</v>
      </c>
      <c r="J46" s="505">
        <v>2.0514833509807026E-2</v>
      </c>
      <c r="K46" s="505">
        <v>0.9</v>
      </c>
      <c r="L46" s="3">
        <v>1</v>
      </c>
      <c r="M46" s="3">
        <v>5.2488000000000001</v>
      </c>
      <c r="N46" s="507">
        <v>10080077.98</v>
      </c>
      <c r="O46" s="507">
        <v>0</v>
      </c>
      <c r="P46" s="507">
        <v>10080077.98</v>
      </c>
      <c r="Q46" s="507">
        <v>10388.08</v>
      </c>
      <c r="R46" s="507">
        <v>186112.00937301473</v>
      </c>
      <c r="S46" s="507">
        <v>0</v>
      </c>
      <c r="T46" s="507">
        <v>186112.00937301473</v>
      </c>
      <c r="U46" s="507">
        <v>191.79875851790058</v>
      </c>
      <c r="V46" s="507">
        <f>Port[[#This Row],[EAD_Drawn (CNY)]]*Port[[#This Row],[CNY -&gt; FCY]]</f>
        <v>10080077.98</v>
      </c>
      <c r="W46" s="507">
        <f>Port[[#This Row],[EAD_Undrawn (CNY)]]*Port[[#This Row],[CNY -&gt; FCY]]</f>
        <v>0</v>
      </c>
      <c r="X46" s="507">
        <f>Port[[#This Row],[EAD (CNY)]]*Port[[#This Row],[CNY -&gt; FCY]]</f>
        <v>10080077.98</v>
      </c>
      <c r="Y46" s="507">
        <f>Port[[#This Row],[EAD_Interest (CNY)]]*Port[[#This Row],[CNY -&gt; FCY]]</f>
        <v>10388.08</v>
      </c>
      <c r="Z46" s="507">
        <f>Port[[#This Row],[ECL_Drawn (CNY)]]*Port[[#This Row],[CNY -&gt; FCY]]</f>
        <v>186112.00937301473</v>
      </c>
      <c r="AA46" s="507">
        <f>Port[[#This Row],[ECL_Undrawn (CNY)]]*Port[[#This Row],[CNY -&gt; FCY]]</f>
        <v>0</v>
      </c>
      <c r="AB46" s="507">
        <f>Port[[#This Row],[ECL (CNY)]]*Port[[#This Row],[CNY -&gt; FCY]]</f>
        <v>186112.00937301473</v>
      </c>
      <c r="AC46" s="507">
        <f>Port[[#This Row],[ECL_Interest (CNY)]]*Port[[#This Row],[CNY -&gt; FCY]]</f>
        <v>191.79875851790058</v>
      </c>
      <c r="AD46" s="507">
        <f>Port[[#This Row],[EAD_Drawn (CNY)]]*Port[[#This Row],[CNY -&gt; THB]]</f>
        <v>52908313.301424004</v>
      </c>
      <c r="AE46" s="507">
        <f>Port[[#This Row],[EAD_Undrawn (CNY)]]*Port[[#This Row],[CNY -&gt; THB]]</f>
        <v>0</v>
      </c>
      <c r="AF46" s="507">
        <f>Port[[#This Row],[EAD (CNY)]]*Port[[#This Row],[CNY -&gt; THB]]</f>
        <v>52908313.301424004</v>
      </c>
      <c r="AG46" s="507">
        <f>Port[[#This Row],[EAD_Interest (CNY)]]*Port[[#This Row],[CNY -&gt; THB]]</f>
        <v>54524.954303999999</v>
      </c>
      <c r="AH46" s="507">
        <f>Port[[#This Row],[ECL_Drawn (CNY)]]*Port[[#This Row],[CNY -&gt; THB]]</f>
        <v>976864.7147970798</v>
      </c>
      <c r="AI46" s="507">
        <f>Port[[#This Row],[ECL_Undrawn (CNY)]]*Port[[#This Row],[CNY -&gt; THB]]</f>
        <v>0</v>
      </c>
      <c r="AJ46" s="507">
        <f>Port[[#This Row],[ECL (CNY)]]*Port[[#This Row],[CNY -&gt; THB]]</f>
        <v>976864.7147970798</v>
      </c>
      <c r="AK46" s="507">
        <f>Port[[#This Row],[ECL_Interest (CNY)]]*Port[[#This Row],[CNY -&gt; THB]]</f>
        <v>1006.7133237087565</v>
      </c>
      <c r="AL46" s="507">
        <f>Port[[#This Row],[EAD (THB)]]*Port[[#This Row],[PD_avg]]</f>
        <v>1085405.2386634219</v>
      </c>
      <c r="AM46" s="507">
        <f>Port[[#This Row],[EAD_Interest (THB)]]*Port[[#This Row],[PD_avg]]</f>
        <v>1118.570359676396</v>
      </c>
      <c r="AN46" s="507">
        <f>Port[[#This Row],[EAD (THB)]]*Port[[#This Row],[LGD_avg]]</f>
        <v>47617481.971281603</v>
      </c>
      <c r="AO46" s="507">
        <f>Port[[#This Row],[EAD_Interest (THB)]]*Port[[#This Row],[LGD_avg]]</f>
        <v>49072.458873600001</v>
      </c>
      <c r="AP46" s="507">
        <f>Port[[#This Row],[EAD_Drawn (THB)]]+Port[[#This Row],[EAD_Interest (THB)]]</f>
        <v>52962838.255728006</v>
      </c>
      <c r="AQ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793624.69952135999</v>
      </c>
      <c r="AR46" s="522">
        <f>MAX(Port[[#This Row],[ECL (THB)]]+Port[[#This Row],[ECL_Interest (THB)]], Port[[#This Row],[ECL CBIRC (THB)]])</f>
        <v>977871.42812078854</v>
      </c>
    </row>
    <row r="47" spans="1:44">
      <c r="A47" s="2" t="s">
        <v>861</v>
      </c>
      <c r="B47" s="2" t="s">
        <v>29</v>
      </c>
      <c r="C47" s="2" t="s">
        <v>17</v>
      </c>
      <c r="D47" s="2" t="s">
        <v>30</v>
      </c>
      <c r="E47" s="2" t="s">
        <v>19</v>
      </c>
      <c r="F47" s="2" t="s">
        <v>20</v>
      </c>
      <c r="G47" s="2" t="s">
        <v>21</v>
      </c>
      <c r="H47">
        <v>1</v>
      </c>
      <c r="I47" s="2" t="s">
        <v>526</v>
      </c>
      <c r="J47" s="505">
        <v>3.0745295499522811E-2</v>
      </c>
      <c r="K47" s="505">
        <v>0.89999999999999991</v>
      </c>
      <c r="L47" s="3">
        <v>1</v>
      </c>
      <c r="M47" s="3">
        <v>5.2488000000000001</v>
      </c>
      <c r="N47" s="507">
        <v>290936.07</v>
      </c>
      <c r="O47" s="507">
        <v>0</v>
      </c>
      <c r="P47" s="507">
        <v>290936.07</v>
      </c>
      <c r="Q47" s="507">
        <v>263.2</v>
      </c>
      <c r="R47" s="507">
        <v>8050.4238992578685</v>
      </c>
      <c r="S47" s="507">
        <v>0</v>
      </c>
      <c r="T47" s="507">
        <v>8050.4238992578685</v>
      </c>
      <c r="U47" s="507">
        <v>7.2829455979269646</v>
      </c>
      <c r="V47" s="507">
        <f>Port[[#This Row],[EAD_Drawn (CNY)]]*Port[[#This Row],[CNY -&gt; FCY]]</f>
        <v>290936.07</v>
      </c>
      <c r="W47" s="507">
        <f>Port[[#This Row],[EAD_Undrawn (CNY)]]*Port[[#This Row],[CNY -&gt; FCY]]</f>
        <v>0</v>
      </c>
      <c r="X47" s="507">
        <f>Port[[#This Row],[EAD (CNY)]]*Port[[#This Row],[CNY -&gt; FCY]]</f>
        <v>290936.07</v>
      </c>
      <c r="Y47" s="507">
        <f>Port[[#This Row],[EAD_Interest (CNY)]]*Port[[#This Row],[CNY -&gt; FCY]]</f>
        <v>263.2</v>
      </c>
      <c r="Z47" s="507">
        <f>Port[[#This Row],[ECL_Drawn (CNY)]]*Port[[#This Row],[CNY -&gt; FCY]]</f>
        <v>8050.4238992578685</v>
      </c>
      <c r="AA47" s="507">
        <f>Port[[#This Row],[ECL_Undrawn (CNY)]]*Port[[#This Row],[CNY -&gt; FCY]]</f>
        <v>0</v>
      </c>
      <c r="AB47" s="507">
        <f>Port[[#This Row],[ECL (CNY)]]*Port[[#This Row],[CNY -&gt; FCY]]</f>
        <v>8050.4238992578685</v>
      </c>
      <c r="AC47" s="507">
        <f>Port[[#This Row],[ECL_Interest (CNY)]]*Port[[#This Row],[CNY -&gt; FCY]]</f>
        <v>7.2829455979269646</v>
      </c>
      <c r="AD47" s="507">
        <f>Port[[#This Row],[EAD_Drawn (CNY)]]*Port[[#This Row],[CNY -&gt; THB]]</f>
        <v>1527065.244216</v>
      </c>
      <c r="AE47" s="507">
        <f>Port[[#This Row],[EAD_Undrawn (CNY)]]*Port[[#This Row],[CNY -&gt; THB]]</f>
        <v>0</v>
      </c>
      <c r="AF47" s="507">
        <f>Port[[#This Row],[EAD (CNY)]]*Port[[#This Row],[CNY -&gt; THB]]</f>
        <v>1527065.244216</v>
      </c>
      <c r="AG47" s="507">
        <f>Port[[#This Row],[EAD_Interest (CNY)]]*Port[[#This Row],[CNY -&gt; THB]]</f>
        <v>1381.48416</v>
      </c>
      <c r="AH47" s="507">
        <f>Port[[#This Row],[ECL_Drawn (CNY)]]*Port[[#This Row],[CNY -&gt; THB]]</f>
        <v>42255.064962424702</v>
      </c>
      <c r="AI47" s="507">
        <f>Port[[#This Row],[ECL_Undrawn (CNY)]]*Port[[#This Row],[CNY -&gt; THB]]</f>
        <v>0</v>
      </c>
      <c r="AJ47" s="507">
        <f>Port[[#This Row],[ECL (CNY)]]*Port[[#This Row],[CNY -&gt; THB]]</f>
        <v>42255.064962424702</v>
      </c>
      <c r="AK47" s="507">
        <f>Port[[#This Row],[ECL_Interest (CNY)]]*Port[[#This Row],[CNY -&gt; THB]]</f>
        <v>38.226724854399052</v>
      </c>
      <c r="AL47" s="507">
        <f>Port[[#This Row],[EAD (THB)]]*Port[[#This Row],[PD_avg]]</f>
        <v>46950.072180471885</v>
      </c>
      <c r="AM47" s="507">
        <f>Port[[#This Row],[EAD_Interest (THB)]]*Port[[#This Row],[PD_avg]]</f>
        <v>42.474138727110052</v>
      </c>
      <c r="AN47" s="507">
        <f>Port[[#This Row],[EAD (THB)]]*Port[[#This Row],[LGD_avg]]</f>
        <v>1374358.7197943998</v>
      </c>
      <c r="AO47" s="507">
        <f>Port[[#This Row],[EAD_Interest (THB)]]*Port[[#This Row],[LGD_avg]]</f>
        <v>1243.3357439999997</v>
      </c>
      <c r="AP47" s="507">
        <f>Port[[#This Row],[EAD_Drawn (THB)]]+Port[[#This Row],[EAD_Interest (THB)]]</f>
        <v>1528446.728376</v>
      </c>
      <c r="AQ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22905.978663239999</v>
      </c>
      <c r="AR47" s="522">
        <f>MAX(Port[[#This Row],[ECL (THB)]]+Port[[#This Row],[ECL_Interest (THB)]], Port[[#This Row],[ECL CBIRC (THB)]])</f>
        <v>42293.291687279103</v>
      </c>
    </row>
    <row r="48" spans="1:44">
      <c r="A48" s="2" t="s">
        <v>862</v>
      </c>
      <c r="B48" s="2" t="s">
        <v>29</v>
      </c>
      <c r="C48" s="2" t="s">
        <v>17</v>
      </c>
      <c r="D48" s="2" t="s">
        <v>30</v>
      </c>
      <c r="E48" s="2" t="s">
        <v>19</v>
      </c>
      <c r="F48" s="2" t="s">
        <v>20</v>
      </c>
      <c r="G48" s="2" t="s">
        <v>21</v>
      </c>
      <c r="H48">
        <v>1</v>
      </c>
      <c r="I48" s="2" t="s">
        <v>526</v>
      </c>
      <c r="J48" s="505">
        <v>3.0745295499522811E-2</v>
      </c>
      <c r="K48" s="505">
        <v>0.9</v>
      </c>
      <c r="L48" s="3">
        <v>1</v>
      </c>
      <c r="M48" s="3">
        <v>5.2488000000000001</v>
      </c>
      <c r="N48" s="507">
        <v>190919</v>
      </c>
      <c r="O48" s="507">
        <v>0</v>
      </c>
      <c r="P48" s="507">
        <v>190919</v>
      </c>
      <c r="Q48" s="507">
        <v>172.72</v>
      </c>
      <c r="R48" s="507">
        <v>5282.8749643260562</v>
      </c>
      <c r="S48" s="507">
        <v>0</v>
      </c>
      <c r="T48" s="507">
        <v>5282.8749643260562</v>
      </c>
      <c r="U48" s="507">
        <v>4.7792946948098223</v>
      </c>
      <c r="V48" s="507">
        <f>Port[[#This Row],[EAD_Drawn (CNY)]]*Port[[#This Row],[CNY -&gt; FCY]]</f>
        <v>190919</v>
      </c>
      <c r="W48" s="507">
        <f>Port[[#This Row],[EAD_Undrawn (CNY)]]*Port[[#This Row],[CNY -&gt; FCY]]</f>
        <v>0</v>
      </c>
      <c r="X48" s="507">
        <f>Port[[#This Row],[EAD (CNY)]]*Port[[#This Row],[CNY -&gt; FCY]]</f>
        <v>190919</v>
      </c>
      <c r="Y48" s="507">
        <f>Port[[#This Row],[EAD_Interest (CNY)]]*Port[[#This Row],[CNY -&gt; FCY]]</f>
        <v>172.72</v>
      </c>
      <c r="Z48" s="507">
        <f>Port[[#This Row],[ECL_Drawn (CNY)]]*Port[[#This Row],[CNY -&gt; FCY]]</f>
        <v>5282.8749643260562</v>
      </c>
      <c r="AA48" s="507">
        <f>Port[[#This Row],[ECL_Undrawn (CNY)]]*Port[[#This Row],[CNY -&gt; FCY]]</f>
        <v>0</v>
      </c>
      <c r="AB48" s="507">
        <f>Port[[#This Row],[ECL (CNY)]]*Port[[#This Row],[CNY -&gt; FCY]]</f>
        <v>5282.8749643260562</v>
      </c>
      <c r="AC48" s="507">
        <f>Port[[#This Row],[ECL_Interest (CNY)]]*Port[[#This Row],[CNY -&gt; FCY]]</f>
        <v>4.7792946948098223</v>
      </c>
      <c r="AD48" s="507">
        <f>Port[[#This Row],[EAD_Drawn (CNY)]]*Port[[#This Row],[CNY -&gt; THB]]</f>
        <v>1002095.6472</v>
      </c>
      <c r="AE48" s="507">
        <f>Port[[#This Row],[EAD_Undrawn (CNY)]]*Port[[#This Row],[CNY -&gt; THB]]</f>
        <v>0</v>
      </c>
      <c r="AF48" s="507">
        <f>Port[[#This Row],[EAD (CNY)]]*Port[[#This Row],[CNY -&gt; THB]]</f>
        <v>1002095.6472</v>
      </c>
      <c r="AG48" s="507">
        <f>Port[[#This Row],[EAD_Interest (CNY)]]*Port[[#This Row],[CNY -&gt; THB]]</f>
        <v>906.57273599999996</v>
      </c>
      <c r="AH48" s="507">
        <f>Port[[#This Row],[ECL_Drawn (CNY)]]*Port[[#This Row],[CNY -&gt; THB]]</f>
        <v>27728.754112754603</v>
      </c>
      <c r="AI48" s="507">
        <f>Port[[#This Row],[ECL_Undrawn (CNY)]]*Port[[#This Row],[CNY -&gt; THB]]</f>
        <v>0</v>
      </c>
      <c r="AJ48" s="507">
        <f>Port[[#This Row],[ECL (CNY)]]*Port[[#This Row],[CNY -&gt; THB]]</f>
        <v>27728.754112754603</v>
      </c>
      <c r="AK48" s="507">
        <f>Port[[#This Row],[ECL_Interest (CNY)]]*Port[[#This Row],[CNY -&gt; THB]]</f>
        <v>25.085561994117796</v>
      </c>
      <c r="AL48" s="507">
        <f>Port[[#This Row],[EAD (THB)]]*Port[[#This Row],[PD_avg]]</f>
        <v>30809.726791949557</v>
      </c>
      <c r="AM48" s="507">
        <f>Port[[#This Row],[EAD_Interest (THB)]]*Port[[#This Row],[PD_avg]]</f>
        <v>27.872846660130879</v>
      </c>
      <c r="AN48" s="507">
        <f>Port[[#This Row],[EAD (THB)]]*Port[[#This Row],[LGD_avg]]</f>
        <v>901886.08247999998</v>
      </c>
      <c r="AO48" s="507">
        <f>Port[[#This Row],[EAD_Interest (THB)]]*Port[[#This Row],[LGD_avg]]</f>
        <v>815.91546240000002</v>
      </c>
      <c r="AP48" s="507">
        <f>Port[[#This Row],[EAD_Drawn (THB)]]+Port[[#This Row],[EAD_Interest (THB)]]</f>
        <v>1003002.219936</v>
      </c>
      <c r="AQ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15031.434707999999</v>
      </c>
      <c r="AR48" s="522">
        <f>MAX(Port[[#This Row],[ECL (THB)]]+Port[[#This Row],[ECL_Interest (THB)]], Port[[#This Row],[ECL CBIRC (THB)]])</f>
        <v>27753.83967474872</v>
      </c>
    </row>
    <row r="49" spans="1:44">
      <c r="A49" s="2" t="s">
        <v>863</v>
      </c>
      <c r="B49" s="2" t="s">
        <v>864</v>
      </c>
      <c r="C49" s="2" t="s">
        <v>17</v>
      </c>
      <c r="D49" s="2" t="s">
        <v>25</v>
      </c>
      <c r="E49" s="2" t="s">
        <v>19</v>
      </c>
      <c r="F49" s="2" t="s">
        <v>20</v>
      </c>
      <c r="G49" s="2" t="s">
        <v>21</v>
      </c>
      <c r="H49">
        <v>1</v>
      </c>
      <c r="I49" s="2" t="s">
        <v>526</v>
      </c>
      <c r="J49" s="505">
        <v>4.8109749303825028E-2</v>
      </c>
      <c r="K49" s="505">
        <v>0.89999999999999991</v>
      </c>
      <c r="L49" s="3">
        <v>1</v>
      </c>
      <c r="M49" s="3">
        <v>5.2488000000000001</v>
      </c>
      <c r="N49" s="507">
        <v>30000000</v>
      </c>
      <c r="O49" s="507">
        <v>0</v>
      </c>
      <c r="P49" s="507">
        <v>30000000</v>
      </c>
      <c r="Q49" s="507">
        <v>41250</v>
      </c>
      <c r="R49" s="507">
        <v>1298963.2312032757</v>
      </c>
      <c r="S49" s="507">
        <v>0</v>
      </c>
      <c r="T49" s="507">
        <v>1298963.2312032757</v>
      </c>
      <c r="U49" s="507">
        <v>1786.0744429045042</v>
      </c>
      <c r="V49" s="507">
        <f>Port[[#This Row],[EAD_Drawn (CNY)]]*Port[[#This Row],[CNY -&gt; FCY]]</f>
        <v>30000000</v>
      </c>
      <c r="W49" s="507">
        <f>Port[[#This Row],[EAD_Undrawn (CNY)]]*Port[[#This Row],[CNY -&gt; FCY]]</f>
        <v>0</v>
      </c>
      <c r="X49" s="507">
        <f>Port[[#This Row],[EAD (CNY)]]*Port[[#This Row],[CNY -&gt; FCY]]</f>
        <v>30000000</v>
      </c>
      <c r="Y49" s="507">
        <f>Port[[#This Row],[EAD_Interest (CNY)]]*Port[[#This Row],[CNY -&gt; FCY]]</f>
        <v>41250</v>
      </c>
      <c r="Z49" s="507">
        <f>Port[[#This Row],[ECL_Drawn (CNY)]]*Port[[#This Row],[CNY -&gt; FCY]]</f>
        <v>1298963.2312032757</v>
      </c>
      <c r="AA49" s="507">
        <f>Port[[#This Row],[ECL_Undrawn (CNY)]]*Port[[#This Row],[CNY -&gt; FCY]]</f>
        <v>0</v>
      </c>
      <c r="AB49" s="507">
        <f>Port[[#This Row],[ECL (CNY)]]*Port[[#This Row],[CNY -&gt; FCY]]</f>
        <v>1298963.2312032757</v>
      </c>
      <c r="AC49" s="507">
        <f>Port[[#This Row],[ECL_Interest (CNY)]]*Port[[#This Row],[CNY -&gt; FCY]]</f>
        <v>1786.0744429045042</v>
      </c>
      <c r="AD49" s="507">
        <f>Port[[#This Row],[EAD_Drawn (CNY)]]*Port[[#This Row],[CNY -&gt; THB]]</f>
        <v>157464000</v>
      </c>
      <c r="AE49" s="507">
        <f>Port[[#This Row],[EAD_Undrawn (CNY)]]*Port[[#This Row],[CNY -&gt; THB]]</f>
        <v>0</v>
      </c>
      <c r="AF49" s="507">
        <f>Port[[#This Row],[EAD (CNY)]]*Port[[#This Row],[CNY -&gt; THB]]</f>
        <v>157464000</v>
      </c>
      <c r="AG49" s="507">
        <f>Port[[#This Row],[EAD_Interest (CNY)]]*Port[[#This Row],[CNY -&gt; THB]]</f>
        <v>216513</v>
      </c>
      <c r="AH49" s="507">
        <f>Port[[#This Row],[ECL_Drawn (CNY)]]*Port[[#This Row],[CNY -&gt; THB]]</f>
        <v>6817998.2079397542</v>
      </c>
      <c r="AI49" s="507">
        <f>Port[[#This Row],[ECL_Undrawn (CNY)]]*Port[[#This Row],[CNY -&gt; THB]]</f>
        <v>0</v>
      </c>
      <c r="AJ49" s="507">
        <f>Port[[#This Row],[ECL (CNY)]]*Port[[#This Row],[CNY -&gt; THB]]</f>
        <v>6817998.2079397542</v>
      </c>
      <c r="AK49" s="507">
        <f>Port[[#This Row],[ECL_Interest (CNY)]]*Port[[#This Row],[CNY -&gt; THB]]</f>
        <v>9374.7475359171622</v>
      </c>
      <c r="AL49" s="507">
        <f>Port[[#This Row],[EAD (THB)]]*Port[[#This Row],[PD_avg]]</f>
        <v>7575553.5643775044</v>
      </c>
      <c r="AM49" s="507">
        <f>Port[[#This Row],[EAD_Interest (THB)]]*Port[[#This Row],[PD_avg]]</f>
        <v>10416.386151019069</v>
      </c>
      <c r="AN49" s="507">
        <f>Port[[#This Row],[EAD (THB)]]*Port[[#This Row],[LGD_avg]]</f>
        <v>141717600</v>
      </c>
      <c r="AO49" s="507">
        <f>Port[[#This Row],[EAD_Interest (THB)]]*Port[[#This Row],[LGD_avg]]</f>
        <v>194861.69999999998</v>
      </c>
      <c r="AP49" s="507">
        <f>Port[[#This Row],[EAD_Drawn (THB)]]+Port[[#This Row],[EAD_Interest (THB)]]</f>
        <v>157680513</v>
      </c>
      <c r="AQ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2361960</v>
      </c>
      <c r="AR49" s="522">
        <f>MAX(Port[[#This Row],[ECL (THB)]]+Port[[#This Row],[ECL_Interest (THB)]], Port[[#This Row],[ECL CBIRC (THB)]])</f>
        <v>6827372.9554756712</v>
      </c>
    </row>
    <row r="50" spans="1:44">
      <c r="A50" s="2" t="s">
        <v>865</v>
      </c>
      <c r="B50" s="2" t="s">
        <v>29</v>
      </c>
      <c r="C50" s="2" t="s">
        <v>17</v>
      </c>
      <c r="D50" s="2" t="s">
        <v>30</v>
      </c>
      <c r="E50" s="2" t="s">
        <v>19</v>
      </c>
      <c r="F50" s="2" t="s">
        <v>20</v>
      </c>
      <c r="G50" s="2" t="s">
        <v>21</v>
      </c>
      <c r="H50">
        <v>1</v>
      </c>
      <c r="I50" s="2" t="s">
        <v>526</v>
      </c>
      <c r="J50" s="505">
        <v>3.0745295499522811E-2</v>
      </c>
      <c r="K50" s="505">
        <v>0.90000000000000013</v>
      </c>
      <c r="L50" s="3">
        <v>1</v>
      </c>
      <c r="M50" s="3">
        <v>5.2488000000000001</v>
      </c>
      <c r="N50" s="507">
        <v>871200</v>
      </c>
      <c r="O50" s="507">
        <v>0</v>
      </c>
      <c r="P50" s="507">
        <v>871200</v>
      </c>
      <c r="Q50" s="507">
        <v>788.13</v>
      </c>
      <c r="R50" s="507">
        <v>24106.771295265848</v>
      </c>
      <c r="S50" s="507">
        <v>0</v>
      </c>
      <c r="T50" s="507">
        <v>24106.771295265848</v>
      </c>
      <c r="U50" s="507">
        <v>21.80816076783502</v>
      </c>
      <c r="V50" s="507">
        <f>Port[[#This Row],[EAD_Drawn (CNY)]]*Port[[#This Row],[CNY -&gt; FCY]]</f>
        <v>871200</v>
      </c>
      <c r="W50" s="507">
        <f>Port[[#This Row],[EAD_Undrawn (CNY)]]*Port[[#This Row],[CNY -&gt; FCY]]</f>
        <v>0</v>
      </c>
      <c r="X50" s="507">
        <f>Port[[#This Row],[EAD (CNY)]]*Port[[#This Row],[CNY -&gt; FCY]]</f>
        <v>871200</v>
      </c>
      <c r="Y50" s="507">
        <f>Port[[#This Row],[EAD_Interest (CNY)]]*Port[[#This Row],[CNY -&gt; FCY]]</f>
        <v>788.13</v>
      </c>
      <c r="Z50" s="507">
        <f>Port[[#This Row],[ECL_Drawn (CNY)]]*Port[[#This Row],[CNY -&gt; FCY]]</f>
        <v>24106.771295265848</v>
      </c>
      <c r="AA50" s="507">
        <f>Port[[#This Row],[ECL_Undrawn (CNY)]]*Port[[#This Row],[CNY -&gt; FCY]]</f>
        <v>0</v>
      </c>
      <c r="AB50" s="507">
        <f>Port[[#This Row],[ECL (CNY)]]*Port[[#This Row],[CNY -&gt; FCY]]</f>
        <v>24106.771295265848</v>
      </c>
      <c r="AC50" s="507">
        <f>Port[[#This Row],[ECL_Interest (CNY)]]*Port[[#This Row],[CNY -&gt; FCY]]</f>
        <v>21.80816076783502</v>
      </c>
      <c r="AD50" s="507">
        <f>Port[[#This Row],[EAD_Drawn (CNY)]]*Port[[#This Row],[CNY -&gt; THB]]</f>
        <v>4572754.5600000005</v>
      </c>
      <c r="AE50" s="507">
        <f>Port[[#This Row],[EAD_Undrawn (CNY)]]*Port[[#This Row],[CNY -&gt; THB]]</f>
        <v>0</v>
      </c>
      <c r="AF50" s="507">
        <f>Port[[#This Row],[EAD (CNY)]]*Port[[#This Row],[CNY -&gt; THB]]</f>
        <v>4572754.5600000005</v>
      </c>
      <c r="AG50" s="507">
        <f>Port[[#This Row],[EAD_Interest (CNY)]]*Port[[#This Row],[CNY -&gt; THB]]</f>
        <v>4136.7367439999998</v>
      </c>
      <c r="AH50" s="507">
        <f>Port[[#This Row],[ECL_Drawn (CNY)]]*Port[[#This Row],[CNY -&gt; THB]]</f>
        <v>126531.62117459139</v>
      </c>
      <c r="AI50" s="507">
        <f>Port[[#This Row],[ECL_Undrawn (CNY)]]*Port[[#This Row],[CNY -&gt; THB]]</f>
        <v>0</v>
      </c>
      <c r="AJ50" s="507">
        <f>Port[[#This Row],[ECL (CNY)]]*Port[[#This Row],[CNY -&gt; THB]]</f>
        <v>126531.62117459139</v>
      </c>
      <c r="AK50" s="507">
        <f>Port[[#This Row],[ECL_Interest (CNY)]]*Port[[#This Row],[CNY -&gt; THB]]</f>
        <v>114.46667423821245</v>
      </c>
      <c r="AL50" s="507">
        <f>Port[[#This Row],[EAD (THB)]]*Port[[#This Row],[PD_avg]]</f>
        <v>140590.69019399042</v>
      </c>
      <c r="AM50" s="507">
        <f>Port[[#This Row],[EAD_Interest (THB)]]*Port[[#This Row],[PD_avg]]</f>
        <v>127.18519359801384</v>
      </c>
      <c r="AN50" s="507">
        <f>Port[[#This Row],[EAD (THB)]]*Port[[#This Row],[LGD_avg]]</f>
        <v>4115479.1040000012</v>
      </c>
      <c r="AO50" s="507">
        <f>Port[[#This Row],[EAD_Interest (THB)]]*Port[[#This Row],[LGD_avg]]</f>
        <v>3723.0630696000003</v>
      </c>
      <c r="AP50" s="507">
        <f>Port[[#This Row],[EAD_Drawn (THB)]]+Port[[#This Row],[EAD_Interest (THB)]]</f>
        <v>4576891.2967440002</v>
      </c>
      <c r="AQ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68591.318400000004</v>
      </c>
      <c r="AR50" s="522">
        <f>MAX(Port[[#This Row],[ECL (THB)]]+Port[[#This Row],[ECL_Interest (THB)]], Port[[#This Row],[ECL CBIRC (THB)]])</f>
        <v>126646.0878488296</v>
      </c>
    </row>
    <row r="51" spans="1:44">
      <c r="A51" s="2" t="s">
        <v>866</v>
      </c>
      <c r="B51" s="2" t="s">
        <v>864</v>
      </c>
      <c r="C51" s="2" t="s">
        <v>17</v>
      </c>
      <c r="D51" s="2" t="s">
        <v>25</v>
      </c>
      <c r="E51" s="2" t="s">
        <v>19</v>
      </c>
      <c r="F51" s="2" t="s">
        <v>20</v>
      </c>
      <c r="G51" s="2" t="s">
        <v>21</v>
      </c>
      <c r="H51">
        <v>1</v>
      </c>
      <c r="I51" s="2" t="s">
        <v>526</v>
      </c>
      <c r="J51" s="505">
        <v>4.8109749303825028E-2</v>
      </c>
      <c r="K51" s="505">
        <v>0.9</v>
      </c>
      <c r="L51" s="3">
        <v>1</v>
      </c>
      <c r="M51" s="3">
        <v>5.2488000000000001</v>
      </c>
      <c r="N51" s="507">
        <v>20000000</v>
      </c>
      <c r="O51" s="507">
        <v>0</v>
      </c>
      <c r="P51" s="507">
        <v>20000000</v>
      </c>
      <c r="Q51" s="507">
        <v>27500</v>
      </c>
      <c r="R51" s="507">
        <v>865975.48746885045</v>
      </c>
      <c r="S51" s="507">
        <v>0</v>
      </c>
      <c r="T51" s="507">
        <v>865975.48746885045</v>
      </c>
      <c r="U51" s="507">
        <v>1190.7162952696694</v>
      </c>
      <c r="V51" s="507">
        <f>Port[[#This Row],[EAD_Drawn (CNY)]]*Port[[#This Row],[CNY -&gt; FCY]]</f>
        <v>20000000</v>
      </c>
      <c r="W51" s="507">
        <f>Port[[#This Row],[EAD_Undrawn (CNY)]]*Port[[#This Row],[CNY -&gt; FCY]]</f>
        <v>0</v>
      </c>
      <c r="X51" s="507">
        <f>Port[[#This Row],[EAD (CNY)]]*Port[[#This Row],[CNY -&gt; FCY]]</f>
        <v>20000000</v>
      </c>
      <c r="Y51" s="507">
        <f>Port[[#This Row],[EAD_Interest (CNY)]]*Port[[#This Row],[CNY -&gt; FCY]]</f>
        <v>27500</v>
      </c>
      <c r="Z51" s="507">
        <f>Port[[#This Row],[ECL_Drawn (CNY)]]*Port[[#This Row],[CNY -&gt; FCY]]</f>
        <v>865975.48746885045</v>
      </c>
      <c r="AA51" s="507">
        <f>Port[[#This Row],[ECL_Undrawn (CNY)]]*Port[[#This Row],[CNY -&gt; FCY]]</f>
        <v>0</v>
      </c>
      <c r="AB51" s="507">
        <f>Port[[#This Row],[ECL (CNY)]]*Port[[#This Row],[CNY -&gt; FCY]]</f>
        <v>865975.48746885045</v>
      </c>
      <c r="AC51" s="507">
        <f>Port[[#This Row],[ECL_Interest (CNY)]]*Port[[#This Row],[CNY -&gt; FCY]]</f>
        <v>1190.7162952696694</v>
      </c>
      <c r="AD51" s="507">
        <f>Port[[#This Row],[EAD_Drawn (CNY)]]*Port[[#This Row],[CNY -&gt; THB]]</f>
        <v>104976000</v>
      </c>
      <c r="AE51" s="507">
        <f>Port[[#This Row],[EAD_Undrawn (CNY)]]*Port[[#This Row],[CNY -&gt; THB]]</f>
        <v>0</v>
      </c>
      <c r="AF51" s="507">
        <f>Port[[#This Row],[EAD (CNY)]]*Port[[#This Row],[CNY -&gt; THB]]</f>
        <v>104976000</v>
      </c>
      <c r="AG51" s="507">
        <f>Port[[#This Row],[EAD_Interest (CNY)]]*Port[[#This Row],[CNY -&gt; THB]]</f>
        <v>144342</v>
      </c>
      <c r="AH51" s="507">
        <f>Port[[#This Row],[ECL_Drawn (CNY)]]*Port[[#This Row],[CNY -&gt; THB]]</f>
        <v>4545332.1386265019</v>
      </c>
      <c r="AI51" s="507">
        <f>Port[[#This Row],[ECL_Undrawn (CNY)]]*Port[[#This Row],[CNY -&gt; THB]]</f>
        <v>0</v>
      </c>
      <c r="AJ51" s="507">
        <f>Port[[#This Row],[ECL (CNY)]]*Port[[#This Row],[CNY -&gt; THB]]</f>
        <v>4545332.1386265019</v>
      </c>
      <c r="AK51" s="507">
        <f>Port[[#This Row],[ECL_Interest (CNY)]]*Port[[#This Row],[CNY -&gt; THB]]</f>
        <v>6249.8316906114414</v>
      </c>
      <c r="AL51" s="507">
        <f>Port[[#This Row],[EAD (THB)]]*Port[[#This Row],[PD_avg]]</f>
        <v>5050369.0429183366</v>
      </c>
      <c r="AM51" s="507">
        <f>Port[[#This Row],[EAD_Interest (THB)]]*Port[[#This Row],[PD_avg]]</f>
        <v>6944.2574340127121</v>
      </c>
      <c r="AN51" s="507">
        <f>Port[[#This Row],[EAD (THB)]]*Port[[#This Row],[LGD_avg]]</f>
        <v>94478400</v>
      </c>
      <c r="AO51" s="507">
        <f>Port[[#This Row],[EAD_Interest (THB)]]*Port[[#This Row],[LGD_avg]]</f>
        <v>129907.8</v>
      </c>
      <c r="AP51" s="507">
        <f>Port[[#This Row],[EAD_Drawn (THB)]]+Port[[#This Row],[EAD_Interest (THB)]]</f>
        <v>105120342</v>
      </c>
      <c r="AQ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1574640</v>
      </c>
      <c r="AR51" s="522">
        <f>MAX(Port[[#This Row],[ECL (THB)]]+Port[[#This Row],[ECL_Interest (THB)]], Port[[#This Row],[ECL CBIRC (THB)]])</f>
        <v>4551581.9703171132</v>
      </c>
    </row>
    <row r="52" spans="1:44">
      <c r="A52" s="2" t="s">
        <v>867</v>
      </c>
      <c r="B52" s="2" t="s">
        <v>29</v>
      </c>
      <c r="C52" s="2" t="s">
        <v>17</v>
      </c>
      <c r="D52" s="2" t="s">
        <v>30</v>
      </c>
      <c r="E52" s="2" t="s">
        <v>19</v>
      </c>
      <c r="F52" s="2" t="s">
        <v>20</v>
      </c>
      <c r="G52" s="2" t="s">
        <v>21</v>
      </c>
      <c r="H52">
        <v>1</v>
      </c>
      <c r="I52" s="2" t="s">
        <v>526</v>
      </c>
      <c r="J52" s="505">
        <v>3.0745295499522811E-2</v>
      </c>
      <c r="K52" s="505">
        <v>0.9</v>
      </c>
      <c r="L52" s="3">
        <v>1</v>
      </c>
      <c r="M52" s="3">
        <v>5.2488000000000001</v>
      </c>
      <c r="N52" s="507">
        <v>988020</v>
      </c>
      <c r="O52" s="507">
        <v>0</v>
      </c>
      <c r="P52" s="507">
        <v>988020</v>
      </c>
      <c r="Q52" s="507">
        <v>960.58</v>
      </c>
      <c r="R52" s="507">
        <v>27339.270173494675</v>
      </c>
      <c r="S52" s="507">
        <v>0</v>
      </c>
      <c r="T52" s="507">
        <v>27339.270173494675</v>
      </c>
      <c r="U52" s="507">
        <v>26.579984355838462</v>
      </c>
      <c r="V52" s="507">
        <f>Port[[#This Row],[EAD_Drawn (CNY)]]*Port[[#This Row],[CNY -&gt; FCY]]</f>
        <v>988020</v>
      </c>
      <c r="W52" s="507">
        <f>Port[[#This Row],[EAD_Undrawn (CNY)]]*Port[[#This Row],[CNY -&gt; FCY]]</f>
        <v>0</v>
      </c>
      <c r="X52" s="507">
        <f>Port[[#This Row],[EAD (CNY)]]*Port[[#This Row],[CNY -&gt; FCY]]</f>
        <v>988020</v>
      </c>
      <c r="Y52" s="507">
        <f>Port[[#This Row],[EAD_Interest (CNY)]]*Port[[#This Row],[CNY -&gt; FCY]]</f>
        <v>960.58</v>
      </c>
      <c r="Z52" s="507">
        <f>Port[[#This Row],[ECL_Drawn (CNY)]]*Port[[#This Row],[CNY -&gt; FCY]]</f>
        <v>27339.270173494675</v>
      </c>
      <c r="AA52" s="507">
        <f>Port[[#This Row],[ECL_Undrawn (CNY)]]*Port[[#This Row],[CNY -&gt; FCY]]</f>
        <v>0</v>
      </c>
      <c r="AB52" s="507">
        <f>Port[[#This Row],[ECL (CNY)]]*Port[[#This Row],[CNY -&gt; FCY]]</f>
        <v>27339.270173494675</v>
      </c>
      <c r="AC52" s="507">
        <f>Port[[#This Row],[ECL_Interest (CNY)]]*Port[[#This Row],[CNY -&gt; FCY]]</f>
        <v>26.579984355838462</v>
      </c>
      <c r="AD52" s="507">
        <f>Port[[#This Row],[EAD_Drawn (CNY)]]*Port[[#This Row],[CNY -&gt; THB]]</f>
        <v>5185919.3760000002</v>
      </c>
      <c r="AE52" s="507">
        <f>Port[[#This Row],[EAD_Undrawn (CNY)]]*Port[[#This Row],[CNY -&gt; THB]]</f>
        <v>0</v>
      </c>
      <c r="AF52" s="507">
        <f>Port[[#This Row],[EAD (CNY)]]*Port[[#This Row],[CNY -&gt; THB]]</f>
        <v>5185919.3760000002</v>
      </c>
      <c r="AG52" s="507">
        <f>Port[[#This Row],[EAD_Interest (CNY)]]*Port[[#This Row],[CNY -&gt; THB]]</f>
        <v>5041.892304</v>
      </c>
      <c r="AH52" s="507">
        <f>Port[[#This Row],[ECL_Drawn (CNY)]]*Port[[#This Row],[CNY -&gt; THB]]</f>
        <v>143498.36128663886</v>
      </c>
      <c r="AI52" s="507">
        <f>Port[[#This Row],[ECL_Undrawn (CNY)]]*Port[[#This Row],[CNY -&gt; THB]]</f>
        <v>0</v>
      </c>
      <c r="AJ52" s="507">
        <f>Port[[#This Row],[ECL (CNY)]]*Port[[#This Row],[CNY -&gt; THB]]</f>
        <v>143498.36128663886</v>
      </c>
      <c r="AK52" s="507">
        <f>Port[[#This Row],[ECL_Interest (CNY)]]*Port[[#This Row],[CNY -&gt; THB]]</f>
        <v>139.51302188692492</v>
      </c>
      <c r="AL52" s="507">
        <f>Port[[#This Row],[EAD (THB)]]*Port[[#This Row],[PD_avg]]</f>
        <v>159442.62365182096</v>
      </c>
      <c r="AM52" s="507">
        <f>Port[[#This Row],[EAD_Interest (THB)]]*Port[[#This Row],[PD_avg]]</f>
        <v>155.01446876324991</v>
      </c>
      <c r="AN52" s="507">
        <f>Port[[#This Row],[EAD (THB)]]*Port[[#This Row],[LGD_avg]]</f>
        <v>4667327.4384000003</v>
      </c>
      <c r="AO52" s="507">
        <f>Port[[#This Row],[EAD_Interest (THB)]]*Port[[#This Row],[LGD_avg]]</f>
        <v>4537.7030735999997</v>
      </c>
      <c r="AP52" s="507">
        <f>Port[[#This Row],[EAD_Drawn (THB)]]+Port[[#This Row],[EAD_Interest (THB)]]</f>
        <v>5190961.2683040006</v>
      </c>
      <c r="AQ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77788.790640000007</v>
      </c>
      <c r="AR52" s="522">
        <f>MAX(Port[[#This Row],[ECL (THB)]]+Port[[#This Row],[ECL_Interest (THB)]], Port[[#This Row],[ECL CBIRC (THB)]])</f>
        <v>143637.87430852579</v>
      </c>
    </row>
    <row r="53" spans="1:44">
      <c r="A53" s="2" t="s">
        <v>868</v>
      </c>
      <c r="B53" s="2" t="s">
        <v>29</v>
      </c>
      <c r="C53" s="2" t="s">
        <v>17</v>
      </c>
      <c r="D53" s="2" t="s">
        <v>30</v>
      </c>
      <c r="E53" s="2" t="s">
        <v>19</v>
      </c>
      <c r="F53" s="2" t="s">
        <v>20</v>
      </c>
      <c r="G53" s="2" t="s">
        <v>21</v>
      </c>
      <c r="H53">
        <v>1</v>
      </c>
      <c r="I53" s="2" t="s">
        <v>526</v>
      </c>
      <c r="J53" s="505">
        <v>3.0745295499522811E-2</v>
      </c>
      <c r="K53" s="505">
        <v>0.9</v>
      </c>
      <c r="L53" s="3">
        <v>1</v>
      </c>
      <c r="M53" s="3">
        <v>5.2488000000000001</v>
      </c>
      <c r="N53" s="507">
        <v>900900</v>
      </c>
      <c r="O53" s="507">
        <v>0</v>
      </c>
      <c r="P53" s="507">
        <v>900900</v>
      </c>
      <c r="Q53" s="507">
        <v>875.88</v>
      </c>
      <c r="R53" s="507">
        <v>24928.593043968092</v>
      </c>
      <c r="S53" s="507">
        <v>0</v>
      </c>
      <c r="T53" s="507">
        <v>24928.593043968092</v>
      </c>
      <c r="U53" s="507">
        <v>24.236270479909837</v>
      </c>
      <c r="V53" s="507">
        <f>Port[[#This Row],[EAD_Drawn (CNY)]]*Port[[#This Row],[CNY -&gt; FCY]]</f>
        <v>900900</v>
      </c>
      <c r="W53" s="507">
        <f>Port[[#This Row],[EAD_Undrawn (CNY)]]*Port[[#This Row],[CNY -&gt; FCY]]</f>
        <v>0</v>
      </c>
      <c r="X53" s="507">
        <f>Port[[#This Row],[EAD (CNY)]]*Port[[#This Row],[CNY -&gt; FCY]]</f>
        <v>900900</v>
      </c>
      <c r="Y53" s="507">
        <f>Port[[#This Row],[EAD_Interest (CNY)]]*Port[[#This Row],[CNY -&gt; FCY]]</f>
        <v>875.88</v>
      </c>
      <c r="Z53" s="507">
        <f>Port[[#This Row],[ECL_Drawn (CNY)]]*Port[[#This Row],[CNY -&gt; FCY]]</f>
        <v>24928.593043968092</v>
      </c>
      <c r="AA53" s="507">
        <f>Port[[#This Row],[ECL_Undrawn (CNY)]]*Port[[#This Row],[CNY -&gt; FCY]]</f>
        <v>0</v>
      </c>
      <c r="AB53" s="507">
        <f>Port[[#This Row],[ECL (CNY)]]*Port[[#This Row],[CNY -&gt; FCY]]</f>
        <v>24928.593043968092</v>
      </c>
      <c r="AC53" s="507">
        <f>Port[[#This Row],[ECL_Interest (CNY)]]*Port[[#This Row],[CNY -&gt; FCY]]</f>
        <v>24.236270479909837</v>
      </c>
      <c r="AD53" s="507">
        <f>Port[[#This Row],[EAD_Drawn (CNY)]]*Port[[#This Row],[CNY -&gt; THB]]</f>
        <v>4728643.92</v>
      </c>
      <c r="AE53" s="507">
        <f>Port[[#This Row],[EAD_Undrawn (CNY)]]*Port[[#This Row],[CNY -&gt; THB]]</f>
        <v>0</v>
      </c>
      <c r="AF53" s="507">
        <f>Port[[#This Row],[EAD (CNY)]]*Port[[#This Row],[CNY -&gt; THB]]</f>
        <v>4728643.92</v>
      </c>
      <c r="AG53" s="507">
        <f>Port[[#This Row],[EAD_Interest (CNY)]]*Port[[#This Row],[CNY -&gt; THB]]</f>
        <v>4597.3189439999996</v>
      </c>
      <c r="AH53" s="507">
        <f>Port[[#This Row],[ECL_Drawn (CNY)]]*Port[[#This Row],[CNY -&gt; THB]]</f>
        <v>130845.19916917973</v>
      </c>
      <c r="AI53" s="507">
        <f>Port[[#This Row],[ECL_Undrawn (CNY)]]*Port[[#This Row],[CNY -&gt; THB]]</f>
        <v>0</v>
      </c>
      <c r="AJ53" s="507">
        <f>Port[[#This Row],[ECL (CNY)]]*Port[[#This Row],[CNY -&gt; THB]]</f>
        <v>130845.19916917973</v>
      </c>
      <c r="AK53" s="507">
        <f>Port[[#This Row],[ECL_Interest (CNY)]]*Port[[#This Row],[CNY -&gt; THB]]</f>
        <v>127.21133649495076</v>
      </c>
      <c r="AL53" s="507">
        <f>Port[[#This Row],[EAD (THB)]]*Port[[#This Row],[PD_avg]]</f>
        <v>145383.5546324219</v>
      </c>
      <c r="AM53" s="507">
        <f>Port[[#This Row],[EAD_Interest (THB)]]*Port[[#This Row],[PD_avg]]</f>
        <v>141.34592943883416</v>
      </c>
      <c r="AN53" s="507">
        <f>Port[[#This Row],[EAD (THB)]]*Port[[#This Row],[LGD_avg]]</f>
        <v>4255779.5279999999</v>
      </c>
      <c r="AO53" s="507">
        <f>Port[[#This Row],[EAD_Interest (THB)]]*Port[[#This Row],[LGD_avg]]</f>
        <v>4137.5870495999998</v>
      </c>
      <c r="AP53" s="507">
        <f>Port[[#This Row],[EAD_Drawn (THB)]]+Port[[#This Row],[EAD_Interest (THB)]]</f>
        <v>4733241.2389439996</v>
      </c>
      <c r="AQ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70929.65879999999</v>
      </c>
      <c r="AR53" s="522">
        <f>MAX(Port[[#This Row],[ECL (THB)]]+Port[[#This Row],[ECL_Interest (THB)]], Port[[#This Row],[ECL CBIRC (THB)]])</f>
        <v>130972.41050567468</v>
      </c>
    </row>
    <row r="54" spans="1:44">
      <c r="A54" s="2" t="s">
        <v>869</v>
      </c>
      <c r="B54" s="2" t="s">
        <v>44</v>
      </c>
      <c r="C54" s="2" t="s">
        <v>17</v>
      </c>
      <c r="D54" s="2" t="s">
        <v>30</v>
      </c>
      <c r="E54" s="2" t="s">
        <v>19</v>
      </c>
      <c r="F54" s="2" t="s">
        <v>20</v>
      </c>
      <c r="G54" s="2" t="s">
        <v>21</v>
      </c>
      <c r="H54">
        <v>1</v>
      </c>
      <c r="I54" s="2" t="s">
        <v>526</v>
      </c>
      <c r="J54" s="505">
        <v>2.0514833509807026E-2</v>
      </c>
      <c r="K54" s="505">
        <v>0.90000000000000013</v>
      </c>
      <c r="L54" s="3">
        <v>1</v>
      </c>
      <c r="M54" s="3">
        <v>5.2488000000000001</v>
      </c>
      <c r="N54" s="507">
        <v>2591458.6</v>
      </c>
      <c r="O54" s="507">
        <v>0</v>
      </c>
      <c r="P54" s="507">
        <v>2591458.6</v>
      </c>
      <c r="Q54" s="507">
        <v>2695.84</v>
      </c>
      <c r="R54" s="507">
        <v>47847.007553901851</v>
      </c>
      <c r="S54" s="507">
        <v>0</v>
      </c>
      <c r="T54" s="507">
        <v>47847.007553901851</v>
      </c>
      <c r="U54" s="507">
        <v>49.774237892170362</v>
      </c>
      <c r="V54" s="507">
        <f>Port[[#This Row],[EAD_Drawn (CNY)]]*Port[[#This Row],[CNY -&gt; FCY]]</f>
        <v>2591458.6</v>
      </c>
      <c r="W54" s="507">
        <f>Port[[#This Row],[EAD_Undrawn (CNY)]]*Port[[#This Row],[CNY -&gt; FCY]]</f>
        <v>0</v>
      </c>
      <c r="X54" s="507">
        <f>Port[[#This Row],[EAD (CNY)]]*Port[[#This Row],[CNY -&gt; FCY]]</f>
        <v>2591458.6</v>
      </c>
      <c r="Y54" s="507">
        <f>Port[[#This Row],[EAD_Interest (CNY)]]*Port[[#This Row],[CNY -&gt; FCY]]</f>
        <v>2695.84</v>
      </c>
      <c r="Z54" s="507">
        <f>Port[[#This Row],[ECL_Drawn (CNY)]]*Port[[#This Row],[CNY -&gt; FCY]]</f>
        <v>47847.007553901851</v>
      </c>
      <c r="AA54" s="507">
        <f>Port[[#This Row],[ECL_Undrawn (CNY)]]*Port[[#This Row],[CNY -&gt; FCY]]</f>
        <v>0</v>
      </c>
      <c r="AB54" s="507">
        <f>Port[[#This Row],[ECL (CNY)]]*Port[[#This Row],[CNY -&gt; FCY]]</f>
        <v>47847.007553901851</v>
      </c>
      <c r="AC54" s="507">
        <f>Port[[#This Row],[ECL_Interest (CNY)]]*Port[[#This Row],[CNY -&gt; FCY]]</f>
        <v>49.774237892170362</v>
      </c>
      <c r="AD54" s="507">
        <f>Port[[#This Row],[EAD_Drawn (CNY)]]*Port[[#This Row],[CNY -&gt; THB]]</f>
        <v>13602047.899680002</v>
      </c>
      <c r="AE54" s="507">
        <f>Port[[#This Row],[EAD_Undrawn (CNY)]]*Port[[#This Row],[CNY -&gt; THB]]</f>
        <v>0</v>
      </c>
      <c r="AF54" s="507">
        <f>Port[[#This Row],[EAD (CNY)]]*Port[[#This Row],[CNY -&gt; THB]]</f>
        <v>13602047.899680002</v>
      </c>
      <c r="AG54" s="507">
        <f>Port[[#This Row],[EAD_Interest (CNY)]]*Port[[#This Row],[CNY -&gt; THB]]</f>
        <v>14149.924992000002</v>
      </c>
      <c r="AH54" s="507">
        <f>Port[[#This Row],[ECL_Drawn (CNY)]]*Port[[#This Row],[CNY -&gt; THB]]</f>
        <v>251139.37324892005</v>
      </c>
      <c r="AI54" s="507">
        <f>Port[[#This Row],[ECL_Undrawn (CNY)]]*Port[[#This Row],[CNY -&gt; THB]]</f>
        <v>0</v>
      </c>
      <c r="AJ54" s="507">
        <f>Port[[#This Row],[ECL (CNY)]]*Port[[#This Row],[CNY -&gt; THB]]</f>
        <v>251139.37324892005</v>
      </c>
      <c r="AK54" s="507">
        <f>Port[[#This Row],[ECL_Interest (CNY)]]*Port[[#This Row],[CNY -&gt; THB]]</f>
        <v>261.25501984842379</v>
      </c>
      <c r="AL54" s="507">
        <f>Port[[#This Row],[EAD (THB)]]*Port[[#This Row],[PD_avg]]</f>
        <v>279043.74805435556</v>
      </c>
      <c r="AM54" s="507">
        <f>Port[[#This Row],[EAD_Interest (THB)]]*Port[[#This Row],[PD_avg]]</f>
        <v>290.28335538713753</v>
      </c>
      <c r="AN54" s="507">
        <f>Port[[#This Row],[EAD (THB)]]*Port[[#This Row],[LGD_avg]]</f>
        <v>12241843.109712003</v>
      </c>
      <c r="AO54" s="507">
        <f>Port[[#This Row],[EAD_Interest (THB)]]*Port[[#This Row],[LGD_avg]]</f>
        <v>12734.932492800004</v>
      </c>
      <c r="AP54" s="507">
        <f>Port[[#This Row],[EAD_Drawn (THB)]]+Port[[#This Row],[EAD_Interest (THB)]]</f>
        <v>13616197.824672002</v>
      </c>
      <c r="AQ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204030.71849520001</v>
      </c>
      <c r="AR54" s="522">
        <f>MAX(Port[[#This Row],[ECL (THB)]]+Port[[#This Row],[ECL_Interest (THB)]], Port[[#This Row],[ECL CBIRC (THB)]])</f>
        <v>251400.62826876846</v>
      </c>
    </row>
    <row r="55" spans="1:44">
      <c r="A55" s="2" t="s">
        <v>870</v>
      </c>
      <c r="B55" s="2" t="s">
        <v>29</v>
      </c>
      <c r="C55" s="2" t="s">
        <v>17</v>
      </c>
      <c r="D55" s="2" t="s">
        <v>30</v>
      </c>
      <c r="E55" s="2" t="s">
        <v>19</v>
      </c>
      <c r="F55" s="2" t="s">
        <v>20</v>
      </c>
      <c r="G55" s="2" t="s">
        <v>21</v>
      </c>
      <c r="H55">
        <v>1</v>
      </c>
      <c r="I55" s="2" t="s">
        <v>526</v>
      </c>
      <c r="J55" s="505">
        <v>3.0745295499522811E-2</v>
      </c>
      <c r="K55" s="505">
        <v>0.9</v>
      </c>
      <c r="L55" s="3">
        <v>1</v>
      </c>
      <c r="M55" s="3">
        <v>5.2488000000000001</v>
      </c>
      <c r="N55" s="507">
        <v>2590479.25</v>
      </c>
      <c r="O55" s="507">
        <v>0</v>
      </c>
      <c r="P55" s="507">
        <v>2590479.25</v>
      </c>
      <c r="Q55" s="507">
        <v>2518.52</v>
      </c>
      <c r="R55" s="507">
        <v>71680.545023968996</v>
      </c>
      <c r="S55" s="507">
        <v>0</v>
      </c>
      <c r="T55" s="507">
        <v>71680.545023968996</v>
      </c>
      <c r="U55" s="507">
        <v>69.689377459312382</v>
      </c>
      <c r="V55" s="507">
        <f>Port[[#This Row],[EAD_Drawn (CNY)]]*Port[[#This Row],[CNY -&gt; FCY]]</f>
        <v>2590479.25</v>
      </c>
      <c r="W55" s="507">
        <f>Port[[#This Row],[EAD_Undrawn (CNY)]]*Port[[#This Row],[CNY -&gt; FCY]]</f>
        <v>0</v>
      </c>
      <c r="X55" s="507">
        <f>Port[[#This Row],[EAD (CNY)]]*Port[[#This Row],[CNY -&gt; FCY]]</f>
        <v>2590479.25</v>
      </c>
      <c r="Y55" s="507">
        <f>Port[[#This Row],[EAD_Interest (CNY)]]*Port[[#This Row],[CNY -&gt; FCY]]</f>
        <v>2518.52</v>
      </c>
      <c r="Z55" s="507">
        <f>Port[[#This Row],[ECL_Drawn (CNY)]]*Port[[#This Row],[CNY -&gt; FCY]]</f>
        <v>71680.545023968996</v>
      </c>
      <c r="AA55" s="507">
        <f>Port[[#This Row],[ECL_Undrawn (CNY)]]*Port[[#This Row],[CNY -&gt; FCY]]</f>
        <v>0</v>
      </c>
      <c r="AB55" s="507">
        <f>Port[[#This Row],[ECL (CNY)]]*Port[[#This Row],[CNY -&gt; FCY]]</f>
        <v>71680.545023968996</v>
      </c>
      <c r="AC55" s="507">
        <f>Port[[#This Row],[ECL_Interest (CNY)]]*Port[[#This Row],[CNY -&gt; FCY]]</f>
        <v>69.689377459312382</v>
      </c>
      <c r="AD55" s="507">
        <f>Port[[#This Row],[EAD_Drawn (CNY)]]*Port[[#This Row],[CNY -&gt; THB]]</f>
        <v>13596907.487400001</v>
      </c>
      <c r="AE55" s="507">
        <f>Port[[#This Row],[EAD_Undrawn (CNY)]]*Port[[#This Row],[CNY -&gt; THB]]</f>
        <v>0</v>
      </c>
      <c r="AF55" s="507">
        <f>Port[[#This Row],[EAD (CNY)]]*Port[[#This Row],[CNY -&gt; THB]]</f>
        <v>13596907.487400001</v>
      </c>
      <c r="AG55" s="507">
        <f>Port[[#This Row],[EAD_Interest (CNY)]]*Port[[#This Row],[CNY -&gt; THB]]</f>
        <v>13219.207776000001</v>
      </c>
      <c r="AH55" s="507">
        <f>Port[[#This Row],[ECL_Drawn (CNY)]]*Port[[#This Row],[CNY -&gt; THB]]</f>
        <v>376236.84472180851</v>
      </c>
      <c r="AI55" s="507">
        <f>Port[[#This Row],[ECL_Undrawn (CNY)]]*Port[[#This Row],[CNY -&gt; THB]]</f>
        <v>0</v>
      </c>
      <c r="AJ55" s="507">
        <f>Port[[#This Row],[ECL (CNY)]]*Port[[#This Row],[CNY -&gt; THB]]</f>
        <v>376236.84472180851</v>
      </c>
      <c r="AK55" s="507">
        <f>Port[[#This Row],[ECL_Interest (CNY)]]*Port[[#This Row],[CNY -&gt; THB]]</f>
        <v>365.78560440843881</v>
      </c>
      <c r="AL55" s="507">
        <f>Port[[#This Row],[EAD (THB)]]*Port[[#This Row],[PD_avg]]</f>
        <v>418040.93857978727</v>
      </c>
      <c r="AM55" s="507">
        <f>Port[[#This Row],[EAD_Interest (THB)]]*Port[[#This Row],[PD_avg]]</f>
        <v>406.42844934270977</v>
      </c>
      <c r="AN55" s="507">
        <f>Port[[#This Row],[EAD (THB)]]*Port[[#This Row],[LGD_avg]]</f>
        <v>12237216.73866</v>
      </c>
      <c r="AO55" s="507">
        <f>Port[[#This Row],[EAD_Interest (THB)]]*Port[[#This Row],[LGD_avg]]</f>
        <v>11897.286998400001</v>
      </c>
      <c r="AP55" s="507">
        <f>Port[[#This Row],[EAD_Drawn (THB)]]+Port[[#This Row],[EAD_Interest (THB)]]</f>
        <v>13610126.695176002</v>
      </c>
      <c r="AQ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203953.612311</v>
      </c>
      <c r="AR55" s="522">
        <f>MAX(Port[[#This Row],[ECL (THB)]]+Port[[#This Row],[ECL_Interest (THB)]], Port[[#This Row],[ECL CBIRC (THB)]])</f>
        <v>376602.63032621692</v>
      </c>
    </row>
    <row r="56" spans="1:44">
      <c r="A56" s="2" t="s">
        <v>871</v>
      </c>
      <c r="B56" s="2" t="s">
        <v>44</v>
      </c>
      <c r="C56" s="2" t="s">
        <v>17</v>
      </c>
      <c r="D56" s="2" t="s">
        <v>30</v>
      </c>
      <c r="E56" s="2" t="s">
        <v>19</v>
      </c>
      <c r="F56" s="2" t="s">
        <v>20</v>
      </c>
      <c r="G56" s="2" t="s">
        <v>21</v>
      </c>
      <c r="H56">
        <v>1</v>
      </c>
      <c r="I56" s="2" t="s">
        <v>526</v>
      </c>
      <c r="J56" s="505">
        <v>2.0514833509807026E-2</v>
      </c>
      <c r="K56" s="505">
        <v>0.89999999999999991</v>
      </c>
      <c r="L56" s="3">
        <v>1</v>
      </c>
      <c r="M56" s="3">
        <v>5.2488000000000001</v>
      </c>
      <c r="N56" s="507">
        <v>3237374.62</v>
      </c>
      <c r="O56" s="507">
        <v>0</v>
      </c>
      <c r="P56" s="507">
        <v>3237374.62</v>
      </c>
      <c r="Q56" s="507">
        <v>3367.77</v>
      </c>
      <c r="R56" s="507">
        <v>59772.781204357314</v>
      </c>
      <c r="S56" s="507">
        <v>0</v>
      </c>
      <c r="T56" s="507">
        <v>59772.781204357314</v>
      </c>
      <c r="U56" s="507">
        <v>62.180316764390533</v>
      </c>
      <c r="V56" s="507">
        <f>Port[[#This Row],[EAD_Drawn (CNY)]]*Port[[#This Row],[CNY -&gt; FCY]]</f>
        <v>3237374.62</v>
      </c>
      <c r="W56" s="507">
        <f>Port[[#This Row],[EAD_Undrawn (CNY)]]*Port[[#This Row],[CNY -&gt; FCY]]</f>
        <v>0</v>
      </c>
      <c r="X56" s="507">
        <f>Port[[#This Row],[EAD (CNY)]]*Port[[#This Row],[CNY -&gt; FCY]]</f>
        <v>3237374.62</v>
      </c>
      <c r="Y56" s="507">
        <f>Port[[#This Row],[EAD_Interest (CNY)]]*Port[[#This Row],[CNY -&gt; FCY]]</f>
        <v>3367.77</v>
      </c>
      <c r="Z56" s="507">
        <f>Port[[#This Row],[ECL_Drawn (CNY)]]*Port[[#This Row],[CNY -&gt; FCY]]</f>
        <v>59772.781204357314</v>
      </c>
      <c r="AA56" s="507">
        <f>Port[[#This Row],[ECL_Undrawn (CNY)]]*Port[[#This Row],[CNY -&gt; FCY]]</f>
        <v>0</v>
      </c>
      <c r="AB56" s="507">
        <f>Port[[#This Row],[ECL (CNY)]]*Port[[#This Row],[CNY -&gt; FCY]]</f>
        <v>59772.781204357314</v>
      </c>
      <c r="AC56" s="507">
        <f>Port[[#This Row],[ECL_Interest (CNY)]]*Port[[#This Row],[CNY -&gt; FCY]]</f>
        <v>62.180316764390533</v>
      </c>
      <c r="AD56" s="507">
        <f>Port[[#This Row],[EAD_Drawn (CNY)]]*Port[[#This Row],[CNY -&gt; THB]]</f>
        <v>16992331.905456003</v>
      </c>
      <c r="AE56" s="507">
        <f>Port[[#This Row],[EAD_Undrawn (CNY)]]*Port[[#This Row],[CNY -&gt; THB]]</f>
        <v>0</v>
      </c>
      <c r="AF56" s="507">
        <f>Port[[#This Row],[EAD (CNY)]]*Port[[#This Row],[CNY -&gt; THB]]</f>
        <v>16992331.905456003</v>
      </c>
      <c r="AG56" s="507">
        <f>Port[[#This Row],[EAD_Interest (CNY)]]*Port[[#This Row],[CNY -&gt; THB]]</f>
        <v>17676.751176000002</v>
      </c>
      <c r="AH56" s="507">
        <f>Port[[#This Row],[ECL_Drawn (CNY)]]*Port[[#This Row],[CNY -&gt; THB]]</f>
        <v>313735.37398543069</v>
      </c>
      <c r="AI56" s="507">
        <f>Port[[#This Row],[ECL_Undrawn (CNY)]]*Port[[#This Row],[CNY -&gt; THB]]</f>
        <v>0</v>
      </c>
      <c r="AJ56" s="507">
        <f>Port[[#This Row],[ECL (CNY)]]*Port[[#This Row],[CNY -&gt; THB]]</f>
        <v>313735.37398543069</v>
      </c>
      <c r="AK56" s="507">
        <f>Port[[#This Row],[ECL_Interest (CNY)]]*Port[[#This Row],[CNY -&gt; THB]]</f>
        <v>326.37204663293306</v>
      </c>
      <c r="AL56" s="507">
        <f>Port[[#This Row],[EAD (THB)]]*Port[[#This Row],[PD_avg]]</f>
        <v>348594.85998381185</v>
      </c>
      <c r="AM56" s="507">
        <f>Port[[#This Row],[EAD_Interest (THB)]]*Port[[#This Row],[PD_avg]]</f>
        <v>362.63560736992559</v>
      </c>
      <c r="AN56" s="507">
        <f>Port[[#This Row],[EAD (THB)]]*Port[[#This Row],[LGD_avg]]</f>
        <v>15293098.714910401</v>
      </c>
      <c r="AO56" s="507">
        <f>Port[[#This Row],[EAD_Interest (THB)]]*Port[[#This Row],[LGD_avg]]</f>
        <v>15909.0760584</v>
      </c>
      <c r="AP56" s="507">
        <f>Port[[#This Row],[EAD_Drawn (THB)]]+Port[[#This Row],[EAD_Interest (THB)]]</f>
        <v>17010008.656632002</v>
      </c>
      <c r="AQ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254884.97858184003</v>
      </c>
      <c r="AR56" s="522">
        <f>MAX(Port[[#This Row],[ECL (THB)]]+Port[[#This Row],[ECL_Interest (THB)]], Port[[#This Row],[ECL CBIRC (THB)]])</f>
        <v>314061.74603206362</v>
      </c>
    </row>
    <row r="57" spans="1:44">
      <c r="A57" s="2" t="s">
        <v>872</v>
      </c>
      <c r="B57" s="2" t="s">
        <v>873</v>
      </c>
      <c r="C57" s="2" t="s">
        <v>17</v>
      </c>
      <c r="D57" s="2" t="s">
        <v>25</v>
      </c>
      <c r="E57" s="2" t="s">
        <v>19</v>
      </c>
      <c r="F57" s="2" t="s">
        <v>20</v>
      </c>
      <c r="G57" s="2" t="s">
        <v>21</v>
      </c>
      <c r="H57">
        <v>1</v>
      </c>
      <c r="I57" s="2" t="s">
        <v>526</v>
      </c>
      <c r="J57" s="505">
        <v>4.8109749303825028E-2</v>
      </c>
      <c r="K57" s="505">
        <v>0.25095769797454442</v>
      </c>
      <c r="L57" s="3">
        <v>1</v>
      </c>
      <c r="M57" s="3">
        <v>5.2488000000000001</v>
      </c>
      <c r="N57" s="507">
        <v>179248.39</v>
      </c>
      <c r="O57" s="507">
        <v>0</v>
      </c>
      <c r="P57" s="507">
        <v>179248.39</v>
      </c>
      <c r="Q57" s="507">
        <v>1017.21</v>
      </c>
      <c r="R57" s="507">
        <v>2164.1575760698852</v>
      </c>
      <c r="S57" s="507">
        <v>0</v>
      </c>
      <c r="T57" s="507">
        <v>2164.1575760698852</v>
      </c>
      <c r="U57" s="507">
        <v>12.281297075828952</v>
      </c>
      <c r="V57" s="507">
        <f>Port[[#This Row],[EAD_Drawn (CNY)]]*Port[[#This Row],[CNY -&gt; FCY]]</f>
        <v>179248.39</v>
      </c>
      <c r="W57" s="507">
        <f>Port[[#This Row],[EAD_Undrawn (CNY)]]*Port[[#This Row],[CNY -&gt; FCY]]</f>
        <v>0</v>
      </c>
      <c r="X57" s="507">
        <f>Port[[#This Row],[EAD (CNY)]]*Port[[#This Row],[CNY -&gt; FCY]]</f>
        <v>179248.39</v>
      </c>
      <c r="Y57" s="507">
        <f>Port[[#This Row],[EAD_Interest (CNY)]]*Port[[#This Row],[CNY -&gt; FCY]]</f>
        <v>1017.21</v>
      </c>
      <c r="Z57" s="507">
        <f>Port[[#This Row],[ECL_Drawn (CNY)]]*Port[[#This Row],[CNY -&gt; FCY]]</f>
        <v>2164.1575760698852</v>
      </c>
      <c r="AA57" s="507">
        <f>Port[[#This Row],[ECL_Undrawn (CNY)]]*Port[[#This Row],[CNY -&gt; FCY]]</f>
        <v>0</v>
      </c>
      <c r="AB57" s="507">
        <f>Port[[#This Row],[ECL (CNY)]]*Port[[#This Row],[CNY -&gt; FCY]]</f>
        <v>2164.1575760698852</v>
      </c>
      <c r="AC57" s="507">
        <f>Port[[#This Row],[ECL_Interest (CNY)]]*Port[[#This Row],[CNY -&gt; FCY]]</f>
        <v>12.281297075828952</v>
      </c>
      <c r="AD57" s="507">
        <f>Port[[#This Row],[EAD_Drawn (CNY)]]*Port[[#This Row],[CNY -&gt; THB]]</f>
        <v>940838.94943200005</v>
      </c>
      <c r="AE57" s="507">
        <f>Port[[#This Row],[EAD_Undrawn (CNY)]]*Port[[#This Row],[CNY -&gt; THB]]</f>
        <v>0</v>
      </c>
      <c r="AF57" s="507">
        <f>Port[[#This Row],[EAD (CNY)]]*Port[[#This Row],[CNY -&gt; THB]]</f>
        <v>940838.94943200005</v>
      </c>
      <c r="AG57" s="507">
        <f>Port[[#This Row],[EAD_Interest (CNY)]]*Port[[#This Row],[CNY -&gt; THB]]</f>
        <v>5339.131848</v>
      </c>
      <c r="AH57" s="507">
        <f>Port[[#This Row],[ECL_Drawn (CNY)]]*Port[[#This Row],[CNY -&gt; THB]]</f>
        <v>11359.230285275613</v>
      </c>
      <c r="AI57" s="507">
        <f>Port[[#This Row],[ECL_Undrawn (CNY)]]*Port[[#This Row],[CNY -&gt; THB]]</f>
        <v>0</v>
      </c>
      <c r="AJ57" s="507">
        <f>Port[[#This Row],[ECL (CNY)]]*Port[[#This Row],[CNY -&gt; THB]]</f>
        <v>11359.230285275613</v>
      </c>
      <c r="AK57" s="507">
        <f>Port[[#This Row],[ECL_Interest (CNY)]]*Port[[#This Row],[CNY -&gt; THB]]</f>
        <v>64.462072091611006</v>
      </c>
      <c r="AL57" s="507">
        <f>Port[[#This Row],[EAD (THB)]]*Port[[#This Row],[PD_avg]]</f>
        <v>45263.525992447634</v>
      </c>
      <c r="AM57" s="507">
        <f>Port[[#This Row],[EAD_Interest (THB)]]*Port[[#This Row],[PD_avg]]</f>
        <v>256.86429470734805</v>
      </c>
      <c r="AN57" s="507">
        <f>Port[[#This Row],[EAD (THB)]]*Port[[#This Row],[LGD_avg]]</f>
        <v>236110.77691424356</v>
      </c>
      <c r="AO57" s="507">
        <f>Port[[#This Row],[EAD_Interest (THB)]]*Port[[#This Row],[LGD_avg]]</f>
        <v>1339.8962377566552</v>
      </c>
      <c r="AP57" s="507">
        <f>Port[[#This Row],[EAD_Drawn (THB)]]+Port[[#This Row],[EAD_Interest (THB)]]</f>
        <v>946178.08128000004</v>
      </c>
      <c r="AQ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14112.584241480001</v>
      </c>
      <c r="AR57" s="522">
        <f>MAX(Port[[#This Row],[ECL (THB)]]+Port[[#This Row],[ECL_Interest (THB)]], Port[[#This Row],[ECL CBIRC (THB)]])</f>
        <v>14112.584241480001</v>
      </c>
    </row>
    <row r="58" spans="1:44">
      <c r="A58" s="2" t="s">
        <v>874</v>
      </c>
      <c r="B58" s="2" t="s">
        <v>50</v>
      </c>
      <c r="C58" s="2" t="s">
        <v>17</v>
      </c>
      <c r="D58" s="2" t="s">
        <v>25</v>
      </c>
      <c r="E58" s="2" t="s">
        <v>19</v>
      </c>
      <c r="F58" s="2" t="s">
        <v>20</v>
      </c>
      <c r="G58" s="2" t="s">
        <v>21</v>
      </c>
      <c r="H58">
        <v>1</v>
      </c>
      <c r="I58" s="2" t="s">
        <v>526</v>
      </c>
      <c r="J58" s="505">
        <v>3.0745295499522811E-2</v>
      </c>
      <c r="K58" s="505">
        <v>0.74403003856681227</v>
      </c>
      <c r="L58" s="3">
        <v>1</v>
      </c>
      <c r="M58" s="3">
        <v>5.2488000000000001</v>
      </c>
      <c r="N58" s="507">
        <v>7460000</v>
      </c>
      <c r="O58" s="507">
        <v>0</v>
      </c>
      <c r="P58" s="507">
        <v>7460000</v>
      </c>
      <c r="Q58" s="507">
        <v>41444.44</v>
      </c>
      <c r="R58" s="507">
        <v>170650.65853608469</v>
      </c>
      <c r="S58" s="507">
        <v>0</v>
      </c>
      <c r="T58" s="507">
        <v>170650.65853608469</v>
      </c>
      <c r="U58" s="507">
        <v>948.05911242081106</v>
      </c>
      <c r="V58" s="507">
        <f>Port[[#This Row],[EAD_Drawn (CNY)]]*Port[[#This Row],[CNY -&gt; FCY]]</f>
        <v>7460000</v>
      </c>
      <c r="W58" s="507">
        <f>Port[[#This Row],[EAD_Undrawn (CNY)]]*Port[[#This Row],[CNY -&gt; FCY]]</f>
        <v>0</v>
      </c>
      <c r="X58" s="507">
        <f>Port[[#This Row],[EAD (CNY)]]*Port[[#This Row],[CNY -&gt; FCY]]</f>
        <v>7460000</v>
      </c>
      <c r="Y58" s="507">
        <f>Port[[#This Row],[EAD_Interest (CNY)]]*Port[[#This Row],[CNY -&gt; FCY]]</f>
        <v>41444.44</v>
      </c>
      <c r="Z58" s="507">
        <f>Port[[#This Row],[ECL_Drawn (CNY)]]*Port[[#This Row],[CNY -&gt; FCY]]</f>
        <v>170650.65853608469</v>
      </c>
      <c r="AA58" s="507">
        <f>Port[[#This Row],[ECL_Undrawn (CNY)]]*Port[[#This Row],[CNY -&gt; FCY]]</f>
        <v>0</v>
      </c>
      <c r="AB58" s="507">
        <f>Port[[#This Row],[ECL (CNY)]]*Port[[#This Row],[CNY -&gt; FCY]]</f>
        <v>170650.65853608469</v>
      </c>
      <c r="AC58" s="507">
        <f>Port[[#This Row],[ECL_Interest (CNY)]]*Port[[#This Row],[CNY -&gt; FCY]]</f>
        <v>948.05911242081106</v>
      </c>
      <c r="AD58" s="507">
        <f>Port[[#This Row],[EAD_Drawn (CNY)]]*Port[[#This Row],[CNY -&gt; THB]]</f>
        <v>39156048</v>
      </c>
      <c r="AE58" s="507">
        <f>Port[[#This Row],[EAD_Undrawn (CNY)]]*Port[[#This Row],[CNY -&gt; THB]]</f>
        <v>0</v>
      </c>
      <c r="AF58" s="507">
        <f>Port[[#This Row],[EAD (CNY)]]*Port[[#This Row],[CNY -&gt; THB]]</f>
        <v>39156048</v>
      </c>
      <c r="AG58" s="507">
        <f>Port[[#This Row],[EAD_Interest (CNY)]]*Port[[#This Row],[CNY -&gt; THB]]</f>
        <v>217533.57667200002</v>
      </c>
      <c r="AH58" s="507">
        <f>Port[[#This Row],[ECL_Drawn (CNY)]]*Port[[#This Row],[CNY -&gt; THB]]</f>
        <v>895711.17652420141</v>
      </c>
      <c r="AI58" s="507">
        <f>Port[[#This Row],[ECL_Undrawn (CNY)]]*Port[[#This Row],[CNY -&gt; THB]]</f>
        <v>0</v>
      </c>
      <c r="AJ58" s="507">
        <f>Port[[#This Row],[ECL (CNY)]]*Port[[#This Row],[CNY -&gt; THB]]</f>
        <v>895711.17652420141</v>
      </c>
      <c r="AK58" s="507">
        <f>Port[[#This Row],[ECL_Interest (CNY)]]*Port[[#This Row],[CNY -&gt; THB]]</f>
        <v>4976.1726692743532</v>
      </c>
      <c r="AL58" s="507">
        <f>Port[[#This Row],[EAD (THB)]]*Port[[#This Row],[PD_avg]]</f>
        <v>1203864.2663534991</v>
      </c>
      <c r="AM58" s="507">
        <f>Port[[#This Row],[EAD_Interest (THB)]]*Port[[#This Row],[PD_avg]]</f>
        <v>6688.1340958487426</v>
      </c>
      <c r="AN58" s="507">
        <f>Port[[#This Row],[EAD (THB)]]*Port[[#This Row],[LGD_avg]]</f>
        <v>29133275.903563954</v>
      </c>
      <c r="AO58" s="507">
        <f>Port[[#This Row],[EAD_Interest (THB)]]*Port[[#This Row],[LGD_avg]]</f>
        <v>161851.51544084479</v>
      </c>
      <c r="AP58" s="507">
        <f>Port[[#This Row],[EAD_Drawn (THB)]]+Port[[#This Row],[EAD_Interest (THB)]]</f>
        <v>39373581.576672003</v>
      </c>
      <c r="AQ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587340.72</v>
      </c>
      <c r="AR58" s="522">
        <f>MAX(Port[[#This Row],[ECL (THB)]]+Port[[#This Row],[ECL_Interest (THB)]], Port[[#This Row],[ECL CBIRC (THB)]])</f>
        <v>900687.34919347579</v>
      </c>
    </row>
    <row r="59" spans="1:44">
      <c r="A59" s="2" t="s">
        <v>875</v>
      </c>
      <c r="B59" s="2" t="s">
        <v>876</v>
      </c>
      <c r="C59" s="2" t="s">
        <v>17</v>
      </c>
      <c r="D59" s="2" t="s">
        <v>25</v>
      </c>
      <c r="E59" s="2" t="s">
        <v>19</v>
      </c>
      <c r="F59" s="2" t="s">
        <v>20</v>
      </c>
      <c r="G59" s="2" t="s">
        <v>21</v>
      </c>
      <c r="H59">
        <v>1</v>
      </c>
      <c r="I59" s="2" t="s">
        <v>526</v>
      </c>
      <c r="J59" s="505">
        <v>1.3043899345507868E-2</v>
      </c>
      <c r="K59" s="505">
        <v>0.78337062224744991</v>
      </c>
      <c r="L59" s="3">
        <v>1</v>
      </c>
      <c r="M59" s="3">
        <v>5.2488000000000001</v>
      </c>
      <c r="N59" s="507">
        <v>100000000</v>
      </c>
      <c r="O59" s="507">
        <v>0</v>
      </c>
      <c r="P59" s="507">
        <v>100000000</v>
      </c>
      <c r="Q59" s="507">
        <v>317777.78000000003</v>
      </c>
      <c r="R59" s="507">
        <v>1021820.7546823603</v>
      </c>
      <c r="S59" s="507">
        <v>0</v>
      </c>
      <c r="T59" s="507">
        <v>1021820.7546823603</v>
      </c>
      <c r="U59" s="507">
        <v>3247.1193098088506</v>
      </c>
      <c r="V59" s="507">
        <f>Port[[#This Row],[EAD_Drawn (CNY)]]*Port[[#This Row],[CNY -&gt; FCY]]</f>
        <v>100000000</v>
      </c>
      <c r="W59" s="507">
        <f>Port[[#This Row],[EAD_Undrawn (CNY)]]*Port[[#This Row],[CNY -&gt; FCY]]</f>
        <v>0</v>
      </c>
      <c r="X59" s="507">
        <f>Port[[#This Row],[EAD (CNY)]]*Port[[#This Row],[CNY -&gt; FCY]]</f>
        <v>100000000</v>
      </c>
      <c r="Y59" s="507">
        <f>Port[[#This Row],[EAD_Interest (CNY)]]*Port[[#This Row],[CNY -&gt; FCY]]</f>
        <v>317777.78000000003</v>
      </c>
      <c r="Z59" s="507">
        <f>Port[[#This Row],[ECL_Drawn (CNY)]]*Port[[#This Row],[CNY -&gt; FCY]]</f>
        <v>1021820.7546823603</v>
      </c>
      <c r="AA59" s="507">
        <f>Port[[#This Row],[ECL_Undrawn (CNY)]]*Port[[#This Row],[CNY -&gt; FCY]]</f>
        <v>0</v>
      </c>
      <c r="AB59" s="507">
        <f>Port[[#This Row],[ECL (CNY)]]*Port[[#This Row],[CNY -&gt; FCY]]</f>
        <v>1021820.7546823603</v>
      </c>
      <c r="AC59" s="507">
        <f>Port[[#This Row],[ECL_Interest (CNY)]]*Port[[#This Row],[CNY -&gt; FCY]]</f>
        <v>3247.1193098088506</v>
      </c>
      <c r="AD59" s="507">
        <f>Port[[#This Row],[EAD_Drawn (CNY)]]*Port[[#This Row],[CNY -&gt; THB]]</f>
        <v>524880000</v>
      </c>
      <c r="AE59" s="507">
        <f>Port[[#This Row],[EAD_Undrawn (CNY)]]*Port[[#This Row],[CNY -&gt; THB]]</f>
        <v>0</v>
      </c>
      <c r="AF59" s="507">
        <f>Port[[#This Row],[EAD (CNY)]]*Port[[#This Row],[CNY -&gt; THB]]</f>
        <v>524880000</v>
      </c>
      <c r="AG59" s="507">
        <f>Port[[#This Row],[EAD_Interest (CNY)]]*Port[[#This Row],[CNY -&gt; THB]]</f>
        <v>1667952.0116640001</v>
      </c>
      <c r="AH59" s="507">
        <f>Port[[#This Row],[ECL_Drawn (CNY)]]*Port[[#This Row],[CNY -&gt; THB]]</f>
        <v>5363332.7771767732</v>
      </c>
      <c r="AI59" s="507">
        <f>Port[[#This Row],[ECL_Undrawn (CNY)]]*Port[[#This Row],[CNY -&gt; THB]]</f>
        <v>0</v>
      </c>
      <c r="AJ59" s="507">
        <f>Port[[#This Row],[ECL (CNY)]]*Port[[#This Row],[CNY -&gt; THB]]</f>
        <v>5363332.7771767732</v>
      </c>
      <c r="AK59" s="507">
        <f>Port[[#This Row],[ECL_Interest (CNY)]]*Port[[#This Row],[CNY -&gt; THB]]</f>
        <v>17043.479833324694</v>
      </c>
      <c r="AL59" s="507">
        <f>Port[[#This Row],[EAD (THB)]]*Port[[#This Row],[PD_avg]]</f>
        <v>6846481.8884701701</v>
      </c>
      <c r="AM59" s="507">
        <f>Port[[#This Row],[EAD_Interest (THB)]]*Port[[#This Row],[PD_avg]]</f>
        <v>21756.598153282583</v>
      </c>
      <c r="AN59" s="507">
        <f>Port[[#This Row],[EAD (THB)]]*Port[[#This Row],[LGD_avg]]</f>
        <v>411175572.2052415</v>
      </c>
      <c r="AO59" s="507">
        <f>Port[[#This Row],[EAD_Interest (THB)]]*Port[[#This Row],[LGD_avg]]</f>
        <v>1306624.6052561137</v>
      </c>
      <c r="AP59" s="507">
        <f>Port[[#This Row],[EAD_Drawn (THB)]]+Port[[#This Row],[EAD_Interest (THB)]]</f>
        <v>526547952.01166397</v>
      </c>
      <c r="AQ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7873200</v>
      </c>
      <c r="AR59" s="522">
        <f>MAX(Port[[#This Row],[ECL (THB)]]+Port[[#This Row],[ECL_Interest (THB)]], Port[[#This Row],[ECL CBIRC (THB)]])</f>
        <v>7873200</v>
      </c>
    </row>
    <row r="60" spans="1:44">
      <c r="A60" s="2" t="s">
        <v>877</v>
      </c>
      <c r="B60" s="2" t="s">
        <v>878</v>
      </c>
      <c r="C60" s="2" t="s">
        <v>17</v>
      </c>
      <c r="D60" s="2" t="s">
        <v>25</v>
      </c>
      <c r="E60" s="2" t="s">
        <v>19</v>
      </c>
      <c r="F60" s="2" t="s">
        <v>20</v>
      </c>
      <c r="G60" s="2" t="s">
        <v>21</v>
      </c>
      <c r="H60">
        <v>1</v>
      </c>
      <c r="I60" s="2" t="s">
        <v>526</v>
      </c>
      <c r="J60" s="505">
        <v>4.8109749303825028E-2</v>
      </c>
      <c r="K60" s="505">
        <v>0.90000000000000013</v>
      </c>
      <c r="L60" s="3">
        <v>1</v>
      </c>
      <c r="M60" s="3">
        <v>5.2488000000000001</v>
      </c>
      <c r="N60" s="507">
        <v>180000</v>
      </c>
      <c r="O60" s="507">
        <v>0</v>
      </c>
      <c r="P60" s="507">
        <v>180000</v>
      </c>
      <c r="Q60" s="507">
        <v>760</v>
      </c>
      <c r="R60" s="507">
        <v>7793.7793872196553</v>
      </c>
      <c r="S60" s="507">
        <v>0</v>
      </c>
      <c r="T60" s="507">
        <v>7793.7793872196553</v>
      </c>
      <c r="U60" s="507">
        <v>32.907068523816321</v>
      </c>
      <c r="V60" s="507">
        <f>Port[[#This Row],[EAD_Drawn (CNY)]]*Port[[#This Row],[CNY -&gt; FCY]]</f>
        <v>180000</v>
      </c>
      <c r="W60" s="507">
        <f>Port[[#This Row],[EAD_Undrawn (CNY)]]*Port[[#This Row],[CNY -&gt; FCY]]</f>
        <v>0</v>
      </c>
      <c r="X60" s="507">
        <f>Port[[#This Row],[EAD (CNY)]]*Port[[#This Row],[CNY -&gt; FCY]]</f>
        <v>180000</v>
      </c>
      <c r="Y60" s="507">
        <f>Port[[#This Row],[EAD_Interest (CNY)]]*Port[[#This Row],[CNY -&gt; FCY]]</f>
        <v>760</v>
      </c>
      <c r="Z60" s="507">
        <f>Port[[#This Row],[ECL_Drawn (CNY)]]*Port[[#This Row],[CNY -&gt; FCY]]</f>
        <v>7793.7793872196553</v>
      </c>
      <c r="AA60" s="507">
        <f>Port[[#This Row],[ECL_Undrawn (CNY)]]*Port[[#This Row],[CNY -&gt; FCY]]</f>
        <v>0</v>
      </c>
      <c r="AB60" s="507">
        <f>Port[[#This Row],[ECL (CNY)]]*Port[[#This Row],[CNY -&gt; FCY]]</f>
        <v>7793.7793872196553</v>
      </c>
      <c r="AC60" s="507">
        <f>Port[[#This Row],[ECL_Interest (CNY)]]*Port[[#This Row],[CNY -&gt; FCY]]</f>
        <v>32.907068523816321</v>
      </c>
      <c r="AD60" s="507">
        <f>Port[[#This Row],[EAD_Drawn (CNY)]]*Port[[#This Row],[CNY -&gt; THB]]</f>
        <v>944784</v>
      </c>
      <c r="AE60" s="507">
        <f>Port[[#This Row],[EAD_Undrawn (CNY)]]*Port[[#This Row],[CNY -&gt; THB]]</f>
        <v>0</v>
      </c>
      <c r="AF60" s="507">
        <f>Port[[#This Row],[EAD (CNY)]]*Port[[#This Row],[CNY -&gt; THB]]</f>
        <v>944784</v>
      </c>
      <c r="AG60" s="507">
        <f>Port[[#This Row],[EAD_Interest (CNY)]]*Port[[#This Row],[CNY -&gt; THB]]</f>
        <v>3989.0880000000002</v>
      </c>
      <c r="AH60" s="507">
        <f>Port[[#This Row],[ECL_Drawn (CNY)]]*Port[[#This Row],[CNY -&gt; THB]]</f>
        <v>40907.989247638528</v>
      </c>
      <c r="AI60" s="507">
        <f>Port[[#This Row],[ECL_Undrawn (CNY)]]*Port[[#This Row],[CNY -&gt; THB]]</f>
        <v>0</v>
      </c>
      <c r="AJ60" s="507">
        <f>Port[[#This Row],[ECL (CNY)]]*Port[[#This Row],[CNY -&gt; THB]]</f>
        <v>40907.989247638528</v>
      </c>
      <c r="AK60" s="507">
        <f>Port[[#This Row],[ECL_Interest (CNY)]]*Port[[#This Row],[CNY -&gt; THB]]</f>
        <v>172.72262126780711</v>
      </c>
      <c r="AL60" s="507">
        <f>Port[[#This Row],[EAD (THB)]]*Port[[#This Row],[PD_avg]]</f>
        <v>45453.321386265023</v>
      </c>
      <c r="AM60" s="507">
        <f>Port[[#This Row],[EAD_Interest (THB)]]*Port[[#This Row],[PD_avg]]</f>
        <v>191.91402363089679</v>
      </c>
      <c r="AN60" s="507">
        <f>Port[[#This Row],[EAD (THB)]]*Port[[#This Row],[LGD_avg]]</f>
        <v>850305.60000000009</v>
      </c>
      <c r="AO60" s="507">
        <f>Port[[#This Row],[EAD_Interest (THB)]]*Port[[#This Row],[LGD_avg]]</f>
        <v>3590.1792000000005</v>
      </c>
      <c r="AP60" s="507">
        <f>Port[[#This Row],[EAD_Drawn (THB)]]+Port[[#This Row],[EAD_Interest (THB)]]</f>
        <v>948773.08799999999</v>
      </c>
      <c r="AQ6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14171.76</v>
      </c>
      <c r="AR60" s="522">
        <f>MAX(Port[[#This Row],[ECL (THB)]]+Port[[#This Row],[ECL_Interest (THB)]], Port[[#This Row],[ECL CBIRC (THB)]])</f>
        <v>41080.711868906335</v>
      </c>
    </row>
    <row r="61" spans="1:44">
      <c r="A61" s="2" t="s">
        <v>879</v>
      </c>
      <c r="B61" s="2" t="s">
        <v>45</v>
      </c>
      <c r="C61" s="2" t="s">
        <v>17</v>
      </c>
      <c r="D61" s="2" t="s">
        <v>25</v>
      </c>
      <c r="E61" s="2" t="s">
        <v>19</v>
      </c>
      <c r="F61" s="2" t="s">
        <v>20</v>
      </c>
      <c r="G61" s="2" t="s">
        <v>21</v>
      </c>
      <c r="H61">
        <v>1</v>
      </c>
      <c r="I61" s="2" t="s">
        <v>526</v>
      </c>
      <c r="J61" s="505">
        <v>2.0514833509807026E-2</v>
      </c>
      <c r="K61" s="505">
        <v>0.90000000000000013</v>
      </c>
      <c r="L61" s="3">
        <v>1</v>
      </c>
      <c r="M61" s="3">
        <v>5.2488000000000001</v>
      </c>
      <c r="N61" s="507">
        <v>100000000</v>
      </c>
      <c r="O61" s="507">
        <v>0</v>
      </c>
      <c r="P61" s="507">
        <v>100000000</v>
      </c>
      <c r="Q61" s="507">
        <v>79722.22</v>
      </c>
      <c r="R61" s="507">
        <v>1846335.0158826327</v>
      </c>
      <c r="S61" s="507">
        <v>0</v>
      </c>
      <c r="T61" s="507">
        <v>1846335.0158826327</v>
      </c>
      <c r="U61" s="507">
        <v>1471.9392632989875</v>
      </c>
      <c r="V61" s="507">
        <f>Port[[#This Row],[EAD_Drawn (CNY)]]*Port[[#This Row],[CNY -&gt; FCY]]</f>
        <v>100000000</v>
      </c>
      <c r="W61" s="507">
        <f>Port[[#This Row],[EAD_Undrawn (CNY)]]*Port[[#This Row],[CNY -&gt; FCY]]</f>
        <v>0</v>
      </c>
      <c r="X61" s="507">
        <f>Port[[#This Row],[EAD (CNY)]]*Port[[#This Row],[CNY -&gt; FCY]]</f>
        <v>100000000</v>
      </c>
      <c r="Y61" s="507">
        <f>Port[[#This Row],[EAD_Interest (CNY)]]*Port[[#This Row],[CNY -&gt; FCY]]</f>
        <v>79722.22</v>
      </c>
      <c r="Z61" s="507">
        <f>Port[[#This Row],[ECL_Drawn (CNY)]]*Port[[#This Row],[CNY -&gt; FCY]]</f>
        <v>1846335.0158826327</v>
      </c>
      <c r="AA61" s="507">
        <f>Port[[#This Row],[ECL_Undrawn (CNY)]]*Port[[#This Row],[CNY -&gt; FCY]]</f>
        <v>0</v>
      </c>
      <c r="AB61" s="507">
        <f>Port[[#This Row],[ECL (CNY)]]*Port[[#This Row],[CNY -&gt; FCY]]</f>
        <v>1846335.0158826327</v>
      </c>
      <c r="AC61" s="507">
        <f>Port[[#This Row],[ECL_Interest (CNY)]]*Port[[#This Row],[CNY -&gt; FCY]]</f>
        <v>1471.9392632989875</v>
      </c>
      <c r="AD61" s="507">
        <f>Port[[#This Row],[EAD_Drawn (CNY)]]*Port[[#This Row],[CNY -&gt; THB]]</f>
        <v>524880000</v>
      </c>
      <c r="AE61" s="507">
        <f>Port[[#This Row],[EAD_Undrawn (CNY)]]*Port[[#This Row],[CNY -&gt; THB]]</f>
        <v>0</v>
      </c>
      <c r="AF61" s="507">
        <f>Port[[#This Row],[EAD (CNY)]]*Port[[#This Row],[CNY -&gt; THB]]</f>
        <v>524880000</v>
      </c>
      <c r="AG61" s="507">
        <f>Port[[#This Row],[EAD_Interest (CNY)]]*Port[[#This Row],[CNY -&gt; THB]]</f>
        <v>418445.98833600001</v>
      </c>
      <c r="AH61" s="507">
        <f>Port[[#This Row],[ECL_Drawn (CNY)]]*Port[[#This Row],[CNY -&gt; THB]]</f>
        <v>9691043.2313647624</v>
      </c>
      <c r="AI61" s="507">
        <f>Port[[#This Row],[ECL_Undrawn (CNY)]]*Port[[#This Row],[CNY -&gt; THB]]</f>
        <v>0</v>
      </c>
      <c r="AJ61" s="507">
        <f>Port[[#This Row],[ECL (CNY)]]*Port[[#This Row],[CNY -&gt; THB]]</f>
        <v>9691043.2313647624</v>
      </c>
      <c r="AK61" s="507">
        <f>Port[[#This Row],[ECL_Interest (CNY)]]*Port[[#This Row],[CNY -&gt; THB]]</f>
        <v>7725.9148052037253</v>
      </c>
      <c r="AL61" s="507">
        <f>Port[[#This Row],[EAD (THB)]]*Port[[#This Row],[PD_avg]]</f>
        <v>10767825.812627511</v>
      </c>
      <c r="AM61" s="507">
        <f>Port[[#This Row],[EAD_Interest (THB)]]*Port[[#This Row],[PD_avg]]</f>
        <v>8584.3497835596936</v>
      </c>
      <c r="AN61" s="507">
        <f>Port[[#This Row],[EAD (THB)]]*Port[[#This Row],[LGD_avg]]</f>
        <v>472392000.00000006</v>
      </c>
      <c r="AO61" s="507">
        <f>Port[[#This Row],[EAD_Interest (THB)]]*Port[[#This Row],[LGD_avg]]</f>
        <v>376601.38950240007</v>
      </c>
      <c r="AP61" s="507">
        <f>Port[[#This Row],[EAD_Drawn (THB)]]+Port[[#This Row],[EAD_Interest (THB)]]</f>
        <v>525298445.98833603</v>
      </c>
      <c r="AQ6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7873200</v>
      </c>
      <c r="AR61" s="522">
        <f>MAX(Port[[#This Row],[ECL (THB)]]+Port[[#This Row],[ECL_Interest (THB)]], Port[[#This Row],[ECL CBIRC (THB)]])</f>
        <v>9698769.1461699661</v>
      </c>
    </row>
    <row r="62" spans="1:44">
      <c r="A62" s="2" t="s">
        <v>880</v>
      </c>
      <c r="B62" s="2" t="s">
        <v>54</v>
      </c>
      <c r="C62" s="2" t="s">
        <v>17</v>
      </c>
      <c r="D62" s="2" t="s">
        <v>25</v>
      </c>
      <c r="E62" s="2" t="s">
        <v>19</v>
      </c>
      <c r="F62" s="2" t="s">
        <v>20</v>
      </c>
      <c r="G62" s="2" t="s">
        <v>21</v>
      </c>
      <c r="H62">
        <v>1</v>
      </c>
      <c r="I62" s="2" t="s">
        <v>526</v>
      </c>
      <c r="J62" s="505">
        <v>4.8109749303825028E-2</v>
      </c>
      <c r="K62" s="505">
        <v>0.90000000000000013</v>
      </c>
      <c r="L62" s="3">
        <v>1</v>
      </c>
      <c r="M62" s="3">
        <v>5.2488000000000001</v>
      </c>
      <c r="N62" s="507">
        <v>6370000</v>
      </c>
      <c r="O62" s="507">
        <v>0</v>
      </c>
      <c r="P62" s="507">
        <v>6370000</v>
      </c>
      <c r="Q62" s="507">
        <v>25480</v>
      </c>
      <c r="R62" s="507">
        <v>275813.19275882893</v>
      </c>
      <c r="S62" s="507">
        <v>0</v>
      </c>
      <c r="T62" s="507">
        <v>275813.19275882893</v>
      </c>
      <c r="U62" s="507">
        <v>1103.2527710353156</v>
      </c>
      <c r="V62" s="507">
        <f>Port[[#This Row],[EAD_Drawn (CNY)]]*Port[[#This Row],[CNY -&gt; FCY]]</f>
        <v>6370000</v>
      </c>
      <c r="W62" s="507">
        <f>Port[[#This Row],[EAD_Undrawn (CNY)]]*Port[[#This Row],[CNY -&gt; FCY]]</f>
        <v>0</v>
      </c>
      <c r="X62" s="507">
        <f>Port[[#This Row],[EAD (CNY)]]*Port[[#This Row],[CNY -&gt; FCY]]</f>
        <v>6370000</v>
      </c>
      <c r="Y62" s="507">
        <f>Port[[#This Row],[EAD_Interest (CNY)]]*Port[[#This Row],[CNY -&gt; FCY]]</f>
        <v>25480</v>
      </c>
      <c r="Z62" s="507">
        <f>Port[[#This Row],[ECL_Drawn (CNY)]]*Port[[#This Row],[CNY -&gt; FCY]]</f>
        <v>275813.19275882893</v>
      </c>
      <c r="AA62" s="507">
        <f>Port[[#This Row],[ECL_Undrawn (CNY)]]*Port[[#This Row],[CNY -&gt; FCY]]</f>
        <v>0</v>
      </c>
      <c r="AB62" s="507">
        <f>Port[[#This Row],[ECL (CNY)]]*Port[[#This Row],[CNY -&gt; FCY]]</f>
        <v>275813.19275882893</v>
      </c>
      <c r="AC62" s="507">
        <f>Port[[#This Row],[ECL_Interest (CNY)]]*Port[[#This Row],[CNY -&gt; FCY]]</f>
        <v>1103.2527710353156</v>
      </c>
      <c r="AD62" s="507">
        <f>Port[[#This Row],[EAD_Drawn (CNY)]]*Port[[#This Row],[CNY -&gt; THB]]</f>
        <v>33434856</v>
      </c>
      <c r="AE62" s="507">
        <f>Port[[#This Row],[EAD_Undrawn (CNY)]]*Port[[#This Row],[CNY -&gt; THB]]</f>
        <v>0</v>
      </c>
      <c r="AF62" s="507">
        <f>Port[[#This Row],[EAD (CNY)]]*Port[[#This Row],[CNY -&gt; THB]]</f>
        <v>33434856</v>
      </c>
      <c r="AG62" s="507">
        <f>Port[[#This Row],[EAD_Interest (CNY)]]*Port[[#This Row],[CNY -&gt; THB]]</f>
        <v>133739.424</v>
      </c>
      <c r="AH62" s="507">
        <f>Port[[#This Row],[ECL_Drawn (CNY)]]*Port[[#This Row],[CNY -&gt; THB]]</f>
        <v>1447688.2861525414</v>
      </c>
      <c r="AI62" s="507">
        <f>Port[[#This Row],[ECL_Undrawn (CNY)]]*Port[[#This Row],[CNY -&gt; THB]]</f>
        <v>0</v>
      </c>
      <c r="AJ62" s="507">
        <f>Port[[#This Row],[ECL (CNY)]]*Port[[#This Row],[CNY -&gt; THB]]</f>
        <v>1447688.2861525414</v>
      </c>
      <c r="AK62" s="507">
        <f>Port[[#This Row],[ECL_Interest (CNY)]]*Port[[#This Row],[CNY -&gt; THB]]</f>
        <v>5790.7531446101648</v>
      </c>
      <c r="AL62" s="507">
        <f>Port[[#This Row],[EAD (THB)]]*Port[[#This Row],[PD_avg]]</f>
        <v>1608542.54016949</v>
      </c>
      <c r="AM62" s="507">
        <f>Port[[#This Row],[EAD_Interest (THB)]]*Port[[#This Row],[PD_avg]]</f>
        <v>6434.1701606779598</v>
      </c>
      <c r="AN62" s="507">
        <f>Port[[#This Row],[EAD (THB)]]*Port[[#This Row],[LGD_avg]]</f>
        <v>30091370.400000006</v>
      </c>
      <c r="AO62" s="507">
        <f>Port[[#This Row],[EAD_Interest (THB)]]*Port[[#This Row],[LGD_avg]]</f>
        <v>120365.48160000001</v>
      </c>
      <c r="AP62" s="507">
        <f>Port[[#This Row],[EAD_Drawn (THB)]]+Port[[#This Row],[EAD_Interest (THB)]]</f>
        <v>33568595.424000002</v>
      </c>
      <c r="AQ6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501522.83999999997</v>
      </c>
      <c r="AR62" s="522">
        <f>MAX(Port[[#This Row],[ECL (THB)]]+Port[[#This Row],[ECL_Interest (THB)]], Port[[#This Row],[ECL CBIRC (THB)]])</f>
        <v>1453479.0392971516</v>
      </c>
    </row>
    <row r="63" spans="1:44">
      <c r="A63" s="2" t="s">
        <v>881</v>
      </c>
      <c r="B63" s="2" t="s">
        <v>44</v>
      </c>
      <c r="C63" s="2" t="s">
        <v>17</v>
      </c>
      <c r="D63" s="2" t="s">
        <v>30</v>
      </c>
      <c r="E63" s="2" t="s">
        <v>19</v>
      </c>
      <c r="F63" s="2" t="s">
        <v>20</v>
      </c>
      <c r="G63" s="2" t="s">
        <v>21</v>
      </c>
      <c r="H63">
        <v>1</v>
      </c>
      <c r="I63" s="2" t="s">
        <v>526</v>
      </c>
      <c r="J63" s="505">
        <v>2.0514833509807026E-2</v>
      </c>
      <c r="K63" s="505">
        <v>0.9</v>
      </c>
      <c r="L63" s="3">
        <v>1</v>
      </c>
      <c r="M63" s="3">
        <v>5.2488000000000001</v>
      </c>
      <c r="N63" s="507">
        <v>3562793.32</v>
      </c>
      <c r="O63" s="507">
        <v>0</v>
      </c>
      <c r="P63" s="507">
        <v>3562793.32</v>
      </c>
      <c r="Q63" s="507">
        <v>3706.29</v>
      </c>
      <c r="R63" s="507">
        <v>65781.100610687368</v>
      </c>
      <c r="S63" s="507">
        <v>0</v>
      </c>
      <c r="T63" s="507">
        <v>65781.100610687368</v>
      </c>
      <c r="U63" s="507">
        <v>68.430530060156414</v>
      </c>
      <c r="V63" s="507">
        <f>Port[[#This Row],[EAD_Drawn (CNY)]]*Port[[#This Row],[CNY -&gt; FCY]]</f>
        <v>3562793.32</v>
      </c>
      <c r="W63" s="507">
        <f>Port[[#This Row],[EAD_Undrawn (CNY)]]*Port[[#This Row],[CNY -&gt; FCY]]</f>
        <v>0</v>
      </c>
      <c r="X63" s="507">
        <f>Port[[#This Row],[EAD (CNY)]]*Port[[#This Row],[CNY -&gt; FCY]]</f>
        <v>3562793.32</v>
      </c>
      <c r="Y63" s="507">
        <f>Port[[#This Row],[EAD_Interest (CNY)]]*Port[[#This Row],[CNY -&gt; FCY]]</f>
        <v>3706.29</v>
      </c>
      <c r="Z63" s="507">
        <f>Port[[#This Row],[ECL_Drawn (CNY)]]*Port[[#This Row],[CNY -&gt; FCY]]</f>
        <v>65781.100610687368</v>
      </c>
      <c r="AA63" s="507">
        <f>Port[[#This Row],[ECL_Undrawn (CNY)]]*Port[[#This Row],[CNY -&gt; FCY]]</f>
        <v>0</v>
      </c>
      <c r="AB63" s="507">
        <f>Port[[#This Row],[ECL (CNY)]]*Port[[#This Row],[CNY -&gt; FCY]]</f>
        <v>65781.100610687368</v>
      </c>
      <c r="AC63" s="507">
        <f>Port[[#This Row],[ECL_Interest (CNY)]]*Port[[#This Row],[CNY -&gt; FCY]]</f>
        <v>68.430530060156414</v>
      </c>
      <c r="AD63" s="507">
        <f>Port[[#This Row],[EAD_Drawn (CNY)]]*Port[[#This Row],[CNY -&gt; THB]]</f>
        <v>18700389.578015998</v>
      </c>
      <c r="AE63" s="507">
        <f>Port[[#This Row],[EAD_Undrawn (CNY)]]*Port[[#This Row],[CNY -&gt; THB]]</f>
        <v>0</v>
      </c>
      <c r="AF63" s="507">
        <f>Port[[#This Row],[EAD (CNY)]]*Port[[#This Row],[CNY -&gt; THB]]</f>
        <v>18700389.578015998</v>
      </c>
      <c r="AG63" s="507">
        <f>Port[[#This Row],[EAD_Interest (CNY)]]*Port[[#This Row],[CNY -&gt; THB]]</f>
        <v>19453.574951999999</v>
      </c>
      <c r="AH63" s="507">
        <f>Port[[#This Row],[ECL_Drawn (CNY)]]*Port[[#This Row],[CNY -&gt; THB]]</f>
        <v>345271.84088537586</v>
      </c>
      <c r="AI63" s="507">
        <f>Port[[#This Row],[ECL_Undrawn (CNY)]]*Port[[#This Row],[CNY -&gt; THB]]</f>
        <v>0</v>
      </c>
      <c r="AJ63" s="507">
        <f>Port[[#This Row],[ECL (CNY)]]*Port[[#This Row],[CNY -&gt; THB]]</f>
        <v>345271.84088537586</v>
      </c>
      <c r="AK63" s="507">
        <f>Port[[#This Row],[ECL_Interest (CNY)]]*Port[[#This Row],[CNY -&gt; THB]]</f>
        <v>359.17816617974898</v>
      </c>
      <c r="AL63" s="507">
        <f>Port[[#This Row],[EAD (THB)]]*Port[[#This Row],[PD_avg]]</f>
        <v>383635.37876152864</v>
      </c>
      <c r="AM63" s="507">
        <f>Port[[#This Row],[EAD_Interest (THB)]]*Port[[#This Row],[PD_avg]]</f>
        <v>399.08685131083217</v>
      </c>
      <c r="AN63" s="507">
        <f>Port[[#This Row],[EAD (THB)]]*Port[[#This Row],[LGD_avg]]</f>
        <v>16830350.620214399</v>
      </c>
      <c r="AO63" s="507">
        <f>Port[[#This Row],[EAD_Interest (THB)]]*Port[[#This Row],[LGD_avg]]</f>
        <v>17508.217456800001</v>
      </c>
      <c r="AP63" s="507">
        <f>Port[[#This Row],[EAD_Drawn (THB)]]+Port[[#This Row],[EAD_Interest (THB)]]</f>
        <v>18719843.152967997</v>
      </c>
      <c r="AQ6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280505.84367023996</v>
      </c>
      <c r="AR63" s="522">
        <f>MAX(Port[[#This Row],[ECL (THB)]]+Port[[#This Row],[ECL_Interest (THB)]], Port[[#This Row],[ECL CBIRC (THB)]])</f>
        <v>345631.0190515556</v>
      </c>
    </row>
    <row r="64" spans="1:44">
      <c r="A64" s="2" t="s">
        <v>882</v>
      </c>
      <c r="B64" s="2" t="s">
        <v>883</v>
      </c>
      <c r="C64" s="2" t="s">
        <v>17</v>
      </c>
      <c r="D64" s="2" t="s">
        <v>25</v>
      </c>
      <c r="E64" s="2" t="s">
        <v>19</v>
      </c>
      <c r="F64" s="2" t="s">
        <v>20</v>
      </c>
      <c r="G64" s="2" t="s">
        <v>21</v>
      </c>
      <c r="H64">
        <v>1</v>
      </c>
      <c r="I64" s="2" t="s">
        <v>526</v>
      </c>
      <c r="J64" s="505">
        <v>4.8109749303825028E-2</v>
      </c>
      <c r="K64" s="505">
        <v>0.9</v>
      </c>
      <c r="L64" s="3">
        <v>1</v>
      </c>
      <c r="M64" s="3">
        <v>5.2488000000000001</v>
      </c>
      <c r="N64" s="507">
        <v>58887</v>
      </c>
      <c r="O64" s="507">
        <v>0</v>
      </c>
      <c r="P64" s="507">
        <v>58887</v>
      </c>
      <c r="Q64" s="507">
        <v>1188.9100000000001</v>
      </c>
      <c r="R64" s="507">
        <v>2549.7349265289104</v>
      </c>
      <c r="S64" s="507">
        <v>0</v>
      </c>
      <c r="T64" s="507">
        <v>2549.7349265289104</v>
      </c>
      <c r="U64" s="507">
        <v>51.478345840329553</v>
      </c>
      <c r="V64" s="507">
        <f>Port[[#This Row],[EAD_Drawn (CNY)]]*Port[[#This Row],[CNY -&gt; FCY]]</f>
        <v>58887</v>
      </c>
      <c r="W64" s="507">
        <f>Port[[#This Row],[EAD_Undrawn (CNY)]]*Port[[#This Row],[CNY -&gt; FCY]]</f>
        <v>0</v>
      </c>
      <c r="X64" s="507">
        <f>Port[[#This Row],[EAD (CNY)]]*Port[[#This Row],[CNY -&gt; FCY]]</f>
        <v>58887</v>
      </c>
      <c r="Y64" s="507">
        <f>Port[[#This Row],[EAD_Interest (CNY)]]*Port[[#This Row],[CNY -&gt; FCY]]</f>
        <v>1188.9100000000001</v>
      </c>
      <c r="Z64" s="507">
        <f>Port[[#This Row],[ECL_Drawn (CNY)]]*Port[[#This Row],[CNY -&gt; FCY]]</f>
        <v>2549.7349265289104</v>
      </c>
      <c r="AA64" s="507">
        <f>Port[[#This Row],[ECL_Undrawn (CNY)]]*Port[[#This Row],[CNY -&gt; FCY]]</f>
        <v>0</v>
      </c>
      <c r="AB64" s="507">
        <f>Port[[#This Row],[ECL (CNY)]]*Port[[#This Row],[CNY -&gt; FCY]]</f>
        <v>2549.7349265289104</v>
      </c>
      <c r="AC64" s="507">
        <f>Port[[#This Row],[ECL_Interest (CNY)]]*Port[[#This Row],[CNY -&gt; FCY]]</f>
        <v>51.478345840329553</v>
      </c>
      <c r="AD64" s="507">
        <f>Port[[#This Row],[EAD_Drawn (CNY)]]*Port[[#This Row],[CNY -&gt; THB]]</f>
        <v>309086.08559999999</v>
      </c>
      <c r="AE64" s="507">
        <f>Port[[#This Row],[EAD_Undrawn (CNY)]]*Port[[#This Row],[CNY -&gt; THB]]</f>
        <v>0</v>
      </c>
      <c r="AF64" s="507">
        <f>Port[[#This Row],[EAD (CNY)]]*Port[[#This Row],[CNY -&gt; THB]]</f>
        <v>309086.08559999999</v>
      </c>
      <c r="AG64" s="507">
        <f>Port[[#This Row],[EAD_Interest (CNY)]]*Port[[#This Row],[CNY -&gt; THB]]</f>
        <v>6240.3508080000001</v>
      </c>
      <c r="AH64" s="507">
        <f>Port[[#This Row],[ECL_Drawn (CNY)]]*Port[[#This Row],[CNY -&gt; THB]]</f>
        <v>13383.048682364944</v>
      </c>
      <c r="AI64" s="507">
        <f>Port[[#This Row],[ECL_Undrawn (CNY)]]*Port[[#This Row],[CNY -&gt; THB]]</f>
        <v>0</v>
      </c>
      <c r="AJ64" s="507">
        <f>Port[[#This Row],[ECL (CNY)]]*Port[[#This Row],[CNY -&gt; THB]]</f>
        <v>13383.048682364944</v>
      </c>
      <c r="AK64" s="507">
        <f>Port[[#This Row],[ECL_Interest (CNY)]]*Port[[#This Row],[CNY -&gt; THB]]</f>
        <v>270.19954164672174</v>
      </c>
      <c r="AL64" s="507">
        <f>Port[[#This Row],[EAD (THB)]]*Port[[#This Row],[PD_avg]]</f>
        <v>14870.054091516602</v>
      </c>
      <c r="AM64" s="507">
        <f>Port[[#This Row],[EAD_Interest (THB)]]*Port[[#This Row],[PD_avg]]</f>
        <v>300.22171294080198</v>
      </c>
      <c r="AN64" s="507">
        <f>Port[[#This Row],[EAD (THB)]]*Port[[#This Row],[LGD_avg]]</f>
        <v>278177.47704000003</v>
      </c>
      <c r="AO64" s="507">
        <f>Port[[#This Row],[EAD_Interest (THB)]]*Port[[#This Row],[LGD_avg]]</f>
        <v>5616.3157271999999</v>
      </c>
      <c r="AP64" s="507">
        <f>Port[[#This Row],[EAD_Drawn (THB)]]+Port[[#This Row],[EAD_Interest (THB)]]</f>
        <v>315326.43640800001</v>
      </c>
      <c r="AQ6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4636.2912839999999</v>
      </c>
      <c r="AR64" s="522">
        <f>MAX(Port[[#This Row],[ECL (THB)]]+Port[[#This Row],[ECL_Interest (THB)]], Port[[#This Row],[ECL CBIRC (THB)]])</f>
        <v>13653.248224011666</v>
      </c>
    </row>
    <row r="65" spans="1:44">
      <c r="A65" s="2" t="s">
        <v>884</v>
      </c>
      <c r="B65" s="2" t="s">
        <v>885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21</v>
      </c>
      <c r="H65">
        <v>1</v>
      </c>
      <c r="I65" s="2" t="s">
        <v>526</v>
      </c>
      <c r="J65" s="505">
        <v>4.8109749303825028E-2</v>
      </c>
      <c r="K65" s="505">
        <v>0.89999999999999991</v>
      </c>
      <c r="L65" s="3">
        <v>1</v>
      </c>
      <c r="M65" s="3">
        <v>5.2488000000000001</v>
      </c>
      <c r="N65" s="507">
        <v>1620000</v>
      </c>
      <c r="O65" s="507">
        <v>0</v>
      </c>
      <c r="P65" s="507">
        <v>1620000</v>
      </c>
      <c r="Q65" s="507">
        <v>6480</v>
      </c>
      <c r="R65" s="507">
        <v>70144.014484976884</v>
      </c>
      <c r="S65" s="507">
        <v>0</v>
      </c>
      <c r="T65" s="507">
        <v>70144.014484976884</v>
      </c>
      <c r="U65" s="507">
        <v>280.57605793990757</v>
      </c>
      <c r="V65" s="507">
        <f>Port[[#This Row],[EAD_Drawn (CNY)]]*Port[[#This Row],[CNY -&gt; FCY]]</f>
        <v>1620000</v>
      </c>
      <c r="W65" s="507">
        <f>Port[[#This Row],[EAD_Undrawn (CNY)]]*Port[[#This Row],[CNY -&gt; FCY]]</f>
        <v>0</v>
      </c>
      <c r="X65" s="507">
        <f>Port[[#This Row],[EAD (CNY)]]*Port[[#This Row],[CNY -&gt; FCY]]</f>
        <v>1620000</v>
      </c>
      <c r="Y65" s="507">
        <f>Port[[#This Row],[EAD_Interest (CNY)]]*Port[[#This Row],[CNY -&gt; FCY]]</f>
        <v>6480</v>
      </c>
      <c r="Z65" s="507">
        <f>Port[[#This Row],[ECL_Drawn (CNY)]]*Port[[#This Row],[CNY -&gt; FCY]]</f>
        <v>70144.014484976884</v>
      </c>
      <c r="AA65" s="507">
        <f>Port[[#This Row],[ECL_Undrawn (CNY)]]*Port[[#This Row],[CNY -&gt; FCY]]</f>
        <v>0</v>
      </c>
      <c r="AB65" s="507">
        <f>Port[[#This Row],[ECL (CNY)]]*Port[[#This Row],[CNY -&gt; FCY]]</f>
        <v>70144.014484976884</v>
      </c>
      <c r="AC65" s="507">
        <f>Port[[#This Row],[ECL_Interest (CNY)]]*Port[[#This Row],[CNY -&gt; FCY]]</f>
        <v>280.57605793990757</v>
      </c>
      <c r="AD65" s="507">
        <f>Port[[#This Row],[EAD_Drawn (CNY)]]*Port[[#This Row],[CNY -&gt; THB]]</f>
        <v>8503056</v>
      </c>
      <c r="AE65" s="507">
        <f>Port[[#This Row],[EAD_Undrawn (CNY)]]*Port[[#This Row],[CNY -&gt; THB]]</f>
        <v>0</v>
      </c>
      <c r="AF65" s="507">
        <f>Port[[#This Row],[EAD (CNY)]]*Port[[#This Row],[CNY -&gt; THB]]</f>
        <v>8503056</v>
      </c>
      <c r="AG65" s="507">
        <f>Port[[#This Row],[EAD_Interest (CNY)]]*Port[[#This Row],[CNY -&gt; THB]]</f>
        <v>34012.224000000002</v>
      </c>
      <c r="AH65" s="507">
        <f>Port[[#This Row],[ECL_Drawn (CNY)]]*Port[[#This Row],[CNY -&gt; THB]]</f>
        <v>368171.90322874667</v>
      </c>
      <c r="AI65" s="507">
        <f>Port[[#This Row],[ECL_Undrawn (CNY)]]*Port[[#This Row],[CNY -&gt; THB]]</f>
        <v>0</v>
      </c>
      <c r="AJ65" s="507">
        <f>Port[[#This Row],[ECL (CNY)]]*Port[[#This Row],[CNY -&gt; THB]]</f>
        <v>368171.90322874667</v>
      </c>
      <c r="AK65" s="507">
        <f>Port[[#This Row],[ECL_Interest (CNY)]]*Port[[#This Row],[CNY -&gt; THB]]</f>
        <v>1472.6876129149869</v>
      </c>
      <c r="AL65" s="507">
        <f>Port[[#This Row],[EAD (THB)]]*Port[[#This Row],[PD_avg]]</f>
        <v>409079.89247638523</v>
      </c>
      <c r="AM65" s="507">
        <f>Port[[#This Row],[EAD_Interest (THB)]]*Port[[#This Row],[PD_avg]]</f>
        <v>1636.3195699055409</v>
      </c>
      <c r="AN65" s="507">
        <f>Port[[#This Row],[EAD (THB)]]*Port[[#This Row],[LGD_avg]]</f>
        <v>7652750.3999999994</v>
      </c>
      <c r="AO65" s="507">
        <f>Port[[#This Row],[EAD_Interest (THB)]]*Port[[#This Row],[LGD_avg]]</f>
        <v>30611.0016</v>
      </c>
      <c r="AP65" s="507">
        <f>Port[[#This Row],[EAD_Drawn (THB)]]+Port[[#This Row],[EAD_Interest (THB)]]</f>
        <v>8537068.2239999995</v>
      </c>
      <c r="AQ6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127545.84</v>
      </c>
      <c r="AR65" s="522">
        <f>MAX(Port[[#This Row],[ECL (THB)]]+Port[[#This Row],[ECL_Interest (THB)]], Port[[#This Row],[ECL CBIRC (THB)]])</f>
        <v>369644.59084166167</v>
      </c>
    </row>
    <row r="66" spans="1:44">
      <c r="A66" s="2" t="s">
        <v>886</v>
      </c>
      <c r="B66" s="2" t="s">
        <v>54</v>
      </c>
      <c r="C66" s="2" t="s">
        <v>17</v>
      </c>
      <c r="D66" s="2" t="s">
        <v>25</v>
      </c>
      <c r="E66" s="2" t="s">
        <v>19</v>
      </c>
      <c r="F66" s="2" t="s">
        <v>20</v>
      </c>
      <c r="G66" s="2" t="s">
        <v>21</v>
      </c>
      <c r="H66">
        <v>1</v>
      </c>
      <c r="I66" s="2" t="s">
        <v>526</v>
      </c>
      <c r="J66" s="505">
        <v>4.8109749303825028E-2</v>
      </c>
      <c r="K66" s="505">
        <v>0.90000000000000013</v>
      </c>
      <c r="L66" s="3">
        <v>1</v>
      </c>
      <c r="M66" s="3">
        <v>5.2488000000000001</v>
      </c>
      <c r="N66" s="507">
        <v>3030000</v>
      </c>
      <c r="O66" s="507">
        <v>0</v>
      </c>
      <c r="P66" s="507">
        <v>3030000</v>
      </c>
      <c r="Q66" s="507">
        <v>10100</v>
      </c>
      <c r="R66" s="507">
        <v>131195.28635153087</v>
      </c>
      <c r="S66" s="507">
        <v>0</v>
      </c>
      <c r="T66" s="507">
        <v>131195.28635153087</v>
      </c>
      <c r="U66" s="507">
        <v>437.31762117176953</v>
      </c>
      <c r="V66" s="507">
        <f>Port[[#This Row],[EAD_Drawn (CNY)]]*Port[[#This Row],[CNY -&gt; FCY]]</f>
        <v>3030000</v>
      </c>
      <c r="W66" s="507">
        <f>Port[[#This Row],[EAD_Undrawn (CNY)]]*Port[[#This Row],[CNY -&gt; FCY]]</f>
        <v>0</v>
      </c>
      <c r="X66" s="507">
        <f>Port[[#This Row],[EAD (CNY)]]*Port[[#This Row],[CNY -&gt; FCY]]</f>
        <v>3030000</v>
      </c>
      <c r="Y66" s="507">
        <f>Port[[#This Row],[EAD_Interest (CNY)]]*Port[[#This Row],[CNY -&gt; FCY]]</f>
        <v>10100</v>
      </c>
      <c r="Z66" s="507">
        <f>Port[[#This Row],[ECL_Drawn (CNY)]]*Port[[#This Row],[CNY -&gt; FCY]]</f>
        <v>131195.28635153087</v>
      </c>
      <c r="AA66" s="507">
        <f>Port[[#This Row],[ECL_Undrawn (CNY)]]*Port[[#This Row],[CNY -&gt; FCY]]</f>
        <v>0</v>
      </c>
      <c r="AB66" s="507">
        <f>Port[[#This Row],[ECL (CNY)]]*Port[[#This Row],[CNY -&gt; FCY]]</f>
        <v>131195.28635153087</v>
      </c>
      <c r="AC66" s="507">
        <f>Port[[#This Row],[ECL_Interest (CNY)]]*Port[[#This Row],[CNY -&gt; FCY]]</f>
        <v>437.31762117176953</v>
      </c>
      <c r="AD66" s="507">
        <f>Port[[#This Row],[EAD_Drawn (CNY)]]*Port[[#This Row],[CNY -&gt; THB]]</f>
        <v>15903864</v>
      </c>
      <c r="AE66" s="507">
        <f>Port[[#This Row],[EAD_Undrawn (CNY)]]*Port[[#This Row],[CNY -&gt; THB]]</f>
        <v>0</v>
      </c>
      <c r="AF66" s="507">
        <f>Port[[#This Row],[EAD (CNY)]]*Port[[#This Row],[CNY -&gt; THB]]</f>
        <v>15903864</v>
      </c>
      <c r="AG66" s="507">
        <f>Port[[#This Row],[EAD_Interest (CNY)]]*Port[[#This Row],[CNY -&gt; THB]]</f>
        <v>53012.880000000005</v>
      </c>
      <c r="AH66" s="507">
        <f>Port[[#This Row],[ECL_Drawn (CNY)]]*Port[[#This Row],[CNY -&gt; THB]]</f>
        <v>688617.81900191528</v>
      </c>
      <c r="AI66" s="507">
        <f>Port[[#This Row],[ECL_Undrawn (CNY)]]*Port[[#This Row],[CNY -&gt; THB]]</f>
        <v>0</v>
      </c>
      <c r="AJ66" s="507">
        <f>Port[[#This Row],[ECL (CNY)]]*Port[[#This Row],[CNY -&gt; THB]]</f>
        <v>688617.81900191528</v>
      </c>
      <c r="AK66" s="507">
        <f>Port[[#This Row],[ECL_Interest (CNY)]]*Port[[#This Row],[CNY -&gt; THB]]</f>
        <v>2295.3927300063838</v>
      </c>
      <c r="AL66" s="507">
        <f>Port[[#This Row],[EAD (THB)]]*Port[[#This Row],[PD_avg]]</f>
        <v>765130.91000212787</v>
      </c>
      <c r="AM66" s="507">
        <f>Port[[#This Row],[EAD_Interest (THB)]]*Port[[#This Row],[PD_avg]]</f>
        <v>2550.4363666737599</v>
      </c>
      <c r="AN66" s="507">
        <f>Port[[#This Row],[EAD (THB)]]*Port[[#This Row],[LGD_avg]]</f>
        <v>14313477.600000001</v>
      </c>
      <c r="AO66" s="507">
        <f>Port[[#This Row],[EAD_Interest (THB)]]*Port[[#This Row],[LGD_avg]]</f>
        <v>47711.592000000011</v>
      </c>
      <c r="AP66" s="507">
        <f>Port[[#This Row],[EAD_Drawn (THB)]]+Port[[#This Row],[EAD_Interest (THB)]]</f>
        <v>15956876.880000001</v>
      </c>
      <c r="AQ6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238557.96</v>
      </c>
      <c r="AR66" s="522">
        <f>MAX(Port[[#This Row],[ECL (THB)]]+Port[[#This Row],[ECL_Interest (THB)]], Port[[#This Row],[ECL CBIRC (THB)]])</f>
        <v>690913.21173192165</v>
      </c>
    </row>
    <row r="67" spans="1:44">
      <c r="A67" s="2" t="s">
        <v>887</v>
      </c>
      <c r="B67" s="2" t="s">
        <v>29</v>
      </c>
      <c r="C67" s="2" t="s">
        <v>17</v>
      </c>
      <c r="D67" s="2" t="s">
        <v>30</v>
      </c>
      <c r="E67" s="2" t="s">
        <v>19</v>
      </c>
      <c r="F67" s="2" t="s">
        <v>20</v>
      </c>
      <c r="G67" s="2" t="s">
        <v>21</v>
      </c>
      <c r="H67">
        <v>1</v>
      </c>
      <c r="I67" s="2" t="s">
        <v>526</v>
      </c>
      <c r="J67" s="505">
        <v>3.0745295499522811E-2</v>
      </c>
      <c r="K67" s="505">
        <v>0.9</v>
      </c>
      <c r="L67" s="3">
        <v>1</v>
      </c>
      <c r="M67" s="3">
        <v>5.2488000000000001</v>
      </c>
      <c r="N67" s="507">
        <v>402959.19</v>
      </c>
      <c r="O67" s="507">
        <v>0</v>
      </c>
      <c r="P67" s="507">
        <v>402959.19</v>
      </c>
      <c r="Q67" s="507">
        <v>391.77</v>
      </c>
      <c r="R67" s="507">
        <v>11150.189433718524</v>
      </c>
      <c r="S67" s="507">
        <v>0</v>
      </c>
      <c r="T67" s="507">
        <v>11150.189433718524</v>
      </c>
      <c r="U67" s="507">
        <v>10.840575976063247</v>
      </c>
      <c r="V67" s="507">
        <f>Port[[#This Row],[EAD_Drawn (CNY)]]*Port[[#This Row],[CNY -&gt; FCY]]</f>
        <v>402959.19</v>
      </c>
      <c r="W67" s="507">
        <f>Port[[#This Row],[EAD_Undrawn (CNY)]]*Port[[#This Row],[CNY -&gt; FCY]]</f>
        <v>0</v>
      </c>
      <c r="X67" s="507">
        <f>Port[[#This Row],[EAD (CNY)]]*Port[[#This Row],[CNY -&gt; FCY]]</f>
        <v>402959.19</v>
      </c>
      <c r="Y67" s="507">
        <f>Port[[#This Row],[EAD_Interest (CNY)]]*Port[[#This Row],[CNY -&gt; FCY]]</f>
        <v>391.77</v>
      </c>
      <c r="Z67" s="507">
        <f>Port[[#This Row],[ECL_Drawn (CNY)]]*Port[[#This Row],[CNY -&gt; FCY]]</f>
        <v>11150.189433718524</v>
      </c>
      <c r="AA67" s="507">
        <f>Port[[#This Row],[ECL_Undrawn (CNY)]]*Port[[#This Row],[CNY -&gt; FCY]]</f>
        <v>0</v>
      </c>
      <c r="AB67" s="507">
        <f>Port[[#This Row],[ECL (CNY)]]*Port[[#This Row],[CNY -&gt; FCY]]</f>
        <v>11150.189433718524</v>
      </c>
      <c r="AC67" s="507">
        <f>Port[[#This Row],[ECL_Interest (CNY)]]*Port[[#This Row],[CNY -&gt; FCY]]</f>
        <v>10.840575976063247</v>
      </c>
      <c r="AD67" s="507">
        <f>Port[[#This Row],[EAD_Drawn (CNY)]]*Port[[#This Row],[CNY -&gt; THB]]</f>
        <v>2115052.1964719999</v>
      </c>
      <c r="AE67" s="507">
        <f>Port[[#This Row],[EAD_Undrawn (CNY)]]*Port[[#This Row],[CNY -&gt; THB]]</f>
        <v>0</v>
      </c>
      <c r="AF67" s="507">
        <f>Port[[#This Row],[EAD (CNY)]]*Port[[#This Row],[CNY -&gt; THB]]</f>
        <v>2115052.1964719999</v>
      </c>
      <c r="AG67" s="507">
        <f>Port[[#This Row],[EAD_Interest (CNY)]]*Port[[#This Row],[CNY -&gt; THB]]</f>
        <v>2056.3223760000001</v>
      </c>
      <c r="AH67" s="507">
        <f>Port[[#This Row],[ECL_Drawn (CNY)]]*Port[[#This Row],[CNY -&gt; THB]]</f>
        <v>58525.114299701789</v>
      </c>
      <c r="AI67" s="507">
        <f>Port[[#This Row],[ECL_Undrawn (CNY)]]*Port[[#This Row],[CNY -&gt; THB]]</f>
        <v>0</v>
      </c>
      <c r="AJ67" s="507">
        <f>Port[[#This Row],[ECL (CNY)]]*Port[[#This Row],[CNY -&gt; THB]]</f>
        <v>58525.114299701789</v>
      </c>
      <c r="AK67" s="507">
        <f>Port[[#This Row],[ECL_Interest (CNY)]]*Port[[#This Row],[CNY -&gt; THB]]</f>
        <v>56.900015183160775</v>
      </c>
      <c r="AL67" s="507">
        <f>Port[[#This Row],[EAD (THB)]]*Port[[#This Row],[PD_avg]]</f>
        <v>65027.904777446412</v>
      </c>
      <c r="AM67" s="507">
        <f>Port[[#This Row],[EAD_Interest (THB)]]*Port[[#This Row],[PD_avg]]</f>
        <v>63.222239092400855</v>
      </c>
      <c r="AN67" s="507">
        <f>Port[[#This Row],[EAD (THB)]]*Port[[#This Row],[LGD_avg]]</f>
        <v>1903546.9768248</v>
      </c>
      <c r="AO67" s="507">
        <f>Port[[#This Row],[EAD_Interest (THB)]]*Port[[#This Row],[LGD_avg]]</f>
        <v>1850.6901384</v>
      </c>
      <c r="AP67" s="507">
        <f>Port[[#This Row],[EAD_Drawn (THB)]]+Port[[#This Row],[EAD_Interest (THB)]]</f>
        <v>2117108.5188480001</v>
      </c>
      <c r="AQ6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31725.782947079995</v>
      </c>
      <c r="AR67" s="522">
        <f>MAX(Port[[#This Row],[ECL (THB)]]+Port[[#This Row],[ECL_Interest (THB)]], Port[[#This Row],[ECL CBIRC (THB)]])</f>
        <v>58582.014314884953</v>
      </c>
    </row>
    <row r="68" spans="1:44">
      <c r="A68" s="2" t="s">
        <v>888</v>
      </c>
      <c r="B68" s="2" t="s">
        <v>889</v>
      </c>
      <c r="C68" s="2" t="s">
        <v>17</v>
      </c>
      <c r="D68" s="2" t="s">
        <v>25</v>
      </c>
      <c r="E68" s="2" t="s">
        <v>19</v>
      </c>
      <c r="F68" s="2" t="s">
        <v>20</v>
      </c>
      <c r="G68" s="2" t="s">
        <v>21</v>
      </c>
      <c r="H68">
        <v>1</v>
      </c>
      <c r="I68" s="2" t="s">
        <v>526</v>
      </c>
      <c r="J68" s="505">
        <v>4.8109749303825028E-2</v>
      </c>
      <c r="K68" s="505">
        <v>0.90000000000000013</v>
      </c>
      <c r="L68" s="3">
        <v>1</v>
      </c>
      <c r="M68" s="3">
        <v>5.2488000000000001</v>
      </c>
      <c r="N68" s="507">
        <v>551314.6</v>
      </c>
      <c r="O68" s="507">
        <v>0</v>
      </c>
      <c r="P68" s="507">
        <v>551314.6</v>
      </c>
      <c r="Q68" s="507">
        <v>6478.07</v>
      </c>
      <c r="R68" s="507">
        <v>23871.246474184718</v>
      </c>
      <c r="S68" s="507">
        <v>0</v>
      </c>
      <c r="T68" s="507">
        <v>23871.246474184718</v>
      </c>
      <c r="U68" s="507">
        <v>280.4924913053668</v>
      </c>
      <c r="V68" s="507">
        <f>Port[[#This Row],[EAD_Drawn (CNY)]]*Port[[#This Row],[CNY -&gt; FCY]]</f>
        <v>551314.6</v>
      </c>
      <c r="W68" s="507">
        <f>Port[[#This Row],[EAD_Undrawn (CNY)]]*Port[[#This Row],[CNY -&gt; FCY]]</f>
        <v>0</v>
      </c>
      <c r="X68" s="507">
        <f>Port[[#This Row],[EAD (CNY)]]*Port[[#This Row],[CNY -&gt; FCY]]</f>
        <v>551314.6</v>
      </c>
      <c r="Y68" s="507">
        <f>Port[[#This Row],[EAD_Interest (CNY)]]*Port[[#This Row],[CNY -&gt; FCY]]</f>
        <v>6478.07</v>
      </c>
      <c r="Z68" s="507">
        <f>Port[[#This Row],[ECL_Drawn (CNY)]]*Port[[#This Row],[CNY -&gt; FCY]]</f>
        <v>23871.246474184718</v>
      </c>
      <c r="AA68" s="507">
        <f>Port[[#This Row],[ECL_Undrawn (CNY)]]*Port[[#This Row],[CNY -&gt; FCY]]</f>
        <v>0</v>
      </c>
      <c r="AB68" s="507">
        <f>Port[[#This Row],[ECL (CNY)]]*Port[[#This Row],[CNY -&gt; FCY]]</f>
        <v>23871.246474184718</v>
      </c>
      <c r="AC68" s="507">
        <f>Port[[#This Row],[ECL_Interest (CNY)]]*Port[[#This Row],[CNY -&gt; FCY]]</f>
        <v>280.4924913053668</v>
      </c>
      <c r="AD68" s="507">
        <f>Port[[#This Row],[EAD_Drawn (CNY)]]*Port[[#This Row],[CNY -&gt; THB]]</f>
        <v>2893740.0724800001</v>
      </c>
      <c r="AE68" s="507">
        <f>Port[[#This Row],[EAD_Undrawn (CNY)]]*Port[[#This Row],[CNY -&gt; THB]]</f>
        <v>0</v>
      </c>
      <c r="AF68" s="507">
        <f>Port[[#This Row],[EAD (CNY)]]*Port[[#This Row],[CNY -&gt; THB]]</f>
        <v>2893740.0724800001</v>
      </c>
      <c r="AG68" s="507">
        <f>Port[[#This Row],[EAD_Interest (CNY)]]*Port[[#This Row],[CNY -&gt; THB]]</f>
        <v>34002.093816000001</v>
      </c>
      <c r="AH68" s="507">
        <f>Port[[#This Row],[ECL_Drawn (CNY)]]*Port[[#This Row],[CNY -&gt; THB]]</f>
        <v>125295.39849370075</v>
      </c>
      <c r="AI68" s="507">
        <f>Port[[#This Row],[ECL_Undrawn (CNY)]]*Port[[#This Row],[CNY -&gt; THB]]</f>
        <v>0</v>
      </c>
      <c r="AJ68" s="507">
        <f>Port[[#This Row],[ECL (CNY)]]*Port[[#This Row],[CNY -&gt; THB]]</f>
        <v>125295.39849370075</v>
      </c>
      <c r="AK68" s="507">
        <f>Port[[#This Row],[ECL_Interest (CNY)]]*Port[[#This Row],[CNY -&gt; THB]]</f>
        <v>1472.2489883636092</v>
      </c>
      <c r="AL68" s="507">
        <f>Port[[#This Row],[EAD (THB)]]*Port[[#This Row],[PD_avg]]</f>
        <v>139217.10943744527</v>
      </c>
      <c r="AM68" s="507">
        <f>Port[[#This Row],[EAD_Interest (THB)]]*Port[[#This Row],[PD_avg]]</f>
        <v>1635.8322092928993</v>
      </c>
      <c r="AN68" s="507">
        <f>Port[[#This Row],[EAD (THB)]]*Port[[#This Row],[LGD_avg]]</f>
        <v>2604366.0652320003</v>
      </c>
      <c r="AO68" s="507">
        <f>Port[[#This Row],[EAD_Interest (THB)]]*Port[[#This Row],[LGD_avg]]</f>
        <v>30601.884434400006</v>
      </c>
      <c r="AP68" s="507">
        <f>Port[[#This Row],[EAD_Drawn (THB)]]+Port[[#This Row],[EAD_Interest (THB)]]</f>
        <v>2927742.1662960001</v>
      </c>
      <c r="AQ6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43406.101087199997</v>
      </c>
      <c r="AR68" s="522">
        <f>MAX(Port[[#This Row],[ECL (THB)]]+Port[[#This Row],[ECL_Interest (THB)]], Port[[#This Row],[ECL CBIRC (THB)]])</f>
        <v>126767.64748206436</v>
      </c>
    </row>
    <row r="69" spans="1:44">
      <c r="A69" s="2" t="s">
        <v>890</v>
      </c>
      <c r="B69" s="2" t="s">
        <v>891</v>
      </c>
      <c r="C69" s="2" t="s">
        <v>17</v>
      </c>
      <c r="D69" s="2" t="s">
        <v>25</v>
      </c>
      <c r="E69" s="2" t="s">
        <v>19</v>
      </c>
      <c r="F69" s="2" t="s">
        <v>20</v>
      </c>
      <c r="G69" s="2" t="s">
        <v>21</v>
      </c>
      <c r="H69">
        <v>1</v>
      </c>
      <c r="I69" s="2" t="s">
        <v>526</v>
      </c>
      <c r="J69" s="505">
        <v>3.0745295499522811E-2</v>
      </c>
      <c r="K69" s="505">
        <v>0.72051850216621449</v>
      </c>
      <c r="L69" s="3">
        <v>1</v>
      </c>
      <c r="M69" s="3">
        <v>5.2488000000000001</v>
      </c>
      <c r="N69" s="507">
        <v>13000000</v>
      </c>
      <c r="O69" s="507">
        <v>0</v>
      </c>
      <c r="P69" s="507">
        <v>13000000</v>
      </c>
      <c r="Q69" s="507">
        <v>37555.56</v>
      </c>
      <c r="R69" s="507">
        <v>287983.2054056598</v>
      </c>
      <c r="S69" s="507">
        <v>0</v>
      </c>
      <c r="T69" s="507">
        <v>287983.2054056598</v>
      </c>
      <c r="U69" s="507">
        <v>831.95158073881396</v>
      </c>
      <c r="V69" s="507">
        <f>Port[[#This Row],[EAD_Drawn (CNY)]]*Port[[#This Row],[CNY -&gt; FCY]]</f>
        <v>13000000</v>
      </c>
      <c r="W69" s="507">
        <f>Port[[#This Row],[EAD_Undrawn (CNY)]]*Port[[#This Row],[CNY -&gt; FCY]]</f>
        <v>0</v>
      </c>
      <c r="X69" s="507">
        <f>Port[[#This Row],[EAD (CNY)]]*Port[[#This Row],[CNY -&gt; FCY]]</f>
        <v>13000000</v>
      </c>
      <c r="Y69" s="507">
        <f>Port[[#This Row],[EAD_Interest (CNY)]]*Port[[#This Row],[CNY -&gt; FCY]]</f>
        <v>37555.56</v>
      </c>
      <c r="Z69" s="507">
        <f>Port[[#This Row],[ECL_Drawn (CNY)]]*Port[[#This Row],[CNY -&gt; FCY]]</f>
        <v>287983.2054056598</v>
      </c>
      <c r="AA69" s="507">
        <f>Port[[#This Row],[ECL_Undrawn (CNY)]]*Port[[#This Row],[CNY -&gt; FCY]]</f>
        <v>0</v>
      </c>
      <c r="AB69" s="507">
        <f>Port[[#This Row],[ECL (CNY)]]*Port[[#This Row],[CNY -&gt; FCY]]</f>
        <v>287983.2054056598</v>
      </c>
      <c r="AC69" s="507">
        <f>Port[[#This Row],[ECL_Interest (CNY)]]*Port[[#This Row],[CNY -&gt; FCY]]</f>
        <v>831.95158073881396</v>
      </c>
      <c r="AD69" s="507">
        <f>Port[[#This Row],[EAD_Drawn (CNY)]]*Port[[#This Row],[CNY -&gt; THB]]</f>
        <v>68234400</v>
      </c>
      <c r="AE69" s="507">
        <f>Port[[#This Row],[EAD_Undrawn (CNY)]]*Port[[#This Row],[CNY -&gt; THB]]</f>
        <v>0</v>
      </c>
      <c r="AF69" s="507">
        <f>Port[[#This Row],[EAD (CNY)]]*Port[[#This Row],[CNY -&gt; THB]]</f>
        <v>68234400</v>
      </c>
      <c r="AG69" s="507">
        <f>Port[[#This Row],[EAD_Interest (CNY)]]*Port[[#This Row],[CNY -&gt; THB]]</f>
        <v>197121.62332799999</v>
      </c>
      <c r="AH69" s="507">
        <f>Port[[#This Row],[ECL_Drawn (CNY)]]*Port[[#This Row],[CNY -&gt; THB]]</f>
        <v>1511566.2485332272</v>
      </c>
      <c r="AI69" s="507">
        <f>Port[[#This Row],[ECL_Undrawn (CNY)]]*Port[[#This Row],[CNY -&gt; THB]]</f>
        <v>0</v>
      </c>
      <c r="AJ69" s="507">
        <f>Port[[#This Row],[ECL (CNY)]]*Port[[#This Row],[CNY -&gt; THB]]</f>
        <v>1511566.2485332272</v>
      </c>
      <c r="AK69" s="507">
        <f>Port[[#This Row],[ECL_Interest (CNY)]]*Port[[#This Row],[CNY -&gt; THB]]</f>
        <v>4366.7474569818869</v>
      </c>
      <c r="AL69" s="507">
        <f>Port[[#This Row],[EAD (THB)]]*Port[[#This Row],[PD_avg]]</f>
        <v>2097886.7912326395</v>
      </c>
      <c r="AM69" s="507">
        <f>Port[[#This Row],[EAD_Interest (THB)]]*Port[[#This Row],[PD_avg]]</f>
        <v>6060.5625585649886</v>
      </c>
      <c r="AN69" s="507">
        <f>Port[[#This Row],[EAD (THB)]]*Port[[#This Row],[LGD_avg]]</f>
        <v>49164147.684210345</v>
      </c>
      <c r="AO69" s="507">
        <f>Port[[#This Row],[EAD_Interest (THB)]]*Port[[#This Row],[LGD_avg]]</f>
        <v>142029.77678486326</v>
      </c>
      <c r="AP69" s="507">
        <f>Port[[#This Row],[EAD_Drawn (THB)]]+Port[[#This Row],[EAD_Interest (THB)]]</f>
        <v>68431521.623328</v>
      </c>
      <c r="AQ6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1023516</v>
      </c>
      <c r="AR69" s="522">
        <f>MAX(Port[[#This Row],[ECL (THB)]]+Port[[#This Row],[ECL_Interest (THB)]], Port[[#This Row],[ECL CBIRC (THB)]])</f>
        <v>1515932.995990209</v>
      </c>
    </row>
    <row r="70" spans="1:44">
      <c r="A70" s="2" t="s">
        <v>892</v>
      </c>
      <c r="B70" s="2" t="s">
        <v>51</v>
      </c>
      <c r="C70" s="2" t="s">
        <v>17</v>
      </c>
      <c r="D70" s="2" t="s">
        <v>25</v>
      </c>
      <c r="E70" s="2" t="s">
        <v>19</v>
      </c>
      <c r="F70" s="2" t="s">
        <v>20</v>
      </c>
      <c r="G70" s="2" t="s">
        <v>21</v>
      </c>
      <c r="H70">
        <v>1</v>
      </c>
      <c r="I70" s="2" t="s">
        <v>526</v>
      </c>
      <c r="J70" s="505">
        <v>6.9397112156245985E-2</v>
      </c>
      <c r="K70" s="505">
        <v>0.56667721808954385</v>
      </c>
      <c r="L70" s="3">
        <v>1</v>
      </c>
      <c r="M70" s="3">
        <v>5.2488000000000001</v>
      </c>
      <c r="N70" s="507">
        <v>7000000</v>
      </c>
      <c r="O70" s="507">
        <v>0</v>
      </c>
      <c r="P70" s="507">
        <v>7000000</v>
      </c>
      <c r="Q70" s="507">
        <v>20222.22</v>
      </c>
      <c r="R70" s="507">
        <v>275280.33722104674</v>
      </c>
      <c r="S70" s="507">
        <v>0</v>
      </c>
      <c r="T70" s="507">
        <v>275280.33722104674</v>
      </c>
      <c r="U70" s="507">
        <v>795.25422013688512</v>
      </c>
      <c r="V70" s="507">
        <f>Port[[#This Row],[EAD_Drawn (CNY)]]*Port[[#This Row],[CNY -&gt; FCY]]</f>
        <v>7000000</v>
      </c>
      <c r="W70" s="507">
        <f>Port[[#This Row],[EAD_Undrawn (CNY)]]*Port[[#This Row],[CNY -&gt; FCY]]</f>
        <v>0</v>
      </c>
      <c r="X70" s="507">
        <f>Port[[#This Row],[EAD (CNY)]]*Port[[#This Row],[CNY -&gt; FCY]]</f>
        <v>7000000</v>
      </c>
      <c r="Y70" s="507">
        <f>Port[[#This Row],[EAD_Interest (CNY)]]*Port[[#This Row],[CNY -&gt; FCY]]</f>
        <v>20222.22</v>
      </c>
      <c r="Z70" s="507">
        <f>Port[[#This Row],[ECL_Drawn (CNY)]]*Port[[#This Row],[CNY -&gt; FCY]]</f>
        <v>275280.33722104674</v>
      </c>
      <c r="AA70" s="507">
        <f>Port[[#This Row],[ECL_Undrawn (CNY)]]*Port[[#This Row],[CNY -&gt; FCY]]</f>
        <v>0</v>
      </c>
      <c r="AB70" s="507">
        <f>Port[[#This Row],[ECL (CNY)]]*Port[[#This Row],[CNY -&gt; FCY]]</f>
        <v>275280.33722104674</v>
      </c>
      <c r="AC70" s="507">
        <f>Port[[#This Row],[ECL_Interest (CNY)]]*Port[[#This Row],[CNY -&gt; FCY]]</f>
        <v>795.25422013688512</v>
      </c>
      <c r="AD70" s="507">
        <f>Port[[#This Row],[EAD_Drawn (CNY)]]*Port[[#This Row],[CNY -&gt; THB]]</f>
        <v>36741600</v>
      </c>
      <c r="AE70" s="507">
        <f>Port[[#This Row],[EAD_Undrawn (CNY)]]*Port[[#This Row],[CNY -&gt; THB]]</f>
        <v>0</v>
      </c>
      <c r="AF70" s="507">
        <f>Port[[#This Row],[EAD (CNY)]]*Port[[#This Row],[CNY -&gt; THB]]</f>
        <v>36741600</v>
      </c>
      <c r="AG70" s="507">
        <f>Port[[#This Row],[EAD_Interest (CNY)]]*Port[[#This Row],[CNY -&gt; THB]]</f>
        <v>106142.388336</v>
      </c>
      <c r="AH70" s="507">
        <f>Port[[#This Row],[ECL_Drawn (CNY)]]*Port[[#This Row],[CNY -&gt; THB]]</f>
        <v>1444891.4340058302</v>
      </c>
      <c r="AI70" s="507">
        <f>Port[[#This Row],[ECL_Undrawn (CNY)]]*Port[[#This Row],[CNY -&gt; THB]]</f>
        <v>0</v>
      </c>
      <c r="AJ70" s="507">
        <f>Port[[#This Row],[ECL (CNY)]]*Port[[#This Row],[CNY -&gt; THB]]</f>
        <v>1444891.4340058302</v>
      </c>
      <c r="AK70" s="507">
        <f>Port[[#This Row],[ECL_Interest (CNY)]]*Port[[#This Row],[CNY -&gt; THB]]</f>
        <v>4174.1303506544828</v>
      </c>
      <c r="AL70" s="507">
        <f>Port[[#This Row],[EAD (THB)]]*Port[[#This Row],[PD_avg]]</f>
        <v>2549760.9359999276</v>
      </c>
      <c r="AM70" s="507">
        <f>Port[[#This Row],[EAD_Interest (THB)]]*Port[[#This Row],[PD_avg]]</f>
        <v>7365.9752278852084</v>
      </c>
      <c r="AN70" s="507">
        <f>Port[[#This Row],[EAD (THB)]]*Port[[#This Row],[LGD_avg]]</f>
        <v>20820627.676158786</v>
      </c>
      <c r="AO70" s="507">
        <f>Port[[#This Row],[EAD_Interest (THB)]]*Port[[#This Row],[LGD_avg]]</f>
        <v>60148.47334362453</v>
      </c>
      <c r="AP70" s="507">
        <f>Port[[#This Row],[EAD_Drawn (THB)]]+Port[[#This Row],[EAD_Interest (THB)]]</f>
        <v>36847742.388336003</v>
      </c>
      <c r="AQ7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551124</v>
      </c>
      <c r="AR70" s="522">
        <f>MAX(Port[[#This Row],[ECL (THB)]]+Port[[#This Row],[ECL_Interest (THB)]], Port[[#This Row],[ECL CBIRC (THB)]])</f>
        <v>1449065.5643564847</v>
      </c>
    </row>
    <row r="71" spans="1:44">
      <c r="A71" s="2" t="s">
        <v>893</v>
      </c>
      <c r="B71" s="2" t="s">
        <v>53</v>
      </c>
      <c r="C71" s="2" t="s">
        <v>17</v>
      </c>
      <c r="D71" s="2" t="s">
        <v>25</v>
      </c>
      <c r="E71" s="2" t="s">
        <v>19</v>
      </c>
      <c r="F71" s="2" t="s">
        <v>20</v>
      </c>
      <c r="G71" s="2" t="s">
        <v>21</v>
      </c>
      <c r="H71">
        <v>1</v>
      </c>
      <c r="I71" s="2" t="s">
        <v>526</v>
      </c>
      <c r="J71" s="505">
        <v>4.8109749303825028E-2</v>
      </c>
      <c r="K71" s="505">
        <v>0.53313530342831894</v>
      </c>
      <c r="L71" s="3">
        <v>1</v>
      </c>
      <c r="M71" s="3">
        <v>5.2488000000000001</v>
      </c>
      <c r="N71" s="507">
        <v>3180000</v>
      </c>
      <c r="O71" s="507">
        <v>0</v>
      </c>
      <c r="P71" s="507">
        <v>3180000</v>
      </c>
      <c r="Q71" s="507">
        <v>9186.67</v>
      </c>
      <c r="R71" s="507">
        <v>81563.838421597262</v>
      </c>
      <c r="S71" s="507">
        <v>0</v>
      </c>
      <c r="T71" s="507">
        <v>81563.838421597262</v>
      </c>
      <c r="U71" s="507">
        <v>235.62895204796698</v>
      </c>
      <c r="V71" s="507">
        <f>Port[[#This Row],[EAD_Drawn (CNY)]]*Port[[#This Row],[CNY -&gt; FCY]]</f>
        <v>3180000</v>
      </c>
      <c r="W71" s="507">
        <f>Port[[#This Row],[EAD_Undrawn (CNY)]]*Port[[#This Row],[CNY -&gt; FCY]]</f>
        <v>0</v>
      </c>
      <c r="X71" s="507">
        <f>Port[[#This Row],[EAD (CNY)]]*Port[[#This Row],[CNY -&gt; FCY]]</f>
        <v>3180000</v>
      </c>
      <c r="Y71" s="507">
        <f>Port[[#This Row],[EAD_Interest (CNY)]]*Port[[#This Row],[CNY -&gt; FCY]]</f>
        <v>9186.67</v>
      </c>
      <c r="Z71" s="507">
        <f>Port[[#This Row],[ECL_Drawn (CNY)]]*Port[[#This Row],[CNY -&gt; FCY]]</f>
        <v>81563.838421597262</v>
      </c>
      <c r="AA71" s="507">
        <f>Port[[#This Row],[ECL_Undrawn (CNY)]]*Port[[#This Row],[CNY -&gt; FCY]]</f>
        <v>0</v>
      </c>
      <c r="AB71" s="507">
        <f>Port[[#This Row],[ECL (CNY)]]*Port[[#This Row],[CNY -&gt; FCY]]</f>
        <v>81563.838421597262</v>
      </c>
      <c r="AC71" s="507">
        <f>Port[[#This Row],[ECL_Interest (CNY)]]*Port[[#This Row],[CNY -&gt; FCY]]</f>
        <v>235.62895204796698</v>
      </c>
      <c r="AD71" s="507">
        <f>Port[[#This Row],[EAD_Drawn (CNY)]]*Port[[#This Row],[CNY -&gt; THB]]</f>
        <v>16691184</v>
      </c>
      <c r="AE71" s="507">
        <f>Port[[#This Row],[EAD_Undrawn (CNY)]]*Port[[#This Row],[CNY -&gt; THB]]</f>
        <v>0</v>
      </c>
      <c r="AF71" s="507">
        <f>Port[[#This Row],[EAD (CNY)]]*Port[[#This Row],[CNY -&gt; THB]]</f>
        <v>16691184</v>
      </c>
      <c r="AG71" s="507">
        <f>Port[[#This Row],[EAD_Interest (CNY)]]*Port[[#This Row],[CNY -&gt; THB]]</f>
        <v>48218.993496000003</v>
      </c>
      <c r="AH71" s="507">
        <f>Port[[#This Row],[ECL_Drawn (CNY)]]*Port[[#This Row],[CNY -&gt; THB]]</f>
        <v>428112.27510727971</v>
      </c>
      <c r="AI71" s="507">
        <f>Port[[#This Row],[ECL_Undrawn (CNY)]]*Port[[#This Row],[CNY -&gt; THB]]</f>
        <v>0</v>
      </c>
      <c r="AJ71" s="507">
        <f>Port[[#This Row],[ECL (CNY)]]*Port[[#This Row],[CNY -&gt; THB]]</f>
        <v>428112.27510727971</v>
      </c>
      <c r="AK71" s="507">
        <f>Port[[#This Row],[ECL_Interest (CNY)]]*Port[[#This Row],[CNY -&gt; THB]]</f>
        <v>1236.7692435093691</v>
      </c>
      <c r="AL71" s="507">
        <f>Port[[#This Row],[EAD (THB)]]*Port[[#This Row],[PD_avg]]</f>
        <v>803008.6778240155</v>
      </c>
      <c r="AM71" s="507">
        <f>Port[[#This Row],[EAD_Interest (THB)]]*Port[[#This Row],[PD_avg]]</f>
        <v>2319.8036887753296</v>
      </c>
      <c r="AN71" s="507">
        <f>Port[[#This Row],[EAD (THB)]]*Port[[#This Row],[LGD_avg]]</f>
        <v>8898659.4464179017</v>
      </c>
      <c r="AO71" s="507">
        <f>Port[[#This Row],[EAD_Interest (THB)]]*Port[[#This Row],[LGD_avg]]</f>
        <v>25707.2477284981</v>
      </c>
      <c r="AP71" s="507">
        <f>Port[[#This Row],[EAD_Drawn (THB)]]+Port[[#This Row],[EAD_Interest (THB)]]</f>
        <v>16739402.993496001</v>
      </c>
      <c r="AQ7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250367.75999999998</v>
      </c>
      <c r="AR71" s="522">
        <f>MAX(Port[[#This Row],[ECL (THB)]]+Port[[#This Row],[ECL_Interest (THB)]], Port[[#This Row],[ECL CBIRC (THB)]])</f>
        <v>429349.0443507891</v>
      </c>
    </row>
    <row r="72" spans="1:44">
      <c r="A72" s="2" t="s">
        <v>894</v>
      </c>
      <c r="B72" s="2" t="s">
        <v>52</v>
      </c>
      <c r="C72" s="2" t="s">
        <v>17</v>
      </c>
      <c r="D72" s="2" t="s">
        <v>25</v>
      </c>
      <c r="E72" s="2" t="s">
        <v>19</v>
      </c>
      <c r="F72" s="2" t="s">
        <v>20</v>
      </c>
      <c r="G72" s="2" t="s">
        <v>21</v>
      </c>
      <c r="H72">
        <v>1</v>
      </c>
      <c r="I72" s="2" t="s">
        <v>526</v>
      </c>
      <c r="J72" s="505">
        <v>6.9397112156245985E-2</v>
      </c>
      <c r="K72" s="505">
        <v>0.58750989329433267</v>
      </c>
      <c r="L72" s="3">
        <v>1</v>
      </c>
      <c r="M72" s="3">
        <v>5.2488000000000001</v>
      </c>
      <c r="N72" s="507">
        <v>1120000</v>
      </c>
      <c r="O72" s="507">
        <v>0</v>
      </c>
      <c r="P72" s="507">
        <v>1120000</v>
      </c>
      <c r="Q72" s="507">
        <v>3235.56</v>
      </c>
      <c r="R72" s="507">
        <v>45664.068752793028</v>
      </c>
      <c r="S72" s="507">
        <v>0</v>
      </c>
      <c r="T72" s="507">
        <v>45664.068752793028</v>
      </c>
      <c r="U72" s="507">
        <v>131.91860204802413</v>
      </c>
      <c r="V72" s="507">
        <f>Port[[#This Row],[EAD_Drawn (CNY)]]*Port[[#This Row],[CNY -&gt; FCY]]</f>
        <v>1120000</v>
      </c>
      <c r="W72" s="507">
        <f>Port[[#This Row],[EAD_Undrawn (CNY)]]*Port[[#This Row],[CNY -&gt; FCY]]</f>
        <v>0</v>
      </c>
      <c r="X72" s="507">
        <f>Port[[#This Row],[EAD (CNY)]]*Port[[#This Row],[CNY -&gt; FCY]]</f>
        <v>1120000</v>
      </c>
      <c r="Y72" s="507">
        <f>Port[[#This Row],[EAD_Interest (CNY)]]*Port[[#This Row],[CNY -&gt; FCY]]</f>
        <v>3235.56</v>
      </c>
      <c r="Z72" s="507">
        <f>Port[[#This Row],[ECL_Drawn (CNY)]]*Port[[#This Row],[CNY -&gt; FCY]]</f>
        <v>45664.068752793028</v>
      </c>
      <c r="AA72" s="507">
        <f>Port[[#This Row],[ECL_Undrawn (CNY)]]*Port[[#This Row],[CNY -&gt; FCY]]</f>
        <v>0</v>
      </c>
      <c r="AB72" s="507">
        <f>Port[[#This Row],[ECL (CNY)]]*Port[[#This Row],[CNY -&gt; FCY]]</f>
        <v>45664.068752793028</v>
      </c>
      <c r="AC72" s="507">
        <f>Port[[#This Row],[ECL_Interest (CNY)]]*Port[[#This Row],[CNY -&gt; FCY]]</f>
        <v>131.91860204802413</v>
      </c>
      <c r="AD72" s="507">
        <f>Port[[#This Row],[EAD_Drawn (CNY)]]*Port[[#This Row],[CNY -&gt; THB]]</f>
        <v>5878656</v>
      </c>
      <c r="AE72" s="507">
        <f>Port[[#This Row],[EAD_Undrawn (CNY)]]*Port[[#This Row],[CNY -&gt; THB]]</f>
        <v>0</v>
      </c>
      <c r="AF72" s="507">
        <f>Port[[#This Row],[EAD (CNY)]]*Port[[#This Row],[CNY -&gt; THB]]</f>
        <v>5878656</v>
      </c>
      <c r="AG72" s="507">
        <f>Port[[#This Row],[EAD_Interest (CNY)]]*Port[[#This Row],[CNY -&gt; THB]]</f>
        <v>16982.807327999999</v>
      </c>
      <c r="AH72" s="507">
        <f>Port[[#This Row],[ECL_Drawn (CNY)]]*Port[[#This Row],[CNY -&gt; THB]]</f>
        <v>239681.56406966006</v>
      </c>
      <c r="AI72" s="507">
        <f>Port[[#This Row],[ECL_Undrawn (CNY)]]*Port[[#This Row],[CNY -&gt; THB]]</f>
        <v>0</v>
      </c>
      <c r="AJ72" s="507">
        <f>Port[[#This Row],[ECL (CNY)]]*Port[[#This Row],[CNY -&gt; THB]]</f>
        <v>239681.56406966006</v>
      </c>
      <c r="AK72" s="507">
        <f>Port[[#This Row],[ECL_Interest (CNY)]]*Port[[#This Row],[CNY -&gt; THB]]</f>
        <v>692.41435842966905</v>
      </c>
      <c r="AL72" s="507">
        <f>Port[[#This Row],[EAD (THB)]]*Port[[#This Row],[PD_avg]]</f>
        <v>407961.74975998839</v>
      </c>
      <c r="AM72" s="507">
        <f>Port[[#This Row],[EAD_Interest (THB)]]*Port[[#This Row],[PD_avg]]</f>
        <v>1178.5577848691321</v>
      </c>
      <c r="AN72" s="507">
        <f>Port[[#This Row],[EAD (THB)]]*Port[[#This Row],[LGD_avg]]</f>
        <v>3453768.5592740886</v>
      </c>
      <c r="AO72" s="507">
        <f>Port[[#This Row],[EAD_Interest (THB)]]*Port[[#This Row],[LGD_avg]]</f>
        <v>9977.5673211114899</v>
      </c>
      <c r="AP72" s="507">
        <f>Port[[#This Row],[EAD_Drawn (THB)]]+Port[[#This Row],[EAD_Interest (THB)]]</f>
        <v>5895638.8073279997</v>
      </c>
      <c r="AQ7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88179.839999999997</v>
      </c>
      <c r="AR72" s="522">
        <f>MAX(Port[[#This Row],[ECL (THB)]]+Port[[#This Row],[ECL_Interest (THB)]], Port[[#This Row],[ECL CBIRC (THB)]])</f>
        <v>240373.97842808973</v>
      </c>
    </row>
    <row r="73" spans="1:44">
      <c r="A73" s="2" t="s">
        <v>895</v>
      </c>
      <c r="B73" s="2" t="s">
        <v>44</v>
      </c>
      <c r="C73" s="2" t="s">
        <v>17</v>
      </c>
      <c r="D73" s="2" t="s">
        <v>30</v>
      </c>
      <c r="E73" s="2" t="s">
        <v>19</v>
      </c>
      <c r="F73" s="2" t="s">
        <v>20</v>
      </c>
      <c r="G73" s="2" t="s">
        <v>21</v>
      </c>
      <c r="H73">
        <v>1</v>
      </c>
      <c r="I73" s="2" t="s">
        <v>526</v>
      </c>
      <c r="J73" s="505">
        <v>2.0514833509807026E-2</v>
      </c>
      <c r="K73" s="505">
        <v>0.8999999999999998</v>
      </c>
      <c r="L73" s="3">
        <v>1</v>
      </c>
      <c r="M73" s="3">
        <v>5.2488000000000001</v>
      </c>
      <c r="N73" s="507">
        <v>7506143.3499999996</v>
      </c>
      <c r="O73" s="507">
        <v>0</v>
      </c>
      <c r="P73" s="507">
        <v>7506143.3499999996</v>
      </c>
      <c r="Q73" s="507">
        <v>12270.46</v>
      </c>
      <c r="R73" s="507">
        <v>138588.55301339563</v>
      </c>
      <c r="S73" s="507">
        <v>0</v>
      </c>
      <c r="T73" s="507">
        <v>138588.55301339563</v>
      </c>
      <c r="U73" s="507">
        <v>226.55379958987203</v>
      </c>
      <c r="V73" s="507">
        <f>Port[[#This Row],[EAD_Drawn (CNY)]]*Port[[#This Row],[CNY -&gt; FCY]]</f>
        <v>7506143.3499999996</v>
      </c>
      <c r="W73" s="507">
        <f>Port[[#This Row],[EAD_Undrawn (CNY)]]*Port[[#This Row],[CNY -&gt; FCY]]</f>
        <v>0</v>
      </c>
      <c r="X73" s="507">
        <f>Port[[#This Row],[EAD (CNY)]]*Port[[#This Row],[CNY -&gt; FCY]]</f>
        <v>7506143.3499999996</v>
      </c>
      <c r="Y73" s="507">
        <f>Port[[#This Row],[EAD_Interest (CNY)]]*Port[[#This Row],[CNY -&gt; FCY]]</f>
        <v>12270.46</v>
      </c>
      <c r="Z73" s="507">
        <f>Port[[#This Row],[ECL_Drawn (CNY)]]*Port[[#This Row],[CNY -&gt; FCY]]</f>
        <v>138588.55301339563</v>
      </c>
      <c r="AA73" s="507">
        <f>Port[[#This Row],[ECL_Undrawn (CNY)]]*Port[[#This Row],[CNY -&gt; FCY]]</f>
        <v>0</v>
      </c>
      <c r="AB73" s="507">
        <f>Port[[#This Row],[ECL (CNY)]]*Port[[#This Row],[CNY -&gt; FCY]]</f>
        <v>138588.55301339563</v>
      </c>
      <c r="AC73" s="507">
        <f>Port[[#This Row],[ECL_Interest (CNY)]]*Port[[#This Row],[CNY -&gt; FCY]]</f>
        <v>226.55379958987203</v>
      </c>
      <c r="AD73" s="507">
        <f>Port[[#This Row],[EAD_Drawn (CNY)]]*Port[[#This Row],[CNY -&gt; THB]]</f>
        <v>39398245.21548</v>
      </c>
      <c r="AE73" s="507">
        <f>Port[[#This Row],[EAD_Undrawn (CNY)]]*Port[[#This Row],[CNY -&gt; THB]]</f>
        <v>0</v>
      </c>
      <c r="AF73" s="507">
        <f>Port[[#This Row],[EAD (CNY)]]*Port[[#This Row],[CNY -&gt; THB]]</f>
        <v>39398245.21548</v>
      </c>
      <c r="AG73" s="507">
        <f>Port[[#This Row],[EAD_Interest (CNY)]]*Port[[#This Row],[CNY -&gt; THB]]</f>
        <v>64405.190447999994</v>
      </c>
      <c r="AH73" s="507">
        <f>Port[[#This Row],[ECL_Drawn (CNY)]]*Port[[#This Row],[CNY -&gt; THB]]</f>
        <v>727423.59705671098</v>
      </c>
      <c r="AI73" s="507">
        <f>Port[[#This Row],[ECL_Undrawn (CNY)]]*Port[[#This Row],[CNY -&gt; THB]]</f>
        <v>0</v>
      </c>
      <c r="AJ73" s="507">
        <f>Port[[#This Row],[ECL (CNY)]]*Port[[#This Row],[CNY -&gt; THB]]</f>
        <v>727423.59705671098</v>
      </c>
      <c r="AK73" s="507">
        <f>Port[[#This Row],[ECL_Interest (CNY)]]*Port[[#This Row],[CNY -&gt; THB]]</f>
        <v>1189.1355832873203</v>
      </c>
      <c r="AL73" s="507">
        <f>Port[[#This Row],[EAD (THB)]]*Port[[#This Row],[PD_avg]]</f>
        <v>808248.44117412344</v>
      </c>
      <c r="AM73" s="507">
        <f>Port[[#This Row],[EAD_Interest (THB)]]*Port[[#This Row],[PD_avg]]</f>
        <v>1321.2617592081338</v>
      </c>
      <c r="AN73" s="507">
        <f>Port[[#This Row],[EAD (THB)]]*Port[[#This Row],[LGD_avg]]</f>
        <v>35458420.693931989</v>
      </c>
      <c r="AO73" s="507">
        <f>Port[[#This Row],[EAD_Interest (THB)]]*Port[[#This Row],[LGD_avg]]</f>
        <v>57964.67140319998</v>
      </c>
      <c r="AP73" s="507">
        <f>Port[[#This Row],[EAD_Drawn (THB)]]+Port[[#This Row],[EAD_Interest (THB)]]</f>
        <v>39462650.405928001</v>
      </c>
      <c r="AQ7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590973.67823219998</v>
      </c>
      <c r="AR73" s="522">
        <f>MAX(Port[[#This Row],[ECL (THB)]]+Port[[#This Row],[ECL_Interest (THB)]], Port[[#This Row],[ECL CBIRC (THB)]])</f>
        <v>728612.73263999831</v>
      </c>
    </row>
    <row r="74" spans="1:44">
      <c r="A74" s="2" t="s">
        <v>896</v>
      </c>
      <c r="B74" s="2" t="s">
        <v>54</v>
      </c>
      <c r="C74" s="2" t="s">
        <v>17</v>
      </c>
      <c r="D74" s="2" t="s">
        <v>25</v>
      </c>
      <c r="E74" s="2" t="s">
        <v>19</v>
      </c>
      <c r="F74" s="2" t="s">
        <v>20</v>
      </c>
      <c r="G74" s="2" t="s">
        <v>21</v>
      </c>
      <c r="H74">
        <v>1</v>
      </c>
      <c r="I74" s="2" t="s">
        <v>526</v>
      </c>
      <c r="J74" s="505">
        <v>4.8109749303825028E-2</v>
      </c>
      <c r="K74" s="505">
        <v>0.90000000000000013</v>
      </c>
      <c r="L74" s="3">
        <v>1</v>
      </c>
      <c r="M74" s="3">
        <v>5.2488000000000001</v>
      </c>
      <c r="N74" s="507">
        <v>3610000</v>
      </c>
      <c r="O74" s="507">
        <v>0</v>
      </c>
      <c r="P74" s="507">
        <v>3610000</v>
      </c>
      <c r="Q74" s="507">
        <v>6417.78</v>
      </c>
      <c r="R74" s="507">
        <v>156308.57548812754</v>
      </c>
      <c r="S74" s="507">
        <v>0</v>
      </c>
      <c r="T74" s="507">
        <v>156308.57548812754</v>
      </c>
      <c r="U74" s="507">
        <v>277.88200819839199</v>
      </c>
      <c r="V74" s="507">
        <f>Port[[#This Row],[EAD_Drawn (CNY)]]*Port[[#This Row],[CNY -&gt; FCY]]</f>
        <v>3610000</v>
      </c>
      <c r="W74" s="507">
        <f>Port[[#This Row],[EAD_Undrawn (CNY)]]*Port[[#This Row],[CNY -&gt; FCY]]</f>
        <v>0</v>
      </c>
      <c r="X74" s="507">
        <f>Port[[#This Row],[EAD (CNY)]]*Port[[#This Row],[CNY -&gt; FCY]]</f>
        <v>3610000</v>
      </c>
      <c r="Y74" s="507">
        <f>Port[[#This Row],[EAD_Interest (CNY)]]*Port[[#This Row],[CNY -&gt; FCY]]</f>
        <v>6417.78</v>
      </c>
      <c r="Z74" s="507">
        <f>Port[[#This Row],[ECL_Drawn (CNY)]]*Port[[#This Row],[CNY -&gt; FCY]]</f>
        <v>156308.57548812754</v>
      </c>
      <c r="AA74" s="507">
        <f>Port[[#This Row],[ECL_Undrawn (CNY)]]*Port[[#This Row],[CNY -&gt; FCY]]</f>
        <v>0</v>
      </c>
      <c r="AB74" s="507">
        <f>Port[[#This Row],[ECL (CNY)]]*Port[[#This Row],[CNY -&gt; FCY]]</f>
        <v>156308.57548812754</v>
      </c>
      <c r="AC74" s="507">
        <f>Port[[#This Row],[ECL_Interest (CNY)]]*Port[[#This Row],[CNY -&gt; FCY]]</f>
        <v>277.88200819839199</v>
      </c>
      <c r="AD74" s="507">
        <f>Port[[#This Row],[EAD_Drawn (CNY)]]*Port[[#This Row],[CNY -&gt; THB]]</f>
        <v>18948168</v>
      </c>
      <c r="AE74" s="507">
        <f>Port[[#This Row],[EAD_Undrawn (CNY)]]*Port[[#This Row],[CNY -&gt; THB]]</f>
        <v>0</v>
      </c>
      <c r="AF74" s="507">
        <f>Port[[#This Row],[EAD (CNY)]]*Port[[#This Row],[CNY -&gt; THB]]</f>
        <v>18948168</v>
      </c>
      <c r="AG74" s="507">
        <f>Port[[#This Row],[EAD_Interest (CNY)]]*Port[[#This Row],[CNY -&gt; THB]]</f>
        <v>33685.643664000003</v>
      </c>
      <c r="AH74" s="507">
        <f>Port[[#This Row],[ECL_Drawn (CNY)]]*Port[[#This Row],[CNY -&gt; THB]]</f>
        <v>820432.45102208387</v>
      </c>
      <c r="AI74" s="507">
        <f>Port[[#This Row],[ECL_Undrawn (CNY)]]*Port[[#This Row],[CNY -&gt; THB]]</f>
        <v>0</v>
      </c>
      <c r="AJ74" s="507">
        <f>Port[[#This Row],[ECL (CNY)]]*Port[[#This Row],[CNY -&gt; THB]]</f>
        <v>820432.45102208387</v>
      </c>
      <c r="AK74" s="507">
        <f>Port[[#This Row],[ECL_Interest (CNY)]]*Port[[#This Row],[CNY -&gt; THB]]</f>
        <v>1458.5470846317198</v>
      </c>
      <c r="AL74" s="507">
        <f>Port[[#This Row],[EAD (THB)]]*Port[[#This Row],[PD_avg]]</f>
        <v>911591.6122467597</v>
      </c>
      <c r="AM74" s="507">
        <f>Port[[#This Row],[EAD_Interest (THB)]]*Port[[#This Row],[PD_avg]]</f>
        <v>1620.607871813022</v>
      </c>
      <c r="AN74" s="507">
        <f>Port[[#This Row],[EAD (THB)]]*Port[[#This Row],[LGD_avg]]</f>
        <v>17053351.200000003</v>
      </c>
      <c r="AO74" s="507">
        <f>Port[[#This Row],[EAD_Interest (THB)]]*Port[[#This Row],[LGD_avg]]</f>
        <v>30317.079297600008</v>
      </c>
      <c r="AP74" s="507">
        <f>Port[[#This Row],[EAD_Drawn (THB)]]+Port[[#This Row],[EAD_Interest (THB)]]</f>
        <v>18981853.643663999</v>
      </c>
      <c r="AQ7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284222.51999999996</v>
      </c>
      <c r="AR74" s="522">
        <f>MAX(Port[[#This Row],[ECL (THB)]]+Port[[#This Row],[ECL_Interest (THB)]], Port[[#This Row],[ECL CBIRC (THB)]])</f>
        <v>821890.99810671562</v>
      </c>
    </row>
    <row r="75" spans="1:44">
      <c r="A75" s="2" t="s">
        <v>897</v>
      </c>
      <c r="B75" s="2" t="s">
        <v>898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21</v>
      </c>
      <c r="H75">
        <v>1</v>
      </c>
      <c r="I75" s="2" t="s">
        <v>526</v>
      </c>
      <c r="J75" s="505">
        <v>4.8109749303825028E-2</v>
      </c>
      <c r="K75" s="505">
        <v>0.90000000000000013</v>
      </c>
      <c r="L75" s="3">
        <v>1</v>
      </c>
      <c r="M75" s="3">
        <v>5.2488000000000001</v>
      </c>
      <c r="N75" s="507">
        <v>1000000</v>
      </c>
      <c r="O75" s="507">
        <v>0</v>
      </c>
      <c r="P75" s="507">
        <v>1000000</v>
      </c>
      <c r="Q75" s="507">
        <v>1777.78</v>
      </c>
      <c r="R75" s="507">
        <v>43298.774373442531</v>
      </c>
      <c r="S75" s="507">
        <v>0</v>
      </c>
      <c r="T75" s="507">
        <v>43298.774373442531</v>
      </c>
      <c r="U75" s="507">
        <v>76.975695105618655</v>
      </c>
      <c r="V75" s="507">
        <f>Port[[#This Row],[EAD_Drawn (CNY)]]*Port[[#This Row],[CNY -&gt; FCY]]</f>
        <v>1000000</v>
      </c>
      <c r="W75" s="507">
        <f>Port[[#This Row],[EAD_Undrawn (CNY)]]*Port[[#This Row],[CNY -&gt; FCY]]</f>
        <v>0</v>
      </c>
      <c r="X75" s="507">
        <f>Port[[#This Row],[EAD (CNY)]]*Port[[#This Row],[CNY -&gt; FCY]]</f>
        <v>1000000</v>
      </c>
      <c r="Y75" s="507">
        <f>Port[[#This Row],[EAD_Interest (CNY)]]*Port[[#This Row],[CNY -&gt; FCY]]</f>
        <v>1777.78</v>
      </c>
      <c r="Z75" s="507">
        <f>Port[[#This Row],[ECL_Drawn (CNY)]]*Port[[#This Row],[CNY -&gt; FCY]]</f>
        <v>43298.774373442531</v>
      </c>
      <c r="AA75" s="507">
        <f>Port[[#This Row],[ECL_Undrawn (CNY)]]*Port[[#This Row],[CNY -&gt; FCY]]</f>
        <v>0</v>
      </c>
      <c r="AB75" s="507">
        <f>Port[[#This Row],[ECL (CNY)]]*Port[[#This Row],[CNY -&gt; FCY]]</f>
        <v>43298.774373442531</v>
      </c>
      <c r="AC75" s="507">
        <f>Port[[#This Row],[ECL_Interest (CNY)]]*Port[[#This Row],[CNY -&gt; FCY]]</f>
        <v>76.975695105618655</v>
      </c>
      <c r="AD75" s="507">
        <f>Port[[#This Row],[EAD_Drawn (CNY)]]*Port[[#This Row],[CNY -&gt; THB]]</f>
        <v>5248800</v>
      </c>
      <c r="AE75" s="507">
        <f>Port[[#This Row],[EAD_Undrawn (CNY)]]*Port[[#This Row],[CNY -&gt; THB]]</f>
        <v>0</v>
      </c>
      <c r="AF75" s="507">
        <f>Port[[#This Row],[EAD (CNY)]]*Port[[#This Row],[CNY -&gt; THB]]</f>
        <v>5248800</v>
      </c>
      <c r="AG75" s="507">
        <f>Port[[#This Row],[EAD_Interest (CNY)]]*Port[[#This Row],[CNY -&gt; THB]]</f>
        <v>9331.2116640000004</v>
      </c>
      <c r="AH75" s="507">
        <f>Port[[#This Row],[ECL_Drawn (CNY)]]*Port[[#This Row],[CNY -&gt; THB]]</f>
        <v>227266.60693132516</v>
      </c>
      <c r="AI75" s="507">
        <f>Port[[#This Row],[ECL_Undrawn (CNY)]]*Port[[#This Row],[CNY -&gt; THB]]</f>
        <v>0</v>
      </c>
      <c r="AJ75" s="507">
        <f>Port[[#This Row],[ECL (CNY)]]*Port[[#This Row],[CNY -&gt; THB]]</f>
        <v>227266.60693132516</v>
      </c>
      <c r="AK75" s="507">
        <f>Port[[#This Row],[ECL_Interest (CNY)]]*Port[[#This Row],[CNY -&gt; THB]]</f>
        <v>404.03002847037124</v>
      </c>
      <c r="AL75" s="507">
        <f>Port[[#This Row],[EAD (THB)]]*Port[[#This Row],[PD_avg]]</f>
        <v>252518.45214591682</v>
      </c>
      <c r="AM75" s="507">
        <f>Port[[#This Row],[EAD_Interest (THB)]]*Port[[#This Row],[PD_avg]]</f>
        <v>448.92225385596799</v>
      </c>
      <c r="AN75" s="507">
        <f>Port[[#This Row],[EAD (THB)]]*Port[[#This Row],[LGD_avg]]</f>
        <v>4723920.0000000009</v>
      </c>
      <c r="AO75" s="507">
        <f>Port[[#This Row],[EAD_Interest (THB)]]*Port[[#This Row],[LGD_avg]]</f>
        <v>8398.090497600002</v>
      </c>
      <c r="AP75" s="507">
        <f>Port[[#This Row],[EAD_Drawn (THB)]]+Port[[#This Row],[EAD_Interest (THB)]]</f>
        <v>5258131.2116639996</v>
      </c>
      <c r="AQ7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</v>
      </c>
      <c r="AR75" s="522">
        <f>MAX(Port[[#This Row],[ECL (THB)]]+Port[[#This Row],[ECL_Interest (THB)]], Port[[#This Row],[ECL CBIRC (THB)]])</f>
        <v>227670.63695979555</v>
      </c>
    </row>
    <row r="76" spans="1:44">
      <c r="A76" s="2" t="s">
        <v>899</v>
      </c>
      <c r="B76" s="2" t="s">
        <v>55</v>
      </c>
      <c r="C76" s="2" t="s">
        <v>17</v>
      </c>
      <c r="D76" s="2" t="s">
        <v>25</v>
      </c>
      <c r="E76" s="2" t="s">
        <v>19</v>
      </c>
      <c r="F76" s="2" t="s">
        <v>20</v>
      </c>
      <c r="G76" s="2" t="s">
        <v>21</v>
      </c>
      <c r="H76">
        <v>1</v>
      </c>
      <c r="I76" s="2" t="s">
        <v>526</v>
      </c>
      <c r="J76" s="505">
        <v>4.8109749303825028E-2</v>
      </c>
      <c r="K76" s="505">
        <v>0.90000000000000013</v>
      </c>
      <c r="L76" s="3">
        <v>1</v>
      </c>
      <c r="M76" s="3">
        <v>5.2488000000000001</v>
      </c>
      <c r="N76" s="507">
        <v>8260000</v>
      </c>
      <c r="O76" s="507">
        <v>0</v>
      </c>
      <c r="P76" s="507">
        <v>8260000</v>
      </c>
      <c r="Q76" s="507">
        <v>12848.89</v>
      </c>
      <c r="R76" s="507">
        <v>357647.87632463529</v>
      </c>
      <c r="S76" s="507">
        <v>0</v>
      </c>
      <c r="T76" s="507">
        <v>357647.87632463529</v>
      </c>
      <c r="U76" s="507">
        <v>556.34118905918194</v>
      </c>
      <c r="V76" s="507">
        <f>Port[[#This Row],[EAD_Drawn (CNY)]]*Port[[#This Row],[CNY -&gt; FCY]]</f>
        <v>8260000</v>
      </c>
      <c r="W76" s="507">
        <f>Port[[#This Row],[EAD_Undrawn (CNY)]]*Port[[#This Row],[CNY -&gt; FCY]]</f>
        <v>0</v>
      </c>
      <c r="X76" s="507">
        <f>Port[[#This Row],[EAD (CNY)]]*Port[[#This Row],[CNY -&gt; FCY]]</f>
        <v>8260000</v>
      </c>
      <c r="Y76" s="507">
        <f>Port[[#This Row],[EAD_Interest (CNY)]]*Port[[#This Row],[CNY -&gt; FCY]]</f>
        <v>12848.89</v>
      </c>
      <c r="Z76" s="507">
        <f>Port[[#This Row],[ECL_Drawn (CNY)]]*Port[[#This Row],[CNY -&gt; FCY]]</f>
        <v>357647.87632463529</v>
      </c>
      <c r="AA76" s="507">
        <f>Port[[#This Row],[ECL_Undrawn (CNY)]]*Port[[#This Row],[CNY -&gt; FCY]]</f>
        <v>0</v>
      </c>
      <c r="AB76" s="507">
        <f>Port[[#This Row],[ECL (CNY)]]*Port[[#This Row],[CNY -&gt; FCY]]</f>
        <v>357647.87632463529</v>
      </c>
      <c r="AC76" s="507">
        <f>Port[[#This Row],[ECL_Interest (CNY)]]*Port[[#This Row],[CNY -&gt; FCY]]</f>
        <v>556.34118905918194</v>
      </c>
      <c r="AD76" s="507">
        <f>Port[[#This Row],[EAD_Drawn (CNY)]]*Port[[#This Row],[CNY -&gt; THB]]</f>
        <v>43355088</v>
      </c>
      <c r="AE76" s="507">
        <f>Port[[#This Row],[EAD_Undrawn (CNY)]]*Port[[#This Row],[CNY -&gt; THB]]</f>
        <v>0</v>
      </c>
      <c r="AF76" s="507">
        <f>Port[[#This Row],[EAD (CNY)]]*Port[[#This Row],[CNY -&gt; THB]]</f>
        <v>43355088</v>
      </c>
      <c r="AG76" s="507">
        <f>Port[[#This Row],[EAD_Interest (CNY)]]*Port[[#This Row],[CNY -&gt; THB]]</f>
        <v>67441.253832000002</v>
      </c>
      <c r="AH76" s="507">
        <f>Port[[#This Row],[ECL_Drawn (CNY)]]*Port[[#This Row],[CNY -&gt; THB]]</f>
        <v>1877222.1732527458</v>
      </c>
      <c r="AI76" s="507">
        <f>Port[[#This Row],[ECL_Undrawn (CNY)]]*Port[[#This Row],[CNY -&gt; THB]]</f>
        <v>0</v>
      </c>
      <c r="AJ76" s="507">
        <f>Port[[#This Row],[ECL (CNY)]]*Port[[#This Row],[CNY -&gt; THB]]</f>
        <v>1877222.1732527458</v>
      </c>
      <c r="AK76" s="507">
        <f>Port[[#This Row],[ECL_Interest (CNY)]]*Port[[#This Row],[CNY -&gt; THB]]</f>
        <v>2920.1236331338341</v>
      </c>
      <c r="AL76" s="507">
        <f>Port[[#This Row],[EAD (THB)]]*Port[[#This Row],[PD_avg]]</f>
        <v>2085802.4147252729</v>
      </c>
      <c r="AM76" s="507">
        <f>Port[[#This Row],[EAD_Interest (THB)]]*Port[[#This Row],[PD_avg]]</f>
        <v>3244.5818145931489</v>
      </c>
      <c r="AN76" s="507">
        <f>Port[[#This Row],[EAD (THB)]]*Port[[#This Row],[LGD_avg]]</f>
        <v>39019579.200000003</v>
      </c>
      <c r="AO76" s="507">
        <f>Port[[#This Row],[EAD_Interest (THB)]]*Port[[#This Row],[LGD_avg]]</f>
        <v>60697.128448800009</v>
      </c>
      <c r="AP76" s="507">
        <f>Port[[#This Row],[EAD_Drawn (THB)]]+Port[[#This Row],[EAD_Interest (THB)]]</f>
        <v>43422529.253831998</v>
      </c>
      <c r="AQ7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650326.31999999995</v>
      </c>
      <c r="AR76" s="522">
        <f>MAX(Port[[#This Row],[ECL (THB)]]+Port[[#This Row],[ECL_Interest (THB)]], Port[[#This Row],[ECL CBIRC (THB)]])</f>
        <v>1880142.2968858797</v>
      </c>
    </row>
    <row r="77" spans="1:44">
      <c r="A77" s="2" t="s">
        <v>900</v>
      </c>
      <c r="B77" s="2" t="s">
        <v>901</v>
      </c>
      <c r="C77" s="2" t="s">
        <v>17</v>
      </c>
      <c r="D77" s="2" t="s">
        <v>25</v>
      </c>
      <c r="E77" s="2" t="s">
        <v>19</v>
      </c>
      <c r="F77" s="2" t="s">
        <v>20</v>
      </c>
      <c r="G77" s="2" t="s">
        <v>21</v>
      </c>
      <c r="H77">
        <v>1</v>
      </c>
      <c r="I77" s="2" t="s">
        <v>526</v>
      </c>
      <c r="J77" s="505">
        <v>4.8109749303825028E-2</v>
      </c>
      <c r="K77" s="505">
        <v>0.90000000000000013</v>
      </c>
      <c r="L77" s="3">
        <v>1</v>
      </c>
      <c r="M77" s="3">
        <v>5.2488000000000001</v>
      </c>
      <c r="N77" s="507">
        <v>4000000</v>
      </c>
      <c r="O77" s="507">
        <v>0</v>
      </c>
      <c r="P77" s="507">
        <v>4000000</v>
      </c>
      <c r="Q77" s="507">
        <v>5520.83</v>
      </c>
      <c r="R77" s="507">
        <v>173195.09749377012</v>
      </c>
      <c r="S77" s="507">
        <v>0</v>
      </c>
      <c r="T77" s="507">
        <v>173195.09749377012</v>
      </c>
      <c r="U77" s="507">
        <v>239.04517252413268</v>
      </c>
      <c r="V77" s="507">
        <f>Port[[#This Row],[EAD_Drawn (CNY)]]*Port[[#This Row],[CNY -&gt; FCY]]</f>
        <v>4000000</v>
      </c>
      <c r="W77" s="507">
        <f>Port[[#This Row],[EAD_Undrawn (CNY)]]*Port[[#This Row],[CNY -&gt; FCY]]</f>
        <v>0</v>
      </c>
      <c r="X77" s="507">
        <f>Port[[#This Row],[EAD (CNY)]]*Port[[#This Row],[CNY -&gt; FCY]]</f>
        <v>4000000</v>
      </c>
      <c r="Y77" s="507">
        <f>Port[[#This Row],[EAD_Interest (CNY)]]*Port[[#This Row],[CNY -&gt; FCY]]</f>
        <v>5520.83</v>
      </c>
      <c r="Z77" s="507">
        <f>Port[[#This Row],[ECL_Drawn (CNY)]]*Port[[#This Row],[CNY -&gt; FCY]]</f>
        <v>173195.09749377012</v>
      </c>
      <c r="AA77" s="507">
        <f>Port[[#This Row],[ECL_Undrawn (CNY)]]*Port[[#This Row],[CNY -&gt; FCY]]</f>
        <v>0</v>
      </c>
      <c r="AB77" s="507">
        <f>Port[[#This Row],[ECL (CNY)]]*Port[[#This Row],[CNY -&gt; FCY]]</f>
        <v>173195.09749377012</v>
      </c>
      <c r="AC77" s="507">
        <f>Port[[#This Row],[ECL_Interest (CNY)]]*Port[[#This Row],[CNY -&gt; FCY]]</f>
        <v>239.04517252413268</v>
      </c>
      <c r="AD77" s="507">
        <f>Port[[#This Row],[EAD_Drawn (CNY)]]*Port[[#This Row],[CNY -&gt; THB]]</f>
        <v>20995200</v>
      </c>
      <c r="AE77" s="507">
        <f>Port[[#This Row],[EAD_Undrawn (CNY)]]*Port[[#This Row],[CNY -&gt; THB]]</f>
        <v>0</v>
      </c>
      <c r="AF77" s="507">
        <f>Port[[#This Row],[EAD (CNY)]]*Port[[#This Row],[CNY -&gt; THB]]</f>
        <v>20995200</v>
      </c>
      <c r="AG77" s="507">
        <f>Port[[#This Row],[EAD_Interest (CNY)]]*Port[[#This Row],[CNY -&gt; THB]]</f>
        <v>28977.732504</v>
      </c>
      <c r="AH77" s="507">
        <f>Port[[#This Row],[ECL_Drawn (CNY)]]*Port[[#This Row],[CNY -&gt; THB]]</f>
        <v>909066.42772530066</v>
      </c>
      <c r="AI77" s="507">
        <f>Port[[#This Row],[ECL_Undrawn (CNY)]]*Port[[#This Row],[CNY -&gt; THB]]</f>
        <v>0</v>
      </c>
      <c r="AJ77" s="507">
        <f>Port[[#This Row],[ECL (CNY)]]*Port[[#This Row],[CNY -&gt; THB]]</f>
        <v>909066.42772530066</v>
      </c>
      <c r="AK77" s="507">
        <f>Port[[#This Row],[ECL_Interest (CNY)]]*Port[[#This Row],[CNY -&gt; THB]]</f>
        <v>1254.7003015446676</v>
      </c>
      <c r="AL77" s="507">
        <f>Port[[#This Row],[EAD (THB)]]*Port[[#This Row],[PD_avg]]</f>
        <v>1010073.8085836673</v>
      </c>
      <c r="AM77" s="507">
        <f>Port[[#This Row],[EAD_Interest (THB)]]*Port[[#This Row],[PD_avg]]</f>
        <v>1394.1114461607419</v>
      </c>
      <c r="AN77" s="507">
        <f>Port[[#This Row],[EAD (THB)]]*Port[[#This Row],[LGD_avg]]</f>
        <v>18895680.000000004</v>
      </c>
      <c r="AO77" s="507">
        <f>Port[[#This Row],[EAD_Interest (THB)]]*Port[[#This Row],[LGD_avg]]</f>
        <v>26079.959253600002</v>
      </c>
      <c r="AP77" s="507">
        <f>Port[[#This Row],[EAD_Drawn (THB)]]+Port[[#This Row],[EAD_Interest (THB)]]</f>
        <v>21024177.732503999</v>
      </c>
      <c r="AQ7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314928</v>
      </c>
      <c r="AR77" s="522">
        <f>MAX(Port[[#This Row],[ECL (THB)]]+Port[[#This Row],[ECL_Interest (THB)]], Port[[#This Row],[ECL CBIRC (THB)]])</f>
        <v>910321.12802684528</v>
      </c>
    </row>
    <row r="78" spans="1:44">
      <c r="A78" s="2" t="s">
        <v>902</v>
      </c>
      <c r="B78" s="2" t="s">
        <v>56</v>
      </c>
      <c r="C78" s="2" t="s">
        <v>17</v>
      </c>
      <c r="D78" s="2" t="s">
        <v>25</v>
      </c>
      <c r="E78" s="2" t="s">
        <v>19</v>
      </c>
      <c r="F78" s="2" t="s">
        <v>20</v>
      </c>
      <c r="G78" s="2" t="s">
        <v>21</v>
      </c>
      <c r="H78">
        <v>1</v>
      </c>
      <c r="I78" s="2" t="s">
        <v>526</v>
      </c>
      <c r="J78" s="505">
        <v>4.8109749303825028E-2</v>
      </c>
      <c r="K78" s="505">
        <v>0.9</v>
      </c>
      <c r="L78" s="3">
        <v>1</v>
      </c>
      <c r="M78" s="3">
        <v>5.2488000000000001</v>
      </c>
      <c r="N78" s="507">
        <v>2912139.81</v>
      </c>
      <c r="O78" s="507">
        <v>0</v>
      </c>
      <c r="P78" s="507">
        <v>2912139.81</v>
      </c>
      <c r="Q78" s="507">
        <v>3980.48</v>
      </c>
      <c r="R78" s="507">
        <v>126092.0845771098</v>
      </c>
      <c r="S78" s="507">
        <v>0</v>
      </c>
      <c r="T78" s="507">
        <v>126092.0845771098</v>
      </c>
      <c r="U78" s="507">
        <v>172.3499054180005</v>
      </c>
      <c r="V78" s="507">
        <f>Port[[#This Row],[EAD_Drawn (CNY)]]*Port[[#This Row],[CNY -&gt; FCY]]</f>
        <v>2912139.81</v>
      </c>
      <c r="W78" s="507">
        <f>Port[[#This Row],[EAD_Undrawn (CNY)]]*Port[[#This Row],[CNY -&gt; FCY]]</f>
        <v>0</v>
      </c>
      <c r="X78" s="507">
        <f>Port[[#This Row],[EAD (CNY)]]*Port[[#This Row],[CNY -&gt; FCY]]</f>
        <v>2912139.81</v>
      </c>
      <c r="Y78" s="507">
        <f>Port[[#This Row],[EAD_Interest (CNY)]]*Port[[#This Row],[CNY -&gt; FCY]]</f>
        <v>3980.48</v>
      </c>
      <c r="Z78" s="507">
        <f>Port[[#This Row],[ECL_Drawn (CNY)]]*Port[[#This Row],[CNY -&gt; FCY]]</f>
        <v>126092.0845771098</v>
      </c>
      <c r="AA78" s="507">
        <f>Port[[#This Row],[ECL_Undrawn (CNY)]]*Port[[#This Row],[CNY -&gt; FCY]]</f>
        <v>0</v>
      </c>
      <c r="AB78" s="507">
        <f>Port[[#This Row],[ECL (CNY)]]*Port[[#This Row],[CNY -&gt; FCY]]</f>
        <v>126092.0845771098</v>
      </c>
      <c r="AC78" s="507">
        <f>Port[[#This Row],[ECL_Interest (CNY)]]*Port[[#This Row],[CNY -&gt; FCY]]</f>
        <v>172.3499054180005</v>
      </c>
      <c r="AD78" s="507">
        <f>Port[[#This Row],[EAD_Drawn (CNY)]]*Port[[#This Row],[CNY -&gt; THB]]</f>
        <v>15285239.434728</v>
      </c>
      <c r="AE78" s="507">
        <f>Port[[#This Row],[EAD_Undrawn (CNY)]]*Port[[#This Row],[CNY -&gt; THB]]</f>
        <v>0</v>
      </c>
      <c r="AF78" s="507">
        <f>Port[[#This Row],[EAD (CNY)]]*Port[[#This Row],[CNY -&gt; THB]]</f>
        <v>15285239.434728</v>
      </c>
      <c r="AG78" s="507">
        <f>Port[[#This Row],[EAD_Interest (CNY)]]*Port[[#This Row],[CNY -&gt; THB]]</f>
        <v>20892.743424</v>
      </c>
      <c r="AH78" s="507">
        <f>Port[[#This Row],[ECL_Drawn (CNY)]]*Port[[#This Row],[CNY -&gt; THB]]</f>
        <v>661832.13352833386</v>
      </c>
      <c r="AI78" s="507">
        <f>Port[[#This Row],[ECL_Undrawn (CNY)]]*Port[[#This Row],[CNY -&gt; THB]]</f>
        <v>0</v>
      </c>
      <c r="AJ78" s="507">
        <f>Port[[#This Row],[ECL (CNY)]]*Port[[#This Row],[CNY -&gt; THB]]</f>
        <v>661832.13352833386</v>
      </c>
      <c r="AK78" s="507">
        <f>Port[[#This Row],[ECL_Interest (CNY)]]*Port[[#This Row],[CNY -&gt; THB]]</f>
        <v>904.63018355800102</v>
      </c>
      <c r="AL78" s="507">
        <f>Port[[#This Row],[EAD (THB)]]*Port[[#This Row],[PD_avg]]</f>
        <v>735369.03725370427</v>
      </c>
      <c r="AM78" s="507">
        <f>Port[[#This Row],[EAD_Interest (THB)]]*Port[[#This Row],[PD_avg]]</f>
        <v>1005.144648397779</v>
      </c>
      <c r="AN78" s="507">
        <f>Port[[#This Row],[EAD (THB)]]*Port[[#This Row],[LGD_avg]]</f>
        <v>13756715.491255201</v>
      </c>
      <c r="AO78" s="507">
        <f>Port[[#This Row],[EAD_Interest (THB)]]*Port[[#This Row],[LGD_avg]]</f>
        <v>18803.4690816</v>
      </c>
      <c r="AP78" s="507">
        <f>Port[[#This Row],[EAD_Drawn (THB)]]+Port[[#This Row],[EAD_Interest (THB)]]</f>
        <v>15306132.178152001</v>
      </c>
      <c r="AQ7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229278.59152091999</v>
      </c>
      <c r="AR78" s="522">
        <f>MAX(Port[[#This Row],[ECL (THB)]]+Port[[#This Row],[ECL_Interest (THB)]], Port[[#This Row],[ECL CBIRC (THB)]])</f>
        <v>662736.76371189184</v>
      </c>
    </row>
    <row r="79" spans="1:44">
      <c r="A79" s="2" t="s">
        <v>903</v>
      </c>
      <c r="B79" s="2" t="s">
        <v>55</v>
      </c>
      <c r="C79" s="2" t="s">
        <v>17</v>
      </c>
      <c r="D79" s="2" t="s">
        <v>25</v>
      </c>
      <c r="E79" s="2" t="s">
        <v>19</v>
      </c>
      <c r="F79" s="2" t="s">
        <v>20</v>
      </c>
      <c r="G79" s="2" t="s">
        <v>21</v>
      </c>
      <c r="H79">
        <v>1</v>
      </c>
      <c r="I79" s="2" t="s">
        <v>526</v>
      </c>
      <c r="J79" s="505">
        <v>4.8109749303825028E-2</v>
      </c>
      <c r="K79" s="505">
        <v>0.9</v>
      </c>
      <c r="L79" s="3">
        <v>1</v>
      </c>
      <c r="M79" s="3">
        <v>5.2488000000000001</v>
      </c>
      <c r="N79" s="507">
        <v>1740000</v>
      </c>
      <c r="O79" s="507">
        <v>0</v>
      </c>
      <c r="P79" s="507">
        <v>1740000</v>
      </c>
      <c r="Q79" s="507">
        <v>2320</v>
      </c>
      <c r="R79" s="507">
        <v>75339.867409789993</v>
      </c>
      <c r="S79" s="507">
        <v>0</v>
      </c>
      <c r="T79" s="507">
        <v>75339.867409789993</v>
      </c>
      <c r="U79" s="507">
        <v>100.45315654638667</v>
      </c>
      <c r="V79" s="507">
        <f>Port[[#This Row],[EAD_Drawn (CNY)]]*Port[[#This Row],[CNY -&gt; FCY]]</f>
        <v>1740000</v>
      </c>
      <c r="W79" s="507">
        <f>Port[[#This Row],[EAD_Undrawn (CNY)]]*Port[[#This Row],[CNY -&gt; FCY]]</f>
        <v>0</v>
      </c>
      <c r="X79" s="507">
        <f>Port[[#This Row],[EAD (CNY)]]*Port[[#This Row],[CNY -&gt; FCY]]</f>
        <v>1740000</v>
      </c>
      <c r="Y79" s="507">
        <f>Port[[#This Row],[EAD_Interest (CNY)]]*Port[[#This Row],[CNY -&gt; FCY]]</f>
        <v>2320</v>
      </c>
      <c r="Z79" s="507">
        <f>Port[[#This Row],[ECL_Drawn (CNY)]]*Port[[#This Row],[CNY -&gt; FCY]]</f>
        <v>75339.867409789993</v>
      </c>
      <c r="AA79" s="507">
        <f>Port[[#This Row],[ECL_Undrawn (CNY)]]*Port[[#This Row],[CNY -&gt; FCY]]</f>
        <v>0</v>
      </c>
      <c r="AB79" s="507">
        <f>Port[[#This Row],[ECL (CNY)]]*Port[[#This Row],[CNY -&gt; FCY]]</f>
        <v>75339.867409789993</v>
      </c>
      <c r="AC79" s="507">
        <f>Port[[#This Row],[ECL_Interest (CNY)]]*Port[[#This Row],[CNY -&gt; FCY]]</f>
        <v>100.45315654638667</v>
      </c>
      <c r="AD79" s="507">
        <f>Port[[#This Row],[EAD_Drawn (CNY)]]*Port[[#This Row],[CNY -&gt; THB]]</f>
        <v>9132912</v>
      </c>
      <c r="AE79" s="507">
        <f>Port[[#This Row],[EAD_Undrawn (CNY)]]*Port[[#This Row],[CNY -&gt; THB]]</f>
        <v>0</v>
      </c>
      <c r="AF79" s="507">
        <f>Port[[#This Row],[EAD (CNY)]]*Port[[#This Row],[CNY -&gt; THB]]</f>
        <v>9132912</v>
      </c>
      <c r="AG79" s="507">
        <f>Port[[#This Row],[EAD_Interest (CNY)]]*Port[[#This Row],[CNY -&gt; THB]]</f>
        <v>12177.216</v>
      </c>
      <c r="AH79" s="507">
        <f>Port[[#This Row],[ECL_Drawn (CNY)]]*Port[[#This Row],[CNY -&gt; THB]]</f>
        <v>395443.89606050571</v>
      </c>
      <c r="AI79" s="507">
        <f>Port[[#This Row],[ECL_Undrawn (CNY)]]*Port[[#This Row],[CNY -&gt; THB]]</f>
        <v>0</v>
      </c>
      <c r="AJ79" s="507">
        <f>Port[[#This Row],[ECL (CNY)]]*Port[[#This Row],[CNY -&gt; THB]]</f>
        <v>395443.89606050571</v>
      </c>
      <c r="AK79" s="507">
        <f>Port[[#This Row],[ECL_Interest (CNY)]]*Port[[#This Row],[CNY -&gt; THB]]</f>
        <v>527.2585280806743</v>
      </c>
      <c r="AL79" s="507">
        <f>Port[[#This Row],[EAD (THB)]]*Port[[#This Row],[PD_avg]]</f>
        <v>439382.10673389526</v>
      </c>
      <c r="AM79" s="507">
        <f>Port[[#This Row],[EAD_Interest (THB)]]*Port[[#This Row],[PD_avg]]</f>
        <v>585.84280897852705</v>
      </c>
      <c r="AN79" s="507">
        <f>Port[[#This Row],[EAD (THB)]]*Port[[#This Row],[LGD_avg]]</f>
        <v>8219620.7999999998</v>
      </c>
      <c r="AO79" s="507">
        <f>Port[[#This Row],[EAD_Interest (THB)]]*Port[[#This Row],[LGD_avg]]</f>
        <v>10959.494400000001</v>
      </c>
      <c r="AP79" s="507">
        <f>Port[[#This Row],[EAD_Drawn (THB)]]+Port[[#This Row],[EAD_Interest (THB)]]</f>
        <v>9145089.216</v>
      </c>
      <c r="AQ7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136993.68</v>
      </c>
      <c r="AR79" s="522">
        <f>MAX(Port[[#This Row],[ECL (THB)]]+Port[[#This Row],[ECL_Interest (THB)]], Port[[#This Row],[ECL CBIRC (THB)]])</f>
        <v>395971.15458858636</v>
      </c>
    </row>
    <row r="80" spans="1:44">
      <c r="A80" s="2" t="s">
        <v>904</v>
      </c>
      <c r="B80" s="2" t="s">
        <v>44</v>
      </c>
      <c r="C80" s="2" t="s">
        <v>17</v>
      </c>
      <c r="D80" s="2" t="s">
        <v>30</v>
      </c>
      <c r="E80" s="2" t="s">
        <v>19</v>
      </c>
      <c r="F80" s="2" t="s">
        <v>20</v>
      </c>
      <c r="G80" s="2" t="s">
        <v>21</v>
      </c>
      <c r="H80">
        <v>1</v>
      </c>
      <c r="I80" s="2" t="s">
        <v>526</v>
      </c>
      <c r="J80" s="505">
        <v>2.0514833509807026E-2</v>
      </c>
      <c r="K80" s="505">
        <v>0.89999999999999991</v>
      </c>
      <c r="L80" s="3">
        <v>1</v>
      </c>
      <c r="M80" s="3">
        <v>5.2488000000000001</v>
      </c>
      <c r="N80" s="507">
        <v>10000612.32</v>
      </c>
      <c r="O80" s="507">
        <v>0</v>
      </c>
      <c r="P80" s="507">
        <v>10000612.32</v>
      </c>
      <c r="Q80" s="507">
        <v>5944.81</v>
      </c>
      <c r="R80" s="507">
        <v>184644.80706683249</v>
      </c>
      <c r="S80" s="507">
        <v>0</v>
      </c>
      <c r="T80" s="507">
        <v>184644.80706683249</v>
      </c>
      <c r="U80" s="507">
        <v>109.76110865769232</v>
      </c>
      <c r="V80" s="507">
        <f>Port[[#This Row],[EAD_Drawn (CNY)]]*Port[[#This Row],[CNY -&gt; FCY]]</f>
        <v>10000612.32</v>
      </c>
      <c r="W80" s="507">
        <f>Port[[#This Row],[EAD_Undrawn (CNY)]]*Port[[#This Row],[CNY -&gt; FCY]]</f>
        <v>0</v>
      </c>
      <c r="X80" s="507">
        <f>Port[[#This Row],[EAD (CNY)]]*Port[[#This Row],[CNY -&gt; FCY]]</f>
        <v>10000612.32</v>
      </c>
      <c r="Y80" s="507">
        <f>Port[[#This Row],[EAD_Interest (CNY)]]*Port[[#This Row],[CNY -&gt; FCY]]</f>
        <v>5944.81</v>
      </c>
      <c r="Z80" s="507">
        <f>Port[[#This Row],[ECL_Drawn (CNY)]]*Port[[#This Row],[CNY -&gt; FCY]]</f>
        <v>184644.80706683249</v>
      </c>
      <c r="AA80" s="507">
        <f>Port[[#This Row],[ECL_Undrawn (CNY)]]*Port[[#This Row],[CNY -&gt; FCY]]</f>
        <v>0</v>
      </c>
      <c r="AB80" s="507">
        <f>Port[[#This Row],[ECL (CNY)]]*Port[[#This Row],[CNY -&gt; FCY]]</f>
        <v>184644.80706683249</v>
      </c>
      <c r="AC80" s="507">
        <f>Port[[#This Row],[ECL_Interest (CNY)]]*Port[[#This Row],[CNY -&gt; FCY]]</f>
        <v>109.76110865769232</v>
      </c>
      <c r="AD80" s="507">
        <f>Port[[#This Row],[EAD_Drawn (CNY)]]*Port[[#This Row],[CNY -&gt; THB]]</f>
        <v>52491213.945216</v>
      </c>
      <c r="AE80" s="507">
        <f>Port[[#This Row],[EAD_Undrawn (CNY)]]*Port[[#This Row],[CNY -&gt; THB]]</f>
        <v>0</v>
      </c>
      <c r="AF80" s="507">
        <f>Port[[#This Row],[EAD (CNY)]]*Port[[#This Row],[CNY -&gt; THB]]</f>
        <v>52491213.945216</v>
      </c>
      <c r="AG80" s="507">
        <f>Port[[#This Row],[EAD_Interest (CNY)]]*Port[[#This Row],[CNY -&gt; THB]]</f>
        <v>31203.118728000001</v>
      </c>
      <c r="AH80" s="507">
        <f>Port[[#This Row],[ECL_Drawn (CNY)]]*Port[[#This Row],[CNY -&gt; THB]]</f>
        <v>969163.66333239037</v>
      </c>
      <c r="AI80" s="507">
        <f>Port[[#This Row],[ECL_Undrawn (CNY)]]*Port[[#This Row],[CNY -&gt; THB]]</f>
        <v>0</v>
      </c>
      <c r="AJ80" s="507">
        <f>Port[[#This Row],[ECL (CNY)]]*Port[[#This Row],[CNY -&gt; THB]]</f>
        <v>969163.66333239037</v>
      </c>
      <c r="AK80" s="507">
        <f>Port[[#This Row],[ECL_Interest (CNY)]]*Port[[#This Row],[CNY -&gt; THB]]</f>
        <v>576.11410712249551</v>
      </c>
      <c r="AL80" s="507">
        <f>Port[[#This Row],[EAD (THB)]]*Port[[#This Row],[PD_avg]]</f>
        <v>1076848.514813767</v>
      </c>
      <c r="AM80" s="507">
        <f>Port[[#This Row],[EAD_Interest (THB)]]*Port[[#This Row],[PD_avg]]</f>
        <v>640.12678569166167</v>
      </c>
      <c r="AN80" s="507">
        <f>Port[[#This Row],[EAD (THB)]]*Port[[#This Row],[LGD_avg]]</f>
        <v>47242092.550694399</v>
      </c>
      <c r="AO80" s="507">
        <f>Port[[#This Row],[EAD_Interest (THB)]]*Port[[#This Row],[LGD_avg]]</f>
        <v>28082.806855199997</v>
      </c>
      <c r="AP80" s="507">
        <f>Port[[#This Row],[EAD_Drawn (THB)]]+Port[[#This Row],[EAD_Interest (THB)]]</f>
        <v>52522417.063943997</v>
      </c>
      <c r="AQ8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787368.20917823992</v>
      </c>
      <c r="AR80" s="522">
        <f>MAX(Port[[#This Row],[ECL (THB)]]+Port[[#This Row],[ECL_Interest (THB)]], Port[[#This Row],[ECL CBIRC (THB)]])</f>
        <v>969739.77743951289</v>
      </c>
    </row>
    <row r="81" spans="1:44">
      <c r="A81" s="2" t="s">
        <v>58</v>
      </c>
      <c r="B81" s="2" t="s">
        <v>29</v>
      </c>
      <c r="C81" s="2" t="s">
        <v>17</v>
      </c>
      <c r="D81" s="2" t="s">
        <v>30</v>
      </c>
      <c r="E81" s="2" t="s">
        <v>19</v>
      </c>
      <c r="F81" s="2" t="s">
        <v>20</v>
      </c>
      <c r="G81" s="2" t="s">
        <v>57</v>
      </c>
      <c r="H81">
        <v>1</v>
      </c>
      <c r="I81" s="2" t="s">
        <v>526</v>
      </c>
      <c r="J81" s="505">
        <v>3.0745295499522811E-2</v>
      </c>
      <c r="K81" s="505">
        <v>0.9</v>
      </c>
      <c r="L81" s="3">
        <v>0.15684552284455039</v>
      </c>
      <c r="M81" s="3">
        <v>5.2488000000000001</v>
      </c>
      <c r="N81" s="507">
        <v>662015.97</v>
      </c>
      <c r="O81" s="507">
        <v>0</v>
      </c>
      <c r="P81" s="507">
        <v>662015.97</v>
      </c>
      <c r="Q81" s="507">
        <v>261.11259999999999</v>
      </c>
      <c r="R81" s="507">
        <v>18318.488960747905</v>
      </c>
      <c r="S81" s="507">
        <v>0</v>
      </c>
      <c r="T81" s="507">
        <v>18318.488960747905</v>
      </c>
      <c r="U81" s="507">
        <v>7.2251856410838302</v>
      </c>
      <c r="V81" s="507">
        <f>Port[[#This Row],[EAD_Drawn (CNY)]]*Port[[#This Row],[CNY -&gt; FCY]]</f>
        <v>103834.24094609218</v>
      </c>
      <c r="W81" s="507">
        <f>Port[[#This Row],[EAD_Undrawn (CNY)]]*Port[[#This Row],[CNY -&gt; FCY]]</f>
        <v>0</v>
      </c>
      <c r="X81" s="507">
        <f>Port[[#This Row],[EAD (CNY)]]*Port[[#This Row],[CNY -&gt; FCY]]</f>
        <v>103834.24094609218</v>
      </c>
      <c r="Y81" s="507">
        <f>Port[[#This Row],[EAD_Interest (CNY)]]*Port[[#This Row],[CNY -&gt; FCY]]</f>
        <v>40.954342268299946</v>
      </c>
      <c r="Z81" s="507">
        <f>Port[[#This Row],[ECL_Drawn (CNY)]]*Port[[#This Row],[CNY -&gt; FCY]]</f>
        <v>2873.1729787706299</v>
      </c>
      <c r="AA81" s="507">
        <f>Port[[#This Row],[ECL_Undrawn (CNY)]]*Port[[#This Row],[CNY -&gt; FCY]]</f>
        <v>0</v>
      </c>
      <c r="AB81" s="507">
        <f>Port[[#This Row],[ECL (CNY)]]*Port[[#This Row],[CNY -&gt; FCY]]</f>
        <v>2873.1729787706299</v>
      </c>
      <c r="AC81" s="507">
        <f>Port[[#This Row],[ECL_Interest (CNY)]]*Port[[#This Row],[CNY -&gt; FCY]]</f>
        <v>1.1332380195247314</v>
      </c>
      <c r="AD81" s="507">
        <f>Port[[#This Row],[EAD_Drawn (CNY)]]*Port[[#This Row],[CNY -&gt; THB]]</f>
        <v>3474789.4233359997</v>
      </c>
      <c r="AE81" s="507">
        <f>Port[[#This Row],[EAD_Undrawn (CNY)]]*Port[[#This Row],[CNY -&gt; THB]]</f>
        <v>0</v>
      </c>
      <c r="AF81" s="507">
        <f>Port[[#This Row],[EAD (CNY)]]*Port[[#This Row],[CNY -&gt; THB]]</f>
        <v>3474789.4233359997</v>
      </c>
      <c r="AG81" s="507">
        <f>Port[[#This Row],[EAD_Interest (CNY)]]*Port[[#This Row],[CNY -&gt; THB]]</f>
        <v>1370.5278148800001</v>
      </c>
      <c r="AH81" s="507">
        <f>Port[[#This Row],[ECL_Drawn (CNY)]]*Port[[#This Row],[CNY -&gt; THB]]</f>
        <v>96150.084857173613</v>
      </c>
      <c r="AI81" s="507">
        <f>Port[[#This Row],[ECL_Undrawn (CNY)]]*Port[[#This Row],[CNY -&gt; THB]]</f>
        <v>0</v>
      </c>
      <c r="AJ81" s="507">
        <f>Port[[#This Row],[ECL (CNY)]]*Port[[#This Row],[CNY -&gt; THB]]</f>
        <v>96150.084857173613</v>
      </c>
      <c r="AK81" s="507">
        <f>Port[[#This Row],[ECL_Interest (CNY)]]*Port[[#This Row],[CNY -&gt; THB]]</f>
        <v>37.923554392920806</v>
      </c>
      <c r="AL81" s="507">
        <f>Port[[#This Row],[EAD (THB)]]*Port[[#This Row],[PD_avg]]</f>
        <v>106833.42761908178</v>
      </c>
      <c r="AM81" s="507">
        <f>Port[[#This Row],[EAD_Interest (THB)]]*Port[[#This Row],[PD_avg]]</f>
        <v>42.137282658800899</v>
      </c>
      <c r="AN81" s="507">
        <f>Port[[#This Row],[EAD (THB)]]*Port[[#This Row],[LGD_avg]]</f>
        <v>3127310.4810023997</v>
      </c>
      <c r="AO81" s="507">
        <f>Port[[#This Row],[EAD_Interest (THB)]]*Port[[#This Row],[LGD_avg]]</f>
        <v>1233.4750333920001</v>
      </c>
      <c r="AP81" s="507">
        <f>Port[[#This Row],[EAD_Drawn (THB)]]+Port[[#This Row],[EAD_Interest (THB)]]</f>
        <v>3476159.9511508797</v>
      </c>
      <c r="AQ8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52121.841350039991</v>
      </c>
      <c r="AR81" s="522">
        <f>MAX(Port[[#This Row],[ECL (THB)]]+Port[[#This Row],[ECL_Interest (THB)]], Port[[#This Row],[ECL CBIRC (THB)]])</f>
        <v>96188.008411566538</v>
      </c>
    </row>
    <row r="82" spans="1:44">
      <c r="A82" s="2" t="s">
        <v>905</v>
      </c>
      <c r="B82" s="2" t="s">
        <v>29</v>
      </c>
      <c r="C82" s="2" t="s">
        <v>17</v>
      </c>
      <c r="D82" s="2" t="s">
        <v>30</v>
      </c>
      <c r="E82" s="2" t="s">
        <v>19</v>
      </c>
      <c r="F82" s="2" t="s">
        <v>20</v>
      </c>
      <c r="G82" s="2" t="s">
        <v>57</v>
      </c>
      <c r="H82">
        <v>1</v>
      </c>
      <c r="I82" s="2" t="s">
        <v>526</v>
      </c>
      <c r="J82" s="505">
        <v>3.0745295499522811E-2</v>
      </c>
      <c r="K82" s="505">
        <v>0.90000000000000013</v>
      </c>
      <c r="L82" s="3">
        <v>0.15684552284455039</v>
      </c>
      <c r="M82" s="3">
        <v>5.2488000000000001</v>
      </c>
      <c r="N82" s="507">
        <v>687235.62599999993</v>
      </c>
      <c r="O82" s="507">
        <v>0</v>
      </c>
      <c r="P82" s="507">
        <v>687235.62599999993</v>
      </c>
      <c r="Q82" s="507">
        <v>270.92024399999997</v>
      </c>
      <c r="R82" s="507">
        <v>19016.336159252587</v>
      </c>
      <c r="S82" s="507">
        <v>0</v>
      </c>
      <c r="T82" s="507">
        <v>19016.336159252587</v>
      </c>
      <c r="U82" s="507">
        <v>7.4965706627245385</v>
      </c>
      <c r="V82" s="507">
        <f>Port[[#This Row],[EAD_Drawn (CNY)]]*Port[[#This Row],[CNY -&gt; FCY]]</f>
        <v>107789.83107737187</v>
      </c>
      <c r="W82" s="507">
        <f>Port[[#This Row],[EAD_Undrawn (CNY)]]*Port[[#This Row],[CNY -&gt; FCY]]</f>
        <v>0</v>
      </c>
      <c r="X82" s="507">
        <f>Port[[#This Row],[EAD (CNY)]]*Port[[#This Row],[CNY -&gt; FCY]]</f>
        <v>107789.83107737187</v>
      </c>
      <c r="Y82" s="507">
        <f>Port[[#This Row],[EAD_Interest (CNY)]]*Port[[#This Row],[CNY -&gt; FCY]]</f>
        <v>42.492627319353161</v>
      </c>
      <c r="Z82" s="507">
        <f>Port[[#This Row],[ECL_Drawn (CNY)]]*Port[[#This Row],[CNY -&gt; FCY]]</f>
        <v>2982.6271874857011</v>
      </c>
      <c r="AA82" s="507">
        <f>Port[[#This Row],[ECL_Undrawn (CNY)]]*Port[[#This Row],[CNY -&gt; FCY]]</f>
        <v>0</v>
      </c>
      <c r="AB82" s="507">
        <f>Port[[#This Row],[ECL (CNY)]]*Port[[#This Row],[CNY -&gt; FCY]]</f>
        <v>2982.6271874857011</v>
      </c>
      <c r="AC82" s="507">
        <f>Port[[#This Row],[ECL_Interest (CNY)]]*Port[[#This Row],[CNY -&gt; FCY]]</f>
        <v>1.1758035451361479</v>
      </c>
      <c r="AD82" s="507">
        <f>Port[[#This Row],[EAD_Drawn (CNY)]]*Port[[#This Row],[CNY -&gt; THB]]</f>
        <v>3607162.3537487998</v>
      </c>
      <c r="AE82" s="507">
        <f>Port[[#This Row],[EAD_Undrawn (CNY)]]*Port[[#This Row],[CNY -&gt; THB]]</f>
        <v>0</v>
      </c>
      <c r="AF82" s="507">
        <f>Port[[#This Row],[EAD (CNY)]]*Port[[#This Row],[CNY -&gt; THB]]</f>
        <v>3607162.3537487998</v>
      </c>
      <c r="AG82" s="507">
        <f>Port[[#This Row],[EAD_Interest (CNY)]]*Port[[#This Row],[CNY -&gt; THB]]</f>
        <v>1422.0061767071998</v>
      </c>
      <c r="AH82" s="507">
        <f>Port[[#This Row],[ECL_Drawn (CNY)]]*Port[[#This Row],[CNY -&gt; THB]]</f>
        <v>99812.945232684986</v>
      </c>
      <c r="AI82" s="507">
        <f>Port[[#This Row],[ECL_Undrawn (CNY)]]*Port[[#This Row],[CNY -&gt; THB]]</f>
        <v>0</v>
      </c>
      <c r="AJ82" s="507">
        <f>Port[[#This Row],[ECL (CNY)]]*Port[[#This Row],[CNY -&gt; THB]]</f>
        <v>99812.945232684986</v>
      </c>
      <c r="AK82" s="507">
        <f>Port[[#This Row],[ECL_Interest (CNY)]]*Port[[#This Row],[CNY -&gt; THB]]</f>
        <v>39.348000094508556</v>
      </c>
      <c r="AL82" s="507">
        <f>Port[[#This Row],[EAD (THB)]]*Port[[#This Row],[PD_avg]]</f>
        <v>110903.27248076108</v>
      </c>
      <c r="AM82" s="507">
        <f>Port[[#This Row],[EAD_Interest (THB)]]*Port[[#This Row],[PD_avg]]</f>
        <v>43.720000105009511</v>
      </c>
      <c r="AN82" s="507">
        <f>Port[[#This Row],[EAD (THB)]]*Port[[#This Row],[LGD_avg]]</f>
        <v>3246446.1183739202</v>
      </c>
      <c r="AO82" s="507">
        <f>Port[[#This Row],[EAD_Interest (THB)]]*Port[[#This Row],[LGD_avg]]</f>
        <v>1279.80555903648</v>
      </c>
      <c r="AP82" s="507">
        <f>Port[[#This Row],[EAD_Drawn (THB)]]+Port[[#This Row],[EAD_Interest (THB)]]</f>
        <v>3608584.3599255071</v>
      </c>
      <c r="AQ8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54107.435306231993</v>
      </c>
      <c r="AR82" s="522">
        <f>MAX(Port[[#This Row],[ECL (THB)]]+Port[[#This Row],[ECL_Interest (THB)]], Port[[#This Row],[ECL CBIRC (THB)]])</f>
        <v>99852.293232779499</v>
      </c>
    </row>
    <row r="83" spans="1:44">
      <c r="A83" s="2" t="s">
        <v>906</v>
      </c>
      <c r="B83" s="2" t="s">
        <v>29</v>
      </c>
      <c r="C83" s="2" t="s">
        <v>17</v>
      </c>
      <c r="D83" s="2" t="s">
        <v>30</v>
      </c>
      <c r="E83" s="2" t="s">
        <v>19</v>
      </c>
      <c r="F83" s="2" t="s">
        <v>20</v>
      </c>
      <c r="G83" s="2" t="s">
        <v>57</v>
      </c>
      <c r="H83">
        <v>1</v>
      </c>
      <c r="I83" s="2" t="s">
        <v>526</v>
      </c>
      <c r="J83" s="505">
        <v>3.0745295499522811E-2</v>
      </c>
      <c r="K83" s="505">
        <v>0.90000000000000013</v>
      </c>
      <c r="L83" s="3">
        <v>0.15684552284455039</v>
      </c>
      <c r="M83" s="3">
        <v>5.2488000000000001</v>
      </c>
      <c r="N83" s="507">
        <v>687235.62599999993</v>
      </c>
      <c r="O83" s="507">
        <v>0</v>
      </c>
      <c r="P83" s="507">
        <v>687235.62599999993</v>
      </c>
      <c r="Q83" s="507">
        <v>269.39177999999998</v>
      </c>
      <c r="R83" s="507">
        <v>19016.336159252587</v>
      </c>
      <c r="S83" s="507">
        <v>0</v>
      </c>
      <c r="T83" s="507">
        <v>19016.336159252587</v>
      </c>
      <c r="U83" s="507">
        <v>7.4542768931181964</v>
      </c>
      <c r="V83" s="507">
        <f>Port[[#This Row],[EAD_Drawn (CNY)]]*Port[[#This Row],[CNY -&gt; FCY]]</f>
        <v>107789.83107737187</v>
      </c>
      <c r="W83" s="507">
        <f>Port[[#This Row],[EAD_Undrawn (CNY)]]*Port[[#This Row],[CNY -&gt; FCY]]</f>
        <v>0</v>
      </c>
      <c r="X83" s="507">
        <f>Port[[#This Row],[EAD (CNY)]]*Port[[#This Row],[CNY -&gt; FCY]]</f>
        <v>107789.83107737187</v>
      </c>
      <c r="Y83" s="507">
        <f>Port[[#This Row],[EAD_Interest (CNY)]]*Port[[#This Row],[CNY -&gt; FCY]]</f>
        <v>42.252894584124093</v>
      </c>
      <c r="Z83" s="507">
        <f>Port[[#This Row],[ECL_Drawn (CNY)]]*Port[[#This Row],[CNY -&gt; FCY]]</f>
        <v>2982.6271874857011</v>
      </c>
      <c r="AA83" s="507">
        <f>Port[[#This Row],[ECL_Undrawn (CNY)]]*Port[[#This Row],[CNY -&gt; FCY]]</f>
        <v>0</v>
      </c>
      <c r="AB83" s="507">
        <f>Port[[#This Row],[ECL (CNY)]]*Port[[#This Row],[CNY -&gt; FCY]]</f>
        <v>2982.6271874857011</v>
      </c>
      <c r="AC83" s="507">
        <f>Port[[#This Row],[ECL_Interest (CNY)]]*Port[[#This Row],[CNY -&gt; FCY]]</f>
        <v>1.1691699567291742</v>
      </c>
      <c r="AD83" s="507">
        <f>Port[[#This Row],[EAD_Drawn (CNY)]]*Port[[#This Row],[CNY -&gt; THB]]</f>
        <v>3607162.3537487998</v>
      </c>
      <c r="AE83" s="507">
        <f>Port[[#This Row],[EAD_Undrawn (CNY)]]*Port[[#This Row],[CNY -&gt; THB]]</f>
        <v>0</v>
      </c>
      <c r="AF83" s="507">
        <f>Port[[#This Row],[EAD (CNY)]]*Port[[#This Row],[CNY -&gt; THB]]</f>
        <v>3607162.3537487998</v>
      </c>
      <c r="AG83" s="507">
        <f>Port[[#This Row],[EAD_Interest (CNY)]]*Port[[#This Row],[CNY -&gt; THB]]</f>
        <v>1413.983574864</v>
      </c>
      <c r="AH83" s="507">
        <f>Port[[#This Row],[ECL_Drawn (CNY)]]*Port[[#This Row],[CNY -&gt; THB]]</f>
        <v>99812.945232684986</v>
      </c>
      <c r="AI83" s="507">
        <f>Port[[#This Row],[ECL_Undrawn (CNY)]]*Port[[#This Row],[CNY -&gt; THB]]</f>
        <v>0</v>
      </c>
      <c r="AJ83" s="507">
        <f>Port[[#This Row],[ECL (CNY)]]*Port[[#This Row],[CNY -&gt; THB]]</f>
        <v>99812.945232684986</v>
      </c>
      <c r="AK83" s="507">
        <f>Port[[#This Row],[ECL_Interest (CNY)]]*Port[[#This Row],[CNY -&gt; THB]]</f>
        <v>39.126008556598791</v>
      </c>
      <c r="AL83" s="507">
        <f>Port[[#This Row],[EAD (THB)]]*Port[[#This Row],[PD_avg]]</f>
        <v>110903.27248076108</v>
      </c>
      <c r="AM83" s="507">
        <f>Port[[#This Row],[EAD_Interest (THB)]]*Port[[#This Row],[PD_avg]]</f>
        <v>43.473342840665318</v>
      </c>
      <c r="AN83" s="507">
        <f>Port[[#This Row],[EAD (THB)]]*Port[[#This Row],[LGD_avg]]</f>
        <v>3246446.1183739202</v>
      </c>
      <c r="AO83" s="507">
        <f>Port[[#This Row],[EAD_Interest (THB)]]*Port[[#This Row],[LGD_avg]]</f>
        <v>1272.5852173776002</v>
      </c>
      <c r="AP83" s="507">
        <f>Port[[#This Row],[EAD_Drawn (THB)]]+Port[[#This Row],[EAD_Interest (THB)]]</f>
        <v>3608576.3373236638</v>
      </c>
      <c r="AQ8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54107.435306231993</v>
      </c>
      <c r="AR83" s="522">
        <f>MAX(Port[[#This Row],[ECL (THB)]]+Port[[#This Row],[ECL_Interest (THB)]], Port[[#This Row],[ECL CBIRC (THB)]])</f>
        <v>99852.071241241589</v>
      </c>
    </row>
    <row r="84" spans="1:44">
      <c r="A84" s="2" t="s">
        <v>907</v>
      </c>
      <c r="B84" s="2" t="s">
        <v>29</v>
      </c>
      <c r="C84" s="2" t="s">
        <v>17</v>
      </c>
      <c r="D84" s="2" t="s">
        <v>30</v>
      </c>
      <c r="E84" s="2" t="s">
        <v>19</v>
      </c>
      <c r="F84" s="2" t="s">
        <v>20</v>
      </c>
      <c r="G84" s="2" t="s">
        <v>57</v>
      </c>
      <c r="H84">
        <v>1</v>
      </c>
      <c r="I84" s="2" t="s">
        <v>526</v>
      </c>
      <c r="J84" s="505">
        <v>3.0745295499522811E-2</v>
      </c>
      <c r="K84" s="505">
        <v>0.9</v>
      </c>
      <c r="L84" s="3">
        <v>0.15684552284455039</v>
      </c>
      <c r="M84" s="3">
        <v>5.2488000000000001</v>
      </c>
      <c r="N84" s="507">
        <v>191058</v>
      </c>
      <c r="O84" s="507">
        <v>0</v>
      </c>
      <c r="P84" s="507">
        <v>191058</v>
      </c>
      <c r="Q84" s="507">
        <v>79.86224399999999</v>
      </c>
      <c r="R84" s="507">
        <v>5286.7212007930466</v>
      </c>
      <c r="S84" s="507">
        <v>0</v>
      </c>
      <c r="T84" s="507">
        <v>5286.7212007930466</v>
      </c>
      <c r="U84" s="507">
        <v>2.2098494619314932</v>
      </c>
      <c r="V84" s="507">
        <f>Port[[#This Row],[EAD_Drawn (CNY)]]*Port[[#This Row],[CNY -&gt; FCY]]</f>
        <v>29966.591903634107</v>
      </c>
      <c r="W84" s="507">
        <f>Port[[#This Row],[EAD_Undrawn (CNY)]]*Port[[#This Row],[CNY -&gt; FCY]]</f>
        <v>0</v>
      </c>
      <c r="X84" s="507">
        <f>Port[[#This Row],[EAD (CNY)]]*Port[[#This Row],[CNY -&gt; FCY]]</f>
        <v>29966.591903634107</v>
      </c>
      <c r="Y84" s="507">
        <f>Port[[#This Row],[EAD_Interest (CNY)]]*Port[[#This Row],[CNY -&gt; FCY]]</f>
        <v>12.526035415719056</v>
      </c>
      <c r="Z84" s="507">
        <f>Port[[#This Row],[ECL_Drawn (CNY)]]*Port[[#This Row],[CNY -&gt; FCY]]</f>
        <v>829.19855087175461</v>
      </c>
      <c r="AA84" s="507">
        <f>Port[[#This Row],[ECL_Undrawn (CNY)]]*Port[[#This Row],[CNY -&gt; FCY]]</f>
        <v>0</v>
      </c>
      <c r="AB84" s="507">
        <f>Port[[#This Row],[ECL (CNY)]]*Port[[#This Row],[CNY -&gt; FCY]]</f>
        <v>829.19855087175461</v>
      </c>
      <c r="AC84" s="507">
        <f>Port[[#This Row],[ECL_Interest (CNY)]]*Port[[#This Row],[CNY -&gt; FCY]]</f>
        <v>0.3466049942643934</v>
      </c>
      <c r="AD84" s="507">
        <f>Port[[#This Row],[EAD_Drawn (CNY)]]*Port[[#This Row],[CNY -&gt; THB]]</f>
        <v>1002825.2304</v>
      </c>
      <c r="AE84" s="507">
        <f>Port[[#This Row],[EAD_Undrawn (CNY)]]*Port[[#This Row],[CNY -&gt; THB]]</f>
        <v>0</v>
      </c>
      <c r="AF84" s="507">
        <f>Port[[#This Row],[EAD (CNY)]]*Port[[#This Row],[CNY -&gt; THB]]</f>
        <v>1002825.2304</v>
      </c>
      <c r="AG84" s="507">
        <f>Port[[#This Row],[EAD_Interest (CNY)]]*Port[[#This Row],[CNY -&gt; THB]]</f>
        <v>419.18094630719997</v>
      </c>
      <c r="AH84" s="507">
        <f>Port[[#This Row],[ECL_Drawn (CNY)]]*Port[[#This Row],[CNY -&gt; THB]]</f>
        <v>27748.942238722542</v>
      </c>
      <c r="AI84" s="507">
        <f>Port[[#This Row],[ECL_Undrawn (CNY)]]*Port[[#This Row],[CNY -&gt; THB]]</f>
        <v>0</v>
      </c>
      <c r="AJ84" s="507">
        <f>Port[[#This Row],[ECL (CNY)]]*Port[[#This Row],[CNY -&gt; THB]]</f>
        <v>27748.942238722542</v>
      </c>
      <c r="AK84" s="507">
        <f>Port[[#This Row],[ECL_Interest (CNY)]]*Port[[#This Row],[CNY -&gt; THB]]</f>
        <v>11.599057855786022</v>
      </c>
      <c r="AL84" s="507">
        <f>Port[[#This Row],[EAD (THB)]]*Port[[#This Row],[PD_avg]]</f>
        <v>30832.158043025047</v>
      </c>
      <c r="AM84" s="507">
        <f>Port[[#This Row],[EAD_Interest (THB)]]*Port[[#This Row],[PD_avg]]</f>
        <v>12.887842061984468</v>
      </c>
      <c r="AN84" s="507">
        <f>Port[[#This Row],[EAD (THB)]]*Port[[#This Row],[LGD_avg]]</f>
        <v>902542.70736</v>
      </c>
      <c r="AO84" s="507">
        <f>Port[[#This Row],[EAD_Interest (THB)]]*Port[[#This Row],[LGD_avg]]</f>
        <v>377.26285167648001</v>
      </c>
      <c r="AP84" s="507">
        <f>Port[[#This Row],[EAD_Drawn (THB)]]+Port[[#This Row],[EAD_Interest (THB)]]</f>
        <v>1003244.4113463073</v>
      </c>
      <c r="AQ8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15042.378455999999</v>
      </c>
      <c r="AR84" s="522">
        <f>MAX(Port[[#This Row],[ECL (THB)]]+Port[[#This Row],[ECL_Interest (THB)]], Port[[#This Row],[ECL CBIRC (THB)]])</f>
        <v>27760.541296578329</v>
      </c>
    </row>
    <row r="85" spans="1:44">
      <c r="A85" s="2" t="s">
        <v>59</v>
      </c>
      <c r="B85" s="2" t="s">
        <v>60</v>
      </c>
      <c r="C85" s="2" t="s">
        <v>17</v>
      </c>
      <c r="D85" s="2" t="s">
        <v>30</v>
      </c>
      <c r="E85" s="2" t="s">
        <v>19</v>
      </c>
      <c r="F85" s="2" t="s">
        <v>20</v>
      </c>
      <c r="G85" s="2" t="s">
        <v>21</v>
      </c>
      <c r="H85">
        <v>1</v>
      </c>
      <c r="I85" s="2" t="s">
        <v>526</v>
      </c>
      <c r="J85" s="505">
        <v>1.3043899345507868E-2</v>
      </c>
      <c r="K85" s="505">
        <v>0.89994211621172848</v>
      </c>
      <c r="L85" s="3">
        <v>1</v>
      </c>
      <c r="M85" s="3">
        <v>5.2488000000000001</v>
      </c>
      <c r="N85" s="507">
        <v>1813081.2</v>
      </c>
      <c r="O85" s="507">
        <v>0</v>
      </c>
      <c r="P85" s="507">
        <v>1813081.2</v>
      </c>
      <c r="Q85" s="507">
        <v>1882.94</v>
      </c>
      <c r="R85" s="507">
        <v>21283.314878972582</v>
      </c>
      <c r="S85" s="507">
        <v>0</v>
      </c>
      <c r="T85" s="507">
        <v>21283.314878972582</v>
      </c>
      <c r="U85" s="507">
        <v>22.103370173499478</v>
      </c>
      <c r="V85" s="507">
        <f>Port[[#This Row],[EAD_Drawn (CNY)]]*Port[[#This Row],[CNY -&gt; FCY]]</f>
        <v>1813081.2</v>
      </c>
      <c r="W85" s="507">
        <f>Port[[#This Row],[EAD_Undrawn (CNY)]]*Port[[#This Row],[CNY -&gt; FCY]]</f>
        <v>0</v>
      </c>
      <c r="X85" s="507">
        <f>Port[[#This Row],[EAD (CNY)]]*Port[[#This Row],[CNY -&gt; FCY]]</f>
        <v>1813081.2</v>
      </c>
      <c r="Y85" s="507">
        <f>Port[[#This Row],[EAD_Interest (CNY)]]*Port[[#This Row],[CNY -&gt; FCY]]</f>
        <v>1882.94</v>
      </c>
      <c r="Z85" s="507">
        <f>Port[[#This Row],[ECL_Drawn (CNY)]]*Port[[#This Row],[CNY -&gt; FCY]]</f>
        <v>21283.314878972582</v>
      </c>
      <c r="AA85" s="507">
        <f>Port[[#This Row],[ECL_Undrawn (CNY)]]*Port[[#This Row],[CNY -&gt; FCY]]</f>
        <v>0</v>
      </c>
      <c r="AB85" s="507">
        <f>Port[[#This Row],[ECL (CNY)]]*Port[[#This Row],[CNY -&gt; FCY]]</f>
        <v>21283.314878972582</v>
      </c>
      <c r="AC85" s="507">
        <f>Port[[#This Row],[ECL_Interest (CNY)]]*Port[[#This Row],[CNY -&gt; FCY]]</f>
        <v>22.103370173499478</v>
      </c>
      <c r="AD85" s="507">
        <f>Port[[#This Row],[EAD_Drawn (CNY)]]*Port[[#This Row],[CNY -&gt; THB]]</f>
        <v>9516500.6025600005</v>
      </c>
      <c r="AE85" s="507">
        <f>Port[[#This Row],[EAD_Undrawn (CNY)]]*Port[[#This Row],[CNY -&gt; THB]]</f>
        <v>0</v>
      </c>
      <c r="AF85" s="507">
        <f>Port[[#This Row],[EAD (CNY)]]*Port[[#This Row],[CNY -&gt; THB]]</f>
        <v>9516500.6025600005</v>
      </c>
      <c r="AG85" s="507">
        <f>Port[[#This Row],[EAD_Interest (CNY)]]*Port[[#This Row],[CNY -&gt; THB]]</f>
        <v>9883.1754720000008</v>
      </c>
      <c r="AH85" s="507">
        <f>Port[[#This Row],[ECL_Drawn (CNY)]]*Port[[#This Row],[CNY -&gt; THB]]</f>
        <v>111711.86313675129</v>
      </c>
      <c r="AI85" s="507">
        <f>Port[[#This Row],[ECL_Undrawn (CNY)]]*Port[[#This Row],[CNY -&gt; THB]]</f>
        <v>0</v>
      </c>
      <c r="AJ85" s="507">
        <f>Port[[#This Row],[ECL (CNY)]]*Port[[#This Row],[CNY -&gt; THB]]</f>
        <v>111711.86313675129</v>
      </c>
      <c r="AK85" s="507">
        <f>Port[[#This Row],[ECL_Interest (CNY)]]*Port[[#This Row],[CNY -&gt; THB]]</f>
        <v>116.01616936666406</v>
      </c>
      <c r="AL85" s="507">
        <f>Port[[#This Row],[EAD (THB)]]*Port[[#This Row],[PD_avg]]</f>
        <v>124132.27598125763</v>
      </c>
      <c r="AM85" s="507">
        <f>Port[[#This Row],[EAD_Interest (THB)]]*Port[[#This Row],[PD_avg]]</f>
        <v>128.91514607076022</v>
      </c>
      <c r="AN85" s="507">
        <f>Port[[#This Row],[EAD (THB)]]*Port[[#This Row],[LGD_avg]]</f>
        <v>8564299.6911980361</v>
      </c>
      <c r="AO85" s="507">
        <f>Port[[#This Row],[EAD_Interest (THB)]]*Port[[#This Row],[LGD_avg]]</f>
        <v>8894.2858491635288</v>
      </c>
      <c r="AP85" s="507">
        <f>Port[[#This Row],[EAD_Drawn (THB)]]+Port[[#This Row],[EAD_Interest (THB)]]</f>
        <v>9526383.7780320011</v>
      </c>
      <c r="AQ8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142747.50903839999</v>
      </c>
      <c r="AR85" s="522">
        <f>MAX(Port[[#This Row],[ECL (THB)]]+Port[[#This Row],[ECL_Interest (THB)]], Port[[#This Row],[ECL CBIRC (THB)]])</f>
        <v>142747.50903839999</v>
      </c>
    </row>
    <row r="86" spans="1:44">
      <c r="A86" s="2" t="s">
        <v>61</v>
      </c>
      <c r="B86" s="2" t="s">
        <v>60</v>
      </c>
      <c r="C86" s="2" t="s">
        <v>17</v>
      </c>
      <c r="D86" s="2" t="s">
        <v>30</v>
      </c>
      <c r="E86" s="2" t="s">
        <v>19</v>
      </c>
      <c r="F86" s="2" t="s">
        <v>20</v>
      </c>
      <c r="G86" s="2" t="s">
        <v>21</v>
      </c>
      <c r="H86">
        <v>1</v>
      </c>
      <c r="I86" s="2" t="s">
        <v>526</v>
      </c>
      <c r="J86" s="505">
        <v>1.3043899345507868E-2</v>
      </c>
      <c r="K86" s="505">
        <v>0.89999542775488839</v>
      </c>
      <c r="L86" s="3">
        <v>1</v>
      </c>
      <c r="M86" s="3">
        <v>5.2488000000000001</v>
      </c>
      <c r="N86" s="507">
        <v>22953277</v>
      </c>
      <c r="O86" s="507">
        <v>0</v>
      </c>
      <c r="P86" s="507">
        <v>22953277</v>
      </c>
      <c r="Q86" s="507">
        <v>23837.62</v>
      </c>
      <c r="R86" s="507">
        <v>269458.84242254461</v>
      </c>
      <c r="S86" s="507">
        <v>0</v>
      </c>
      <c r="T86" s="507">
        <v>269458.84242254461</v>
      </c>
      <c r="U86" s="507">
        <v>279.84054265142606</v>
      </c>
      <c r="V86" s="507">
        <f>Port[[#This Row],[EAD_Drawn (CNY)]]*Port[[#This Row],[CNY -&gt; FCY]]</f>
        <v>22953277</v>
      </c>
      <c r="W86" s="507">
        <f>Port[[#This Row],[EAD_Undrawn (CNY)]]*Port[[#This Row],[CNY -&gt; FCY]]</f>
        <v>0</v>
      </c>
      <c r="X86" s="507">
        <f>Port[[#This Row],[EAD (CNY)]]*Port[[#This Row],[CNY -&gt; FCY]]</f>
        <v>22953277</v>
      </c>
      <c r="Y86" s="507">
        <f>Port[[#This Row],[EAD_Interest (CNY)]]*Port[[#This Row],[CNY -&gt; FCY]]</f>
        <v>23837.62</v>
      </c>
      <c r="Z86" s="507">
        <f>Port[[#This Row],[ECL_Drawn (CNY)]]*Port[[#This Row],[CNY -&gt; FCY]]</f>
        <v>269458.84242254461</v>
      </c>
      <c r="AA86" s="507">
        <f>Port[[#This Row],[ECL_Undrawn (CNY)]]*Port[[#This Row],[CNY -&gt; FCY]]</f>
        <v>0</v>
      </c>
      <c r="AB86" s="507">
        <f>Port[[#This Row],[ECL (CNY)]]*Port[[#This Row],[CNY -&gt; FCY]]</f>
        <v>269458.84242254461</v>
      </c>
      <c r="AC86" s="507">
        <f>Port[[#This Row],[ECL_Interest (CNY)]]*Port[[#This Row],[CNY -&gt; FCY]]</f>
        <v>279.84054265142606</v>
      </c>
      <c r="AD86" s="507">
        <f>Port[[#This Row],[EAD_Drawn (CNY)]]*Port[[#This Row],[CNY -&gt; THB]]</f>
        <v>120477160.3176</v>
      </c>
      <c r="AE86" s="507">
        <f>Port[[#This Row],[EAD_Undrawn (CNY)]]*Port[[#This Row],[CNY -&gt; THB]]</f>
        <v>0</v>
      </c>
      <c r="AF86" s="507">
        <f>Port[[#This Row],[EAD (CNY)]]*Port[[#This Row],[CNY -&gt; THB]]</f>
        <v>120477160.3176</v>
      </c>
      <c r="AG86" s="507">
        <f>Port[[#This Row],[EAD_Interest (CNY)]]*Port[[#This Row],[CNY -&gt; THB]]</f>
        <v>125118.899856</v>
      </c>
      <c r="AH86" s="507">
        <f>Port[[#This Row],[ECL_Drawn (CNY)]]*Port[[#This Row],[CNY -&gt; THB]]</f>
        <v>1414335.5721074522</v>
      </c>
      <c r="AI86" s="507">
        <f>Port[[#This Row],[ECL_Undrawn (CNY)]]*Port[[#This Row],[CNY -&gt; THB]]</f>
        <v>0</v>
      </c>
      <c r="AJ86" s="507">
        <f>Port[[#This Row],[ECL (CNY)]]*Port[[#This Row],[CNY -&gt; THB]]</f>
        <v>1414335.5721074522</v>
      </c>
      <c r="AK86" s="507">
        <f>Port[[#This Row],[ECL_Interest (CNY)]]*Port[[#This Row],[CNY -&gt; THB]]</f>
        <v>1468.8270402688051</v>
      </c>
      <c r="AL86" s="507">
        <f>Port[[#This Row],[EAD (THB)]]*Port[[#This Row],[PD_avg]]</f>
        <v>1571491.9526153891</v>
      </c>
      <c r="AM86" s="507">
        <f>Port[[#This Row],[EAD_Interest (THB)]]*Port[[#This Row],[PD_avg]]</f>
        <v>1632.0383359423429</v>
      </c>
      <c r="AN86" s="507">
        <f>Port[[#This Row],[EAD (THB)]]*Port[[#This Row],[LGD_avg]]</f>
        <v>108428893.43473268</v>
      </c>
      <c r="AO86" s="507">
        <f>Port[[#This Row],[EAD_Interest (THB)]]*Port[[#This Row],[LGD_avg]]</f>
        <v>112606.43779612177</v>
      </c>
      <c r="AP86" s="507">
        <f>Port[[#This Row],[EAD_Drawn (THB)]]+Port[[#This Row],[EAD_Interest (THB)]]</f>
        <v>120602279.217456</v>
      </c>
      <c r="AQ8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1807157.4047639999</v>
      </c>
      <c r="AR86" s="522">
        <f>MAX(Port[[#This Row],[ECL (THB)]]+Port[[#This Row],[ECL_Interest (THB)]], Port[[#This Row],[ECL CBIRC (THB)]])</f>
        <v>1807157.4047639999</v>
      </c>
    </row>
    <row r="87" spans="1:44">
      <c r="A87" s="2" t="s">
        <v>62</v>
      </c>
      <c r="B87" s="2" t="s">
        <v>60</v>
      </c>
      <c r="C87" s="2" t="s">
        <v>17</v>
      </c>
      <c r="D87" s="2" t="s">
        <v>30</v>
      </c>
      <c r="E87" s="2" t="s">
        <v>19</v>
      </c>
      <c r="F87" s="2" t="s">
        <v>20</v>
      </c>
      <c r="G87" s="2" t="s">
        <v>21</v>
      </c>
      <c r="H87">
        <v>1</v>
      </c>
      <c r="I87" s="2" t="s">
        <v>526</v>
      </c>
      <c r="J87" s="505">
        <v>1.3043899345507868E-2</v>
      </c>
      <c r="K87" s="505">
        <v>0.89999275661171574</v>
      </c>
      <c r="L87" s="3">
        <v>1</v>
      </c>
      <c r="M87" s="3">
        <v>5.2488000000000001</v>
      </c>
      <c r="N87" s="507">
        <v>14488800.609999999</v>
      </c>
      <c r="O87" s="507">
        <v>0</v>
      </c>
      <c r="P87" s="507">
        <v>14488800.609999999</v>
      </c>
      <c r="Q87" s="507">
        <v>15047.02</v>
      </c>
      <c r="R87" s="507">
        <v>170090.04218331509</v>
      </c>
      <c r="S87" s="507">
        <v>0</v>
      </c>
      <c r="T87" s="507">
        <v>170090.04218331509</v>
      </c>
      <c r="U87" s="507">
        <v>176.64321122389896</v>
      </c>
      <c r="V87" s="507">
        <f>Port[[#This Row],[EAD_Drawn (CNY)]]*Port[[#This Row],[CNY -&gt; FCY]]</f>
        <v>14488800.609999999</v>
      </c>
      <c r="W87" s="507">
        <f>Port[[#This Row],[EAD_Undrawn (CNY)]]*Port[[#This Row],[CNY -&gt; FCY]]</f>
        <v>0</v>
      </c>
      <c r="X87" s="507">
        <f>Port[[#This Row],[EAD (CNY)]]*Port[[#This Row],[CNY -&gt; FCY]]</f>
        <v>14488800.609999999</v>
      </c>
      <c r="Y87" s="507">
        <f>Port[[#This Row],[EAD_Interest (CNY)]]*Port[[#This Row],[CNY -&gt; FCY]]</f>
        <v>15047.02</v>
      </c>
      <c r="Z87" s="507">
        <f>Port[[#This Row],[ECL_Drawn (CNY)]]*Port[[#This Row],[CNY -&gt; FCY]]</f>
        <v>170090.04218331509</v>
      </c>
      <c r="AA87" s="507">
        <f>Port[[#This Row],[ECL_Undrawn (CNY)]]*Port[[#This Row],[CNY -&gt; FCY]]</f>
        <v>0</v>
      </c>
      <c r="AB87" s="507">
        <f>Port[[#This Row],[ECL (CNY)]]*Port[[#This Row],[CNY -&gt; FCY]]</f>
        <v>170090.04218331509</v>
      </c>
      <c r="AC87" s="507">
        <f>Port[[#This Row],[ECL_Interest (CNY)]]*Port[[#This Row],[CNY -&gt; FCY]]</f>
        <v>176.64321122389896</v>
      </c>
      <c r="AD87" s="507">
        <f>Port[[#This Row],[EAD_Drawn (CNY)]]*Port[[#This Row],[CNY -&gt; THB]]</f>
        <v>76048816.641767994</v>
      </c>
      <c r="AE87" s="507">
        <f>Port[[#This Row],[EAD_Undrawn (CNY)]]*Port[[#This Row],[CNY -&gt; THB]]</f>
        <v>0</v>
      </c>
      <c r="AF87" s="507">
        <f>Port[[#This Row],[EAD (CNY)]]*Port[[#This Row],[CNY -&gt; THB]]</f>
        <v>76048816.641767994</v>
      </c>
      <c r="AG87" s="507">
        <f>Port[[#This Row],[EAD_Interest (CNY)]]*Port[[#This Row],[CNY -&gt; THB]]</f>
        <v>78978.798576000001</v>
      </c>
      <c r="AH87" s="507">
        <f>Port[[#This Row],[ECL_Drawn (CNY)]]*Port[[#This Row],[CNY -&gt; THB]]</f>
        <v>892768.61341178429</v>
      </c>
      <c r="AI87" s="507">
        <f>Port[[#This Row],[ECL_Undrawn (CNY)]]*Port[[#This Row],[CNY -&gt; THB]]</f>
        <v>0</v>
      </c>
      <c r="AJ87" s="507">
        <f>Port[[#This Row],[ECL (CNY)]]*Port[[#This Row],[CNY -&gt; THB]]</f>
        <v>892768.61341178429</v>
      </c>
      <c r="AK87" s="507">
        <f>Port[[#This Row],[ECL_Interest (CNY)]]*Port[[#This Row],[CNY -&gt; THB]]</f>
        <v>927.16488707200085</v>
      </c>
      <c r="AL87" s="507">
        <f>Port[[#This Row],[EAD (THB)]]*Port[[#This Row],[PD_avg]]</f>
        <v>991973.10962020536</v>
      </c>
      <c r="AM87" s="507">
        <f>Port[[#This Row],[EAD_Interest (THB)]]*Port[[#This Row],[PD_avg]]</f>
        <v>1030.1914990544842</v>
      </c>
      <c r="AN87" s="507">
        <f>Port[[#This Row],[EAD (THB)]]*Port[[#This Row],[LGD_avg]]</f>
        <v>68443384.126483694</v>
      </c>
      <c r="AO87" s="507">
        <f>Port[[#This Row],[EAD_Interest (THB)]]*Port[[#This Row],[LGD_avg]]</f>
        <v>71080.346644295685</v>
      </c>
      <c r="AP87" s="507">
        <f>Port[[#This Row],[EAD_Drawn (THB)]]+Port[[#This Row],[EAD_Interest (THB)]]</f>
        <v>76127795.440343991</v>
      </c>
      <c r="AQ8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1140732.2496265199</v>
      </c>
      <c r="AR87" s="522">
        <f>MAX(Port[[#This Row],[ECL (THB)]]+Port[[#This Row],[ECL_Interest (THB)]], Port[[#This Row],[ECL CBIRC (THB)]])</f>
        <v>1140732.2496265199</v>
      </c>
    </row>
    <row r="88" spans="1:44">
      <c r="A88" s="2" t="s">
        <v>63</v>
      </c>
      <c r="B88" s="2" t="s">
        <v>60</v>
      </c>
      <c r="C88" s="2" t="s">
        <v>17</v>
      </c>
      <c r="D88" s="2" t="s">
        <v>30</v>
      </c>
      <c r="E88" s="2" t="s">
        <v>19</v>
      </c>
      <c r="F88" s="2" t="s">
        <v>20</v>
      </c>
      <c r="G88" s="2" t="s">
        <v>21</v>
      </c>
      <c r="H88">
        <v>1</v>
      </c>
      <c r="I88" s="2" t="s">
        <v>526</v>
      </c>
      <c r="J88" s="505">
        <v>1.3043899345507868E-2</v>
      </c>
      <c r="K88" s="505">
        <v>0.89990581396362113</v>
      </c>
      <c r="L88" s="3">
        <v>1</v>
      </c>
      <c r="M88" s="3">
        <v>5.2488000000000001</v>
      </c>
      <c r="N88" s="507">
        <v>1114262.93</v>
      </c>
      <c r="O88" s="507">
        <v>0</v>
      </c>
      <c r="P88" s="507">
        <v>1114262.93</v>
      </c>
      <c r="Q88" s="507">
        <v>1157.19</v>
      </c>
      <c r="R88" s="507">
        <v>13079.531221751522</v>
      </c>
      <c r="S88" s="507">
        <v>0</v>
      </c>
      <c r="T88" s="507">
        <v>13079.531221751522</v>
      </c>
      <c r="U88" s="507">
        <v>13.583421225813055</v>
      </c>
      <c r="V88" s="507">
        <f>Port[[#This Row],[EAD_Drawn (CNY)]]*Port[[#This Row],[CNY -&gt; FCY]]</f>
        <v>1114262.93</v>
      </c>
      <c r="W88" s="507">
        <f>Port[[#This Row],[EAD_Undrawn (CNY)]]*Port[[#This Row],[CNY -&gt; FCY]]</f>
        <v>0</v>
      </c>
      <c r="X88" s="507">
        <f>Port[[#This Row],[EAD (CNY)]]*Port[[#This Row],[CNY -&gt; FCY]]</f>
        <v>1114262.93</v>
      </c>
      <c r="Y88" s="507">
        <f>Port[[#This Row],[EAD_Interest (CNY)]]*Port[[#This Row],[CNY -&gt; FCY]]</f>
        <v>1157.19</v>
      </c>
      <c r="Z88" s="507">
        <f>Port[[#This Row],[ECL_Drawn (CNY)]]*Port[[#This Row],[CNY -&gt; FCY]]</f>
        <v>13079.531221751522</v>
      </c>
      <c r="AA88" s="507">
        <f>Port[[#This Row],[ECL_Undrawn (CNY)]]*Port[[#This Row],[CNY -&gt; FCY]]</f>
        <v>0</v>
      </c>
      <c r="AB88" s="507">
        <f>Port[[#This Row],[ECL (CNY)]]*Port[[#This Row],[CNY -&gt; FCY]]</f>
        <v>13079.531221751522</v>
      </c>
      <c r="AC88" s="507">
        <f>Port[[#This Row],[ECL_Interest (CNY)]]*Port[[#This Row],[CNY -&gt; FCY]]</f>
        <v>13.583421225813055</v>
      </c>
      <c r="AD88" s="507">
        <f>Port[[#This Row],[EAD_Drawn (CNY)]]*Port[[#This Row],[CNY -&gt; THB]]</f>
        <v>5848543.2669839999</v>
      </c>
      <c r="AE88" s="507">
        <f>Port[[#This Row],[EAD_Undrawn (CNY)]]*Port[[#This Row],[CNY -&gt; THB]]</f>
        <v>0</v>
      </c>
      <c r="AF88" s="507">
        <f>Port[[#This Row],[EAD (CNY)]]*Port[[#This Row],[CNY -&gt; THB]]</f>
        <v>5848543.2669839999</v>
      </c>
      <c r="AG88" s="507">
        <f>Port[[#This Row],[EAD_Interest (CNY)]]*Port[[#This Row],[CNY -&gt; THB]]</f>
        <v>6073.8588720000007</v>
      </c>
      <c r="AH88" s="507">
        <f>Port[[#This Row],[ECL_Drawn (CNY)]]*Port[[#This Row],[CNY -&gt; THB]]</f>
        <v>68651.843476729395</v>
      </c>
      <c r="AI88" s="507">
        <f>Port[[#This Row],[ECL_Undrawn (CNY)]]*Port[[#This Row],[CNY -&gt; THB]]</f>
        <v>0</v>
      </c>
      <c r="AJ88" s="507">
        <f>Port[[#This Row],[ECL (CNY)]]*Port[[#This Row],[CNY -&gt; THB]]</f>
        <v>68651.843476729395</v>
      </c>
      <c r="AK88" s="507">
        <f>Port[[#This Row],[ECL_Interest (CNY)]]*Port[[#This Row],[CNY -&gt; THB]]</f>
        <v>71.29666133004757</v>
      </c>
      <c r="AL88" s="507">
        <f>Port[[#This Row],[EAD (THB)]]*Port[[#This Row],[PD_avg]]</f>
        <v>76287.809692387047</v>
      </c>
      <c r="AM88" s="507">
        <f>Port[[#This Row],[EAD_Interest (THB)]]*Port[[#This Row],[PD_avg]]</f>
        <v>79.226803765187967</v>
      </c>
      <c r="AN88" s="507">
        <f>Port[[#This Row],[EAD (THB)]]*Port[[#This Row],[LGD_avg]]</f>
        <v>5263138.0891766921</v>
      </c>
      <c r="AO88" s="507">
        <f>Port[[#This Row],[EAD_Interest (THB)]]*Port[[#This Row],[LGD_avg]]</f>
        <v>5465.9009121073223</v>
      </c>
      <c r="AP88" s="507">
        <f>Port[[#This Row],[EAD_Drawn (THB)]]+Port[[#This Row],[EAD_Interest (THB)]]</f>
        <v>5854617.125856</v>
      </c>
      <c r="AQ8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87728.149004759995</v>
      </c>
      <c r="AR88" s="522">
        <f>MAX(Port[[#This Row],[ECL (THB)]]+Port[[#This Row],[ECL_Interest (THB)]], Port[[#This Row],[ECL CBIRC (THB)]])</f>
        <v>87728.149004759995</v>
      </c>
    </row>
    <row r="89" spans="1:44">
      <c r="A89" s="2" t="s">
        <v>64</v>
      </c>
      <c r="B89" s="2" t="s">
        <v>60</v>
      </c>
      <c r="C89" s="2" t="s">
        <v>17</v>
      </c>
      <c r="D89" s="2" t="s">
        <v>30</v>
      </c>
      <c r="E89" s="2" t="s">
        <v>19</v>
      </c>
      <c r="F89" s="2" t="s">
        <v>20</v>
      </c>
      <c r="G89" s="2" t="s">
        <v>21</v>
      </c>
      <c r="H89">
        <v>1</v>
      </c>
      <c r="I89" s="2" t="s">
        <v>526</v>
      </c>
      <c r="J89" s="505">
        <v>1.3043899345507868E-2</v>
      </c>
      <c r="K89" s="505">
        <v>0.89992478869788561</v>
      </c>
      <c r="L89" s="3">
        <v>1</v>
      </c>
      <c r="M89" s="3">
        <v>5.2488000000000001</v>
      </c>
      <c r="N89" s="507">
        <v>1395375.5</v>
      </c>
      <c r="O89" s="507">
        <v>0</v>
      </c>
      <c r="P89" s="507">
        <v>1395375.5</v>
      </c>
      <c r="Q89" s="507">
        <v>1449.14</v>
      </c>
      <c r="R89" s="507">
        <v>16379.65488281225</v>
      </c>
      <c r="S89" s="507">
        <v>0</v>
      </c>
      <c r="T89" s="507">
        <v>16379.65488281225</v>
      </c>
      <c r="U89" s="507">
        <v>17.010770990947272</v>
      </c>
      <c r="V89" s="507">
        <f>Port[[#This Row],[EAD_Drawn (CNY)]]*Port[[#This Row],[CNY -&gt; FCY]]</f>
        <v>1395375.5</v>
      </c>
      <c r="W89" s="507">
        <f>Port[[#This Row],[EAD_Undrawn (CNY)]]*Port[[#This Row],[CNY -&gt; FCY]]</f>
        <v>0</v>
      </c>
      <c r="X89" s="507">
        <f>Port[[#This Row],[EAD (CNY)]]*Port[[#This Row],[CNY -&gt; FCY]]</f>
        <v>1395375.5</v>
      </c>
      <c r="Y89" s="507">
        <f>Port[[#This Row],[EAD_Interest (CNY)]]*Port[[#This Row],[CNY -&gt; FCY]]</f>
        <v>1449.14</v>
      </c>
      <c r="Z89" s="507">
        <f>Port[[#This Row],[ECL_Drawn (CNY)]]*Port[[#This Row],[CNY -&gt; FCY]]</f>
        <v>16379.65488281225</v>
      </c>
      <c r="AA89" s="507">
        <f>Port[[#This Row],[ECL_Undrawn (CNY)]]*Port[[#This Row],[CNY -&gt; FCY]]</f>
        <v>0</v>
      </c>
      <c r="AB89" s="507">
        <f>Port[[#This Row],[ECL (CNY)]]*Port[[#This Row],[CNY -&gt; FCY]]</f>
        <v>16379.65488281225</v>
      </c>
      <c r="AC89" s="507">
        <f>Port[[#This Row],[ECL_Interest (CNY)]]*Port[[#This Row],[CNY -&gt; FCY]]</f>
        <v>17.010770990947272</v>
      </c>
      <c r="AD89" s="507">
        <f>Port[[#This Row],[EAD_Drawn (CNY)]]*Port[[#This Row],[CNY -&gt; THB]]</f>
        <v>7324046.9243999999</v>
      </c>
      <c r="AE89" s="507">
        <f>Port[[#This Row],[EAD_Undrawn (CNY)]]*Port[[#This Row],[CNY -&gt; THB]]</f>
        <v>0</v>
      </c>
      <c r="AF89" s="507">
        <f>Port[[#This Row],[EAD (CNY)]]*Port[[#This Row],[CNY -&gt; THB]]</f>
        <v>7324046.9243999999</v>
      </c>
      <c r="AG89" s="507">
        <f>Port[[#This Row],[EAD_Interest (CNY)]]*Port[[#This Row],[CNY -&gt; THB]]</f>
        <v>7606.2460320000009</v>
      </c>
      <c r="AH89" s="507">
        <f>Port[[#This Row],[ECL_Drawn (CNY)]]*Port[[#This Row],[CNY -&gt; THB]]</f>
        <v>85973.532548904943</v>
      </c>
      <c r="AI89" s="507">
        <f>Port[[#This Row],[ECL_Undrawn (CNY)]]*Port[[#This Row],[CNY -&gt; THB]]</f>
        <v>0</v>
      </c>
      <c r="AJ89" s="507">
        <f>Port[[#This Row],[ECL (CNY)]]*Port[[#This Row],[CNY -&gt; THB]]</f>
        <v>85973.532548904943</v>
      </c>
      <c r="AK89" s="507">
        <f>Port[[#This Row],[ECL_Interest (CNY)]]*Port[[#This Row],[CNY -&gt; THB]]</f>
        <v>89.286134777284047</v>
      </c>
      <c r="AL89" s="507">
        <f>Port[[#This Row],[EAD (THB)]]*Port[[#This Row],[PD_avg]]</f>
        <v>95534.130883650068</v>
      </c>
      <c r="AM89" s="507">
        <f>Port[[#This Row],[EAD_Interest (THB)]]*Port[[#This Row],[PD_avg]]</f>
        <v>99.215107638576626</v>
      </c>
      <c r="AN89" s="507">
        <f>Port[[#This Row],[EAD (THB)]]*Port[[#This Row],[LGD_avg]]</f>
        <v>6591091.3808540693</v>
      </c>
      <c r="AO89" s="507">
        <f>Port[[#This Row],[EAD_Interest (THB)]]*Port[[#This Row],[LGD_avg]]</f>
        <v>6845.0493531317316</v>
      </c>
      <c r="AP89" s="507">
        <f>Port[[#This Row],[EAD_Drawn (THB)]]+Port[[#This Row],[EAD_Interest (THB)]]</f>
        <v>7331653.1704319995</v>
      </c>
      <c r="AQ8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109860.703866</v>
      </c>
      <c r="AR89" s="522">
        <f>MAX(Port[[#This Row],[ECL (THB)]]+Port[[#This Row],[ECL_Interest (THB)]], Port[[#This Row],[ECL CBIRC (THB)]])</f>
        <v>109860.703866</v>
      </c>
    </row>
    <row r="90" spans="1:44">
      <c r="A90" s="2" t="s">
        <v>65</v>
      </c>
      <c r="B90" s="2" t="s">
        <v>60</v>
      </c>
      <c r="C90" s="2" t="s">
        <v>17</v>
      </c>
      <c r="D90" s="2" t="s">
        <v>30</v>
      </c>
      <c r="E90" s="2" t="s">
        <v>19</v>
      </c>
      <c r="F90" s="2" t="s">
        <v>20</v>
      </c>
      <c r="G90" s="2" t="s">
        <v>21</v>
      </c>
      <c r="H90">
        <v>1</v>
      </c>
      <c r="I90" s="2" t="s">
        <v>526</v>
      </c>
      <c r="J90" s="505">
        <v>1.3043899345507868E-2</v>
      </c>
      <c r="K90" s="505">
        <v>0.899923601223797</v>
      </c>
      <c r="L90" s="3">
        <v>1</v>
      </c>
      <c r="M90" s="3">
        <v>5.2488000000000001</v>
      </c>
      <c r="N90" s="507">
        <v>1373687.04</v>
      </c>
      <c r="O90" s="507">
        <v>0</v>
      </c>
      <c r="P90" s="507">
        <v>1373687.04</v>
      </c>
      <c r="Q90" s="507">
        <v>1426.61</v>
      </c>
      <c r="R90" s="507">
        <v>16125.043002527236</v>
      </c>
      <c r="S90" s="507">
        <v>0</v>
      </c>
      <c r="T90" s="507">
        <v>16125.043002527236</v>
      </c>
      <c r="U90" s="507">
        <v>16.746279849765038</v>
      </c>
      <c r="V90" s="507">
        <f>Port[[#This Row],[EAD_Drawn (CNY)]]*Port[[#This Row],[CNY -&gt; FCY]]</f>
        <v>1373687.04</v>
      </c>
      <c r="W90" s="507">
        <f>Port[[#This Row],[EAD_Undrawn (CNY)]]*Port[[#This Row],[CNY -&gt; FCY]]</f>
        <v>0</v>
      </c>
      <c r="X90" s="507">
        <f>Port[[#This Row],[EAD (CNY)]]*Port[[#This Row],[CNY -&gt; FCY]]</f>
        <v>1373687.04</v>
      </c>
      <c r="Y90" s="507">
        <f>Port[[#This Row],[EAD_Interest (CNY)]]*Port[[#This Row],[CNY -&gt; FCY]]</f>
        <v>1426.61</v>
      </c>
      <c r="Z90" s="507">
        <f>Port[[#This Row],[ECL_Drawn (CNY)]]*Port[[#This Row],[CNY -&gt; FCY]]</f>
        <v>16125.043002527236</v>
      </c>
      <c r="AA90" s="507">
        <f>Port[[#This Row],[ECL_Undrawn (CNY)]]*Port[[#This Row],[CNY -&gt; FCY]]</f>
        <v>0</v>
      </c>
      <c r="AB90" s="507">
        <f>Port[[#This Row],[ECL (CNY)]]*Port[[#This Row],[CNY -&gt; FCY]]</f>
        <v>16125.043002527236</v>
      </c>
      <c r="AC90" s="507">
        <f>Port[[#This Row],[ECL_Interest (CNY)]]*Port[[#This Row],[CNY -&gt; FCY]]</f>
        <v>16.746279849765038</v>
      </c>
      <c r="AD90" s="507">
        <f>Port[[#This Row],[EAD_Drawn (CNY)]]*Port[[#This Row],[CNY -&gt; THB]]</f>
        <v>7210208.5355520006</v>
      </c>
      <c r="AE90" s="507">
        <f>Port[[#This Row],[EAD_Undrawn (CNY)]]*Port[[#This Row],[CNY -&gt; THB]]</f>
        <v>0</v>
      </c>
      <c r="AF90" s="507">
        <f>Port[[#This Row],[EAD (CNY)]]*Port[[#This Row],[CNY -&gt; THB]]</f>
        <v>7210208.5355520006</v>
      </c>
      <c r="AG90" s="507">
        <f>Port[[#This Row],[EAD_Interest (CNY)]]*Port[[#This Row],[CNY -&gt; THB]]</f>
        <v>7487.9905679999993</v>
      </c>
      <c r="AH90" s="507">
        <f>Port[[#This Row],[ECL_Drawn (CNY)]]*Port[[#This Row],[CNY -&gt; THB]]</f>
        <v>84637.125711664965</v>
      </c>
      <c r="AI90" s="507">
        <f>Port[[#This Row],[ECL_Undrawn (CNY)]]*Port[[#This Row],[CNY -&gt; THB]]</f>
        <v>0</v>
      </c>
      <c r="AJ90" s="507">
        <f>Port[[#This Row],[ECL (CNY)]]*Port[[#This Row],[CNY -&gt; THB]]</f>
        <v>84637.125711664965</v>
      </c>
      <c r="AK90" s="507">
        <f>Port[[#This Row],[ECL_Interest (CNY)]]*Port[[#This Row],[CNY -&gt; THB]]</f>
        <v>87.897873675446732</v>
      </c>
      <c r="AL90" s="507">
        <f>Port[[#This Row],[EAD (THB)]]*Port[[#This Row],[PD_avg]]</f>
        <v>94049.23439786199</v>
      </c>
      <c r="AM90" s="507">
        <f>Port[[#This Row],[EAD_Interest (THB)]]*Port[[#This Row],[PD_avg]]</f>
        <v>97.672595269104278</v>
      </c>
      <c r="AN90" s="507">
        <f>Port[[#This Row],[EAD (THB)]]*Port[[#This Row],[LGD_avg]]</f>
        <v>6488636.8308885163</v>
      </c>
      <c r="AO90" s="507">
        <f>Port[[#This Row],[EAD_Interest (THB)]]*Port[[#This Row],[LGD_avg]]</f>
        <v>6738.6194378843848</v>
      </c>
      <c r="AP90" s="507">
        <f>Port[[#This Row],[EAD_Drawn (THB)]]+Port[[#This Row],[EAD_Interest (THB)]]</f>
        <v>7217696.5261200005</v>
      </c>
      <c r="AQ9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108153.12803328001</v>
      </c>
      <c r="AR90" s="522">
        <f>MAX(Port[[#This Row],[ECL (THB)]]+Port[[#This Row],[ECL_Interest (THB)]], Port[[#This Row],[ECL CBIRC (THB)]])</f>
        <v>108153.12803328001</v>
      </c>
    </row>
    <row r="91" spans="1:44">
      <c r="A91" s="2" t="s">
        <v>66</v>
      </c>
      <c r="B91" s="2" t="s">
        <v>60</v>
      </c>
      <c r="C91" s="2" t="s">
        <v>17</v>
      </c>
      <c r="D91" s="2" t="s">
        <v>30</v>
      </c>
      <c r="E91" s="2" t="s">
        <v>19</v>
      </c>
      <c r="F91" s="2" t="s">
        <v>20</v>
      </c>
      <c r="G91" s="2" t="s">
        <v>21</v>
      </c>
      <c r="H91">
        <v>1</v>
      </c>
      <c r="I91" s="2" t="s">
        <v>526</v>
      </c>
      <c r="J91" s="505">
        <v>1.3043899345507868E-2</v>
      </c>
      <c r="K91" s="505">
        <v>0.89988143962675504</v>
      </c>
      <c r="L91" s="3">
        <v>1</v>
      </c>
      <c r="M91" s="3">
        <v>5.2488000000000001</v>
      </c>
      <c r="N91" s="507">
        <v>885186.22</v>
      </c>
      <c r="O91" s="507">
        <v>0</v>
      </c>
      <c r="P91" s="507">
        <v>885186.22</v>
      </c>
      <c r="Q91" s="507">
        <v>919.29</v>
      </c>
      <c r="R91" s="507">
        <v>10390.283028878386</v>
      </c>
      <c r="S91" s="507">
        <v>0</v>
      </c>
      <c r="T91" s="507">
        <v>10390.283028878386</v>
      </c>
      <c r="U91" s="507">
        <v>10.790591933997359</v>
      </c>
      <c r="V91" s="507">
        <f>Port[[#This Row],[EAD_Drawn (CNY)]]*Port[[#This Row],[CNY -&gt; FCY]]</f>
        <v>885186.22</v>
      </c>
      <c r="W91" s="507">
        <f>Port[[#This Row],[EAD_Undrawn (CNY)]]*Port[[#This Row],[CNY -&gt; FCY]]</f>
        <v>0</v>
      </c>
      <c r="X91" s="507">
        <f>Port[[#This Row],[EAD (CNY)]]*Port[[#This Row],[CNY -&gt; FCY]]</f>
        <v>885186.22</v>
      </c>
      <c r="Y91" s="507">
        <f>Port[[#This Row],[EAD_Interest (CNY)]]*Port[[#This Row],[CNY -&gt; FCY]]</f>
        <v>919.29</v>
      </c>
      <c r="Z91" s="507">
        <f>Port[[#This Row],[ECL_Drawn (CNY)]]*Port[[#This Row],[CNY -&gt; FCY]]</f>
        <v>10390.283028878386</v>
      </c>
      <c r="AA91" s="507">
        <f>Port[[#This Row],[ECL_Undrawn (CNY)]]*Port[[#This Row],[CNY -&gt; FCY]]</f>
        <v>0</v>
      </c>
      <c r="AB91" s="507">
        <f>Port[[#This Row],[ECL (CNY)]]*Port[[#This Row],[CNY -&gt; FCY]]</f>
        <v>10390.283028878386</v>
      </c>
      <c r="AC91" s="507">
        <f>Port[[#This Row],[ECL_Interest (CNY)]]*Port[[#This Row],[CNY -&gt; FCY]]</f>
        <v>10.790591933997359</v>
      </c>
      <c r="AD91" s="507">
        <f>Port[[#This Row],[EAD_Drawn (CNY)]]*Port[[#This Row],[CNY -&gt; THB]]</f>
        <v>4646165.4315360002</v>
      </c>
      <c r="AE91" s="507">
        <f>Port[[#This Row],[EAD_Undrawn (CNY)]]*Port[[#This Row],[CNY -&gt; THB]]</f>
        <v>0</v>
      </c>
      <c r="AF91" s="507">
        <f>Port[[#This Row],[EAD (CNY)]]*Port[[#This Row],[CNY -&gt; THB]]</f>
        <v>4646165.4315360002</v>
      </c>
      <c r="AG91" s="507">
        <f>Port[[#This Row],[EAD_Interest (CNY)]]*Port[[#This Row],[CNY -&gt; THB]]</f>
        <v>4825.1693519999999</v>
      </c>
      <c r="AH91" s="507">
        <f>Port[[#This Row],[ECL_Drawn (CNY)]]*Port[[#This Row],[CNY -&gt; THB]]</f>
        <v>54536.517561976878</v>
      </c>
      <c r="AI91" s="507">
        <f>Port[[#This Row],[ECL_Undrawn (CNY)]]*Port[[#This Row],[CNY -&gt; THB]]</f>
        <v>0</v>
      </c>
      <c r="AJ91" s="507">
        <f>Port[[#This Row],[ECL (CNY)]]*Port[[#This Row],[CNY -&gt; THB]]</f>
        <v>54536.517561976878</v>
      </c>
      <c r="AK91" s="507">
        <f>Port[[#This Row],[ECL_Interest (CNY)]]*Port[[#This Row],[CNY -&gt; THB]]</f>
        <v>56.637658943165334</v>
      </c>
      <c r="AL91" s="507">
        <f>Port[[#This Row],[EAD (THB)]]*Port[[#This Row],[PD_avg]]</f>
        <v>60604.114231533713</v>
      </c>
      <c r="AM91" s="507">
        <f>Port[[#This Row],[EAD_Interest (THB)]]*Port[[#This Row],[PD_avg]]</f>
        <v>62.939023352517424</v>
      </c>
      <c r="AN91" s="507">
        <f>Port[[#This Row],[EAD (THB)]]*Port[[#This Row],[LGD_avg]]</f>
        <v>4180998.0372746796</v>
      </c>
      <c r="AO91" s="507">
        <f>Port[[#This Row],[EAD_Interest (THB)]]*Port[[#This Row],[LGD_avg]]</f>
        <v>4342.0803429206562</v>
      </c>
      <c r="AP91" s="507">
        <f>Port[[#This Row],[EAD_Drawn (THB)]]+Port[[#This Row],[EAD_Interest (THB)]]</f>
        <v>4650990.6008879999</v>
      </c>
      <c r="AQ9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69692.481473039996</v>
      </c>
      <c r="AR91" s="522">
        <f>MAX(Port[[#This Row],[ECL (THB)]]+Port[[#This Row],[ECL_Interest (THB)]], Port[[#This Row],[ECL CBIRC (THB)]])</f>
        <v>69692.481473039996</v>
      </c>
    </row>
    <row r="92" spans="1:44">
      <c r="A92" s="2" t="s">
        <v>67</v>
      </c>
      <c r="B92" s="2" t="s">
        <v>60</v>
      </c>
      <c r="C92" s="2" t="s">
        <v>17</v>
      </c>
      <c r="D92" s="2" t="s">
        <v>30</v>
      </c>
      <c r="E92" s="2" t="s">
        <v>19</v>
      </c>
      <c r="F92" s="2" t="s">
        <v>20</v>
      </c>
      <c r="G92" s="2" t="s">
        <v>21</v>
      </c>
      <c r="H92">
        <v>1</v>
      </c>
      <c r="I92" s="2" t="s">
        <v>526</v>
      </c>
      <c r="J92" s="505">
        <v>1.3043899345507868E-2</v>
      </c>
      <c r="K92" s="505">
        <v>0.89977181200969036</v>
      </c>
      <c r="L92" s="3">
        <v>1</v>
      </c>
      <c r="M92" s="3">
        <v>5.2488000000000001</v>
      </c>
      <c r="N92" s="507">
        <v>459919.07</v>
      </c>
      <c r="O92" s="507">
        <v>0</v>
      </c>
      <c r="P92" s="507">
        <v>459919.07</v>
      </c>
      <c r="Q92" s="507">
        <v>477.64</v>
      </c>
      <c r="R92" s="507">
        <v>5397.855319287004</v>
      </c>
      <c r="S92" s="507">
        <v>0</v>
      </c>
      <c r="T92" s="507">
        <v>5397.855319287004</v>
      </c>
      <c r="U92" s="507">
        <v>5.6058375981327417</v>
      </c>
      <c r="V92" s="507">
        <f>Port[[#This Row],[EAD_Drawn (CNY)]]*Port[[#This Row],[CNY -&gt; FCY]]</f>
        <v>459919.07</v>
      </c>
      <c r="W92" s="507">
        <f>Port[[#This Row],[EAD_Undrawn (CNY)]]*Port[[#This Row],[CNY -&gt; FCY]]</f>
        <v>0</v>
      </c>
      <c r="X92" s="507">
        <f>Port[[#This Row],[EAD (CNY)]]*Port[[#This Row],[CNY -&gt; FCY]]</f>
        <v>459919.07</v>
      </c>
      <c r="Y92" s="507">
        <f>Port[[#This Row],[EAD_Interest (CNY)]]*Port[[#This Row],[CNY -&gt; FCY]]</f>
        <v>477.64</v>
      </c>
      <c r="Z92" s="507">
        <f>Port[[#This Row],[ECL_Drawn (CNY)]]*Port[[#This Row],[CNY -&gt; FCY]]</f>
        <v>5397.855319287004</v>
      </c>
      <c r="AA92" s="507">
        <f>Port[[#This Row],[ECL_Undrawn (CNY)]]*Port[[#This Row],[CNY -&gt; FCY]]</f>
        <v>0</v>
      </c>
      <c r="AB92" s="507">
        <f>Port[[#This Row],[ECL (CNY)]]*Port[[#This Row],[CNY -&gt; FCY]]</f>
        <v>5397.855319287004</v>
      </c>
      <c r="AC92" s="507">
        <f>Port[[#This Row],[ECL_Interest (CNY)]]*Port[[#This Row],[CNY -&gt; FCY]]</f>
        <v>5.6058375981327417</v>
      </c>
      <c r="AD92" s="507">
        <f>Port[[#This Row],[EAD_Drawn (CNY)]]*Port[[#This Row],[CNY -&gt; THB]]</f>
        <v>2414023.2146160002</v>
      </c>
      <c r="AE92" s="507">
        <f>Port[[#This Row],[EAD_Undrawn (CNY)]]*Port[[#This Row],[CNY -&gt; THB]]</f>
        <v>0</v>
      </c>
      <c r="AF92" s="507">
        <f>Port[[#This Row],[EAD (CNY)]]*Port[[#This Row],[CNY -&gt; THB]]</f>
        <v>2414023.2146160002</v>
      </c>
      <c r="AG92" s="507">
        <f>Port[[#This Row],[EAD_Interest (CNY)]]*Port[[#This Row],[CNY -&gt; THB]]</f>
        <v>2507.0368319999998</v>
      </c>
      <c r="AH92" s="507">
        <f>Port[[#This Row],[ECL_Drawn (CNY)]]*Port[[#This Row],[CNY -&gt; THB]]</f>
        <v>28332.262999873627</v>
      </c>
      <c r="AI92" s="507">
        <f>Port[[#This Row],[ECL_Undrawn (CNY)]]*Port[[#This Row],[CNY -&gt; THB]]</f>
        <v>0</v>
      </c>
      <c r="AJ92" s="507">
        <f>Port[[#This Row],[ECL (CNY)]]*Port[[#This Row],[CNY -&gt; THB]]</f>
        <v>28332.262999873627</v>
      </c>
      <c r="AK92" s="507">
        <f>Port[[#This Row],[ECL_Interest (CNY)]]*Port[[#This Row],[CNY -&gt; THB]]</f>
        <v>29.423920385079136</v>
      </c>
      <c r="AL92" s="507">
        <f>Port[[#This Row],[EAD (THB)]]*Port[[#This Row],[PD_avg]]</f>
        <v>31488.275829170445</v>
      </c>
      <c r="AM92" s="507">
        <f>Port[[#This Row],[EAD_Interest (THB)]]*Port[[#This Row],[PD_avg]]</f>
        <v>32.701536092088915</v>
      </c>
      <c r="AN92" s="507">
        <f>Port[[#This Row],[EAD (THB)]]*Port[[#This Row],[LGD_avg]]</f>
        <v>2172070.0420484962</v>
      </c>
      <c r="AO92" s="507">
        <f>Port[[#This Row],[EAD_Interest (THB)]]*Port[[#This Row],[LGD_avg]]</f>
        <v>2255.7610731036734</v>
      </c>
      <c r="AP92" s="507">
        <f>Port[[#This Row],[EAD_Drawn (THB)]]+Port[[#This Row],[EAD_Interest (THB)]]</f>
        <v>2416530.2514480003</v>
      </c>
      <c r="AQ9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36210.348219240004</v>
      </c>
      <c r="AR92" s="522">
        <f>MAX(Port[[#This Row],[ECL (THB)]]+Port[[#This Row],[ECL_Interest (THB)]], Port[[#This Row],[ECL CBIRC (THB)]])</f>
        <v>36210.348219240004</v>
      </c>
    </row>
    <row r="93" spans="1:44">
      <c r="A93" s="2" t="s">
        <v>68</v>
      </c>
      <c r="B93" s="2" t="s">
        <v>60</v>
      </c>
      <c r="C93" s="2" t="s">
        <v>17</v>
      </c>
      <c r="D93" s="2" t="s">
        <v>30</v>
      </c>
      <c r="E93" s="2" t="s">
        <v>19</v>
      </c>
      <c r="F93" s="2" t="s">
        <v>20</v>
      </c>
      <c r="G93" s="2" t="s">
        <v>21</v>
      </c>
      <c r="H93">
        <v>1</v>
      </c>
      <c r="I93" s="2" t="s">
        <v>526</v>
      </c>
      <c r="J93" s="505">
        <v>1.3043899345507868E-2</v>
      </c>
      <c r="K93" s="505">
        <v>0.89988796108911673</v>
      </c>
      <c r="L93" s="3">
        <v>1</v>
      </c>
      <c r="M93" s="3">
        <v>5.2488000000000001</v>
      </c>
      <c r="N93" s="507">
        <v>936710.36</v>
      </c>
      <c r="O93" s="507">
        <v>0</v>
      </c>
      <c r="P93" s="507">
        <v>936710.36</v>
      </c>
      <c r="Q93" s="507">
        <v>972.8</v>
      </c>
      <c r="R93" s="507">
        <v>10995.151155300991</v>
      </c>
      <c r="S93" s="507">
        <v>0</v>
      </c>
      <c r="T93" s="507">
        <v>10995.151155300991</v>
      </c>
      <c r="U93" s="507">
        <v>11.418773081443023</v>
      </c>
      <c r="V93" s="507">
        <f>Port[[#This Row],[EAD_Drawn (CNY)]]*Port[[#This Row],[CNY -&gt; FCY]]</f>
        <v>936710.36</v>
      </c>
      <c r="W93" s="507">
        <f>Port[[#This Row],[EAD_Undrawn (CNY)]]*Port[[#This Row],[CNY -&gt; FCY]]</f>
        <v>0</v>
      </c>
      <c r="X93" s="507">
        <f>Port[[#This Row],[EAD (CNY)]]*Port[[#This Row],[CNY -&gt; FCY]]</f>
        <v>936710.36</v>
      </c>
      <c r="Y93" s="507">
        <f>Port[[#This Row],[EAD_Interest (CNY)]]*Port[[#This Row],[CNY -&gt; FCY]]</f>
        <v>972.8</v>
      </c>
      <c r="Z93" s="507">
        <f>Port[[#This Row],[ECL_Drawn (CNY)]]*Port[[#This Row],[CNY -&gt; FCY]]</f>
        <v>10995.151155300991</v>
      </c>
      <c r="AA93" s="507">
        <f>Port[[#This Row],[ECL_Undrawn (CNY)]]*Port[[#This Row],[CNY -&gt; FCY]]</f>
        <v>0</v>
      </c>
      <c r="AB93" s="507">
        <f>Port[[#This Row],[ECL (CNY)]]*Port[[#This Row],[CNY -&gt; FCY]]</f>
        <v>10995.151155300991</v>
      </c>
      <c r="AC93" s="507">
        <f>Port[[#This Row],[ECL_Interest (CNY)]]*Port[[#This Row],[CNY -&gt; FCY]]</f>
        <v>11.418773081443023</v>
      </c>
      <c r="AD93" s="507">
        <f>Port[[#This Row],[EAD_Drawn (CNY)]]*Port[[#This Row],[CNY -&gt; THB]]</f>
        <v>4916605.337568</v>
      </c>
      <c r="AE93" s="507">
        <f>Port[[#This Row],[EAD_Undrawn (CNY)]]*Port[[#This Row],[CNY -&gt; THB]]</f>
        <v>0</v>
      </c>
      <c r="AF93" s="507">
        <f>Port[[#This Row],[EAD (CNY)]]*Port[[#This Row],[CNY -&gt; THB]]</f>
        <v>4916605.337568</v>
      </c>
      <c r="AG93" s="507">
        <f>Port[[#This Row],[EAD_Interest (CNY)]]*Port[[#This Row],[CNY -&gt; THB]]</f>
        <v>5106.0326399999994</v>
      </c>
      <c r="AH93" s="507">
        <f>Port[[#This Row],[ECL_Drawn (CNY)]]*Port[[#This Row],[CNY -&gt; THB]]</f>
        <v>57711.349383943845</v>
      </c>
      <c r="AI93" s="507">
        <f>Port[[#This Row],[ECL_Undrawn (CNY)]]*Port[[#This Row],[CNY -&gt; THB]]</f>
        <v>0</v>
      </c>
      <c r="AJ93" s="507">
        <f>Port[[#This Row],[ECL (CNY)]]*Port[[#This Row],[CNY -&gt; THB]]</f>
        <v>57711.349383943845</v>
      </c>
      <c r="AK93" s="507">
        <f>Port[[#This Row],[ECL_Interest (CNY)]]*Port[[#This Row],[CNY -&gt; THB]]</f>
        <v>59.934856149878136</v>
      </c>
      <c r="AL93" s="507">
        <f>Port[[#This Row],[EAD (THB)]]*Port[[#This Row],[PD_avg]]</f>
        <v>64131.705144823725</v>
      </c>
      <c r="AM93" s="507">
        <f>Port[[#This Row],[EAD_Interest (THB)]]*Port[[#This Row],[PD_avg]]</f>
        <v>66.602575811037809</v>
      </c>
      <c r="AN93" s="507">
        <f>Port[[#This Row],[EAD (THB)]]*Port[[#This Row],[LGD_avg]]</f>
        <v>4424393.952703936</v>
      </c>
      <c r="AO93" s="507">
        <f>Port[[#This Row],[EAD_Interest (THB)]]*Port[[#This Row],[LGD_avg]]</f>
        <v>4594.8573016640794</v>
      </c>
      <c r="AP93" s="507">
        <f>Port[[#This Row],[EAD_Drawn (THB)]]+Port[[#This Row],[EAD_Interest (THB)]]</f>
        <v>4921711.3702079998</v>
      </c>
      <c r="AQ9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73749.080063519999</v>
      </c>
      <c r="AR93" s="522">
        <f>MAX(Port[[#This Row],[ECL (THB)]]+Port[[#This Row],[ECL_Interest (THB)]], Port[[#This Row],[ECL CBIRC (THB)]])</f>
        <v>73749.080063519999</v>
      </c>
    </row>
    <row r="94" spans="1:44">
      <c r="A94" s="2" t="s">
        <v>69</v>
      </c>
      <c r="B94" s="2" t="s">
        <v>60</v>
      </c>
      <c r="C94" s="2" t="s">
        <v>17</v>
      </c>
      <c r="D94" s="2" t="s">
        <v>30</v>
      </c>
      <c r="E94" s="2" t="s">
        <v>19</v>
      </c>
      <c r="F94" s="2" t="s">
        <v>20</v>
      </c>
      <c r="G94" s="2" t="s">
        <v>21</v>
      </c>
      <c r="H94">
        <v>1</v>
      </c>
      <c r="I94" s="2" t="s">
        <v>526</v>
      </c>
      <c r="J94" s="505">
        <v>1.3043899345507868E-2</v>
      </c>
      <c r="K94" s="505">
        <v>0.89999439450831054</v>
      </c>
      <c r="L94" s="3">
        <v>1</v>
      </c>
      <c r="M94" s="3">
        <v>5.2488000000000001</v>
      </c>
      <c r="N94" s="507">
        <v>18722355.57</v>
      </c>
      <c r="O94" s="507">
        <v>0</v>
      </c>
      <c r="P94" s="507">
        <v>18722355.57</v>
      </c>
      <c r="Q94" s="507">
        <v>19443.689999999999</v>
      </c>
      <c r="R94" s="507">
        <v>219789.90047803964</v>
      </c>
      <c r="S94" s="507">
        <v>0</v>
      </c>
      <c r="T94" s="507">
        <v>219789.90047803964</v>
      </c>
      <c r="U94" s="507">
        <v>228.25796006532386</v>
      </c>
      <c r="V94" s="507">
        <f>Port[[#This Row],[EAD_Drawn (CNY)]]*Port[[#This Row],[CNY -&gt; FCY]]</f>
        <v>18722355.57</v>
      </c>
      <c r="W94" s="507">
        <f>Port[[#This Row],[EAD_Undrawn (CNY)]]*Port[[#This Row],[CNY -&gt; FCY]]</f>
        <v>0</v>
      </c>
      <c r="X94" s="507">
        <f>Port[[#This Row],[EAD (CNY)]]*Port[[#This Row],[CNY -&gt; FCY]]</f>
        <v>18722355.57</v>
      </c>
      <c r="Y94" s="507">
        <f>Port[[#This Row],[EAD_Interest (CNY)]]*Port[[#This Row],[CNY -&gt; FCY]]</f>
        <v>19443.689999999999</v>
      </c>
      <c r="Z94" s="507">
        <f>Port[[#This Row],[ECL_Drawn (CNY)]]*Port[[#This Row],[CNY -&gt; FCY]]</f>
        <v>219789.90047803964</v>
      </c>
      <c r="AA94" s="507">
        <f>Port[[#This Row],[ECL_Undrawn (CNY)]]*Port[[#This Row],[CNY -&gt; FCY]]</f>
        <v>0</v>
      </c>
      <c r="AB94" s="507">
        <f>Port[[#This Row],[ECL (CNY)]]*Port[[#This Row],[CNY -&gt; FCY]]</f>
        <v>219789.90047803964</v>
      </c>
      <c r="AC94" s="507">
        <f>Port[[#This Row],[ECL_Interest (CNY)]]*Port[[#This Row],[CNY -&gt; FCY]]</f>
        <v>228.25796006532386</v>
      </c>
      <c r="AD94" s="507">
        <f>Port[[#This Row],[EAD_Drawn (CNY)]]*Port[[#This Row],[CNY -&gt; THB]]</f>
        <v>98269899.915816009</v>
      </c>
      <c r="AE94" s="507">
        <f>Port[[#This Row],[EAD_Undrawn (CNY)]]*Port[[#This Row],[CNY -&gt; THB]]</f>
        <v>0</v>
      </c>
      <c r="AF94" s="507">
        <f>Port[[#This Row],[EAD (CNY)]]*Port[[#This Row],[CNY -&gt; THB]]</f>
        <v>98269899.915816009</v>
      </c>
      <c r="AG94" s="507">
        <f>Port[[#This Row],[EAD_Interest (CNY)]]*Port[[#This Row],[CNY -&gt; THB]]</f>
        <v>102056.04007199999</v>
      </c>
      <c r="AH94" s="507">
        <f>Port[[#This Row],[ECL_Drawn (CNY)]]*Port[[#This Row],[CNY -&gt; THB]]</f>
        <v>1153633.2296291345</v>
      </c>
      <c r="AI94" s="507">
        <f>Port[[#This Row],[ECL_Undrawn (CNY)]]*Port[[#This Row],[CNY -&gt; THB]]</f>
        <v>0</v>
      </c>
      <c r="AJ94" s="507">
        <f>Port[[#This Row],[ECL (CNY)]]*Port[[#This Row],[CNY -&gt; THB]]</f>
        <v>1153633.2296291345</v>
      </c>
      <c r="AK94" s="507">
        <f>Port[[#This Row],[ECL_Interest (CNY)]]*Port[[#This Row],[CNY -&gt; THB]]</f>
        <v>1198.0803807908719</v>
      </c>
      <c r="AL94" s="507">
        <f>Port[[#This Row],[EAD (THB)]]*Port[[#This Row],[PD_avg]]</f>
        <v>1281822.6831950361</v>
      </c>
      <c r="AM94" s="507">
        <f>Port[[#This Row],[EAD_Interest (THB)]]*Port[[#This Row],[PD_avg]]</f>
        <v>1331.2087143002855</v>
      </c>
      <c r="AN94" s="507">
        <f>Port[[#This Row],[EAD (THB)]]*Port[[#This Row],[LGD_avg]]</f>
        <v>88442359.073127106</v>
      </c>
      <c r="AO94" s="507">
        <f>Port[[#This Row],[EAD_Interest (THB)]]*Port[[#This Row],[LGD_avg]]</f>
        <v>91849.8639905155</v>
      </c>
      <c r="AP94" s="507">
        <f>Port[[#This Row],[EAD_Drawn (THB)]]+Port[[#This Row],[EAD_Interest (THB)]]</f>
        <v>98371955.955888003</v>
      </c>
      <c r="AQ9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1474048.49873724</v>
      </c>
      <c r="AR94" s="522">
        <f>MAX(Port[[#This Row],[ECL (THB)]]+Port[[#This Row],[ECL_Interest (THB)]], Port[[#This Row],[ECL CBIRC (THB)]])</f>
        <v>1474048.49873724</v>
      </c>
    </row>
    <row r="95" spans="1:44">
      <c r="A95" s="2" t="s">
        <v>70</v>
      </c>
      <c r="B95" s="2" t="s">
        <v>60</v>
      </c>
      <c r="C95" s="2" t="s">
        <v>17</v>
      </c>
      <c r="D95" s="2" t="s">
        <v>30</v>
      </c>
      <c r="E95" s="2" t="s">
        <v>19</v>
      </c>
      <c r="F95" s="2" t="s">
        <v>20</v>
      </c>
      <c r="G95" s="2" t="s">
        <v>21</v>
      </c>
      <c r="H95">
        <v>1</v>
      </c>
      <c r="I95" s="2" t="s">
        <v>526</v>
      </c>
      <c r="J95" s="505">
        <v>1.3043899345507868E-2</v>
      </c>
      <c r="K95" s="505">
        <v>0.89997275132386156</v>
      </c>
      <c r="L95" s="3">
        <v>1</v>
      </c>
      <c r="M95" s="3">
        <v>5.2488000000000001</v>
      </c>
      <c r="N95" s="507">
        <v>3851490.18</v>
      </c>
      <c r="O95" s="507">
        <v>0</v>
      </c>
      <c r="P95" s="507">
        <v>3851490.18</v>
      </c>
      <c r="Q95" s="507">
        <v>3999.88</v>
      </c>
      <c r="R95" s="507">
        <v>45213.236283058548</v>
      </c>
      <c r="S95" s="507">
        <v>0</v>
      </c>
      <c r="T95" s="507">
        <v>45213.236283058548</v>
      </c>
      <c r="U95" s="507">
        <v>46.9552072293951</v>
      </c>
      <c r="V95" s="507">
        <f>Port[[#This Row],[EAD_Drawn (CNY)]]*Port[[#This Row],[CNY -&gt; FCY]]</f>
        <v>3851490.18</v>
      </c>
      <c r="W95" s="507">
        <f>Port[[#This Row],[EAD_Undrawn (CNY)]]*Port[[#This Row],[CNY -&gt; FCY]]</f>
        <v>0</v>
      </c>
      <c r="X95" s="507">
        <f>Port[[#This Row],[EAD (CNY)]]*Port[[#This Row],[CNY -&gt; FCY]]</f>
        <v>3851490.18</v>
      </c>
      <c r="Y95" s="507">
        <f>Port[[#This Row],[EAD_Interest (CNY)]]*Port[[#This Row],[CNY -&gt; FCY]]</f>
        <v>3999.88</v>
      </c>
      <c r="Z95" s="507">
        <f>Port[[#This Row],[ECL_Drawn (CNY)]]*Port[[#This Row],[CNY -&gt; FCY]]</f>
        <v>45213.236283058548</v>
      </c>
      <c r="AA95" s="507">
        <f>Port[[#This Row],[ECL_Undrawn (CNY)]]*Port[[#This Row],[CNY -&gt; FCY]]</f>
        <v>0</v>
      </c>
      <c r="AB95" s="507">
        <f>Port[[#This Row],[ECL (CNY)]]*Port[[#This Row],[CNY -&gt; FCY]]</f>
        <v>45213.236283058548</v>
      </c>
      <c r="AC95" s="507">
        <f>Port[[#This Row],[ECL_Interest (CNY)]]*Port[[#This Row],[CNY -&gt; FCY]]</f>
        <v>46.9552072293951</v>
      </c>
      <c r="AD95" s="507">
        <f>Port[[#This Row],[EAD_Drawn (CNY)]]*Port[[#This Row],[CNY -&gt; THB]]</f>
        <v>20215701.656784002</v>
      </c>
      <c r="AE95" s="507">
        <f>Port[[#This Row],[EAD_Undrawn (CNY)]]*Port[[#This Row],[CNY -&gt; THB]]</f>
        <v>0</v>
      </c>
      <c r="AF95" s="507">
        <f>Port[[#This Row],[EAD (CNY)]]*Port[[#This Row],[CNY -&gt; THB]]</f>
        <v>20215701.656784002</v>
      </c>
      <c r="AG95" s="507">
        <f>Port[[#This Row],[EAD_Interest (CNY)]]*Port[[#This Row],[CNY -&gt; THB]]</f>
        <v>20994.570144000001</v>
      </c>
      <c r="AH95" s="507">
        <f>Port[[#This Row],[ECL_Drawn (CNY)]]*Port[[#This Row],[CNY -&gt; THB]]</f>
        <v>237315.23460251771</v>
      </c>
      <c r="AI95" s="507">
        <f>Port[[#This Row],[ECL_Undrawn (CNY)]]*Port[[#This Row],[CNY -&gt; THB]]</f>
        <v>0</v>
      </c>
      <c r="AJ95" s="507">
        <f>Port[[#This Row],[ECL (CNY)]]*Port[[#This Row],[CNY -&gt; THB]]</f>
        <v>237315.23460251771</v>
      </c>
      <c r="AK95" s="507">
        <f>Port[[#This Row],[ECL_Interest (CNY)]]*Port[[#This Row],[CNY -&gt; THB]]</f>
        <v>246.45849170564901</v>
      </c>
      <c r="AL95" s="507">
        <f>Port[[#This Row],[EAD (THB)]]*Port[[#This Row],[PD_avg]]</f>
        <v>263691.5776099072</v>
      </c>
      <c r="AM95" s="507">
        <f>Port[[#This Row],[EAD_Interest (THB)]]*Port[[#This Row],[PD_avg]]</f>
        <v>273.85105976054064</v>
      </c>
      <c r="AN95" s="507">
        <f>Port[[#This Row],[EAD (THB)]]*Port[[#This Row],[LGD_avg]]</f>
        <v>18193580.639998246</v>
      </c>
      <c r="AO95" s="507">
        <f>Port[[#This Row],[EAD_Interest (THB)]]*Port[[#This Row],[LGD_avg]]</f>
        <v>18894.54105535748</v>
      </c>
      <c r="AP95" s="507">
        <f>Port[[#This Row],[EAD_Drawn (THB)]]+Port[[#This Row],[EAD_Interest (THB)]]</f>
        <v>20236696.226928003</v>
      </c>
      <c r="AQ9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303235.52485176001</v>
      </c>
      <c r="AR95" s="522">
        <f>MAX(Port[[#This Row],[ECL (THB)]]+Port[[#This Row],[ECL_Interest (THB)]], Port[[#This Row],[ECL CBIRC (THB)]])</f>
        <v>303235.52485176001</v>
      </c>
    </row>
    <row r="96" spans="1:44">
      <c r="A96" s="2" t="s">
        <v>71</v>
      </c>
      <c r="B96" s="2" t="s">
        <v>60</v>
      </c>
      <c r="C96" s="2" t="s">
        <v>17</v>
      </c>
      <c r="D96" s="2" t="s">
        <v>30</v>
      </c>
      <c r="E96" s="2" t="s">
        <v>19</v>
      </c>
      <c r="F96" s="2" t="s">
        <v>20</v>
      </c>
      <c r="G96" s="2" t="s">
        <v>21</v>
      </c>
      <c r="H96">
        <v>1</v>
      </c>
      <c r="I96" s="2" t="s">
        <v>526</v>
      </c>
      <c r="J96" s="505">
        <v>1.3043899345507868E-2</v>
      </c>
      <c r="K96" s="505">
        <v>0.89955762567983399</v>
      </c>
      <c r="L96" s="3">
        <v>1</v>
      </c>
      <c r="M96" s="3">
        <v>5.2488000000000001</v>
      </c>
      <c r="N96" s="507">
        <v>237238.02</v>
      </c>
      <c r="O96" s="507">
        <v>0</v>
      </c>
      <c r="P96" s="507">
        <v>237238.02</v>
      </c>
      <c r="Q96" s="507">
        <v>246.38</v>
      </c>
      <c r="R96" s="507">
        <v>2783.6890371763734</v>
      </c>
      <c r="S96" s="507">
        <v>0</v>
      </c>
      <c r="T96" s="507">
        <v>2783.6890371763734</v>
      </c>
      <c r="U96" s="507">
        <v>2.8909586455809864</v>
      </c>
      <c r="V96" s="507">
        <f>Port[[#This Row],[EAD_Drawn (CNY)]]*Port[[#This Row],[CNY -&gt; FCY]]</f>
        <v>237238.02</v>
      </c>
      <c r="W96" s="507">
        <f>Port[[#This Row],[EAD_Undrawn (CNY)]]*Port[[#This Row],[CNY -&gt; FCY]]</f>
        <v>0</v>
      </c>
      <c r="X96" s="507">
        <f>Port[[#This Row],[EAD (CNY)]]*Port[[#This Row],[CNY -&gt; FCY]]</f>
        <v>237238.02</v>
      </c>
      <c r="Y96" s="507">
        <f>Port[[#This Row],[EAD_Interest (CNY)]]*Port[[#This Row],[CNY -&gt; FCY]]</f>
        <v>246.38</v>
      </c>
      <c r="Z96" s="507">
        <f>Port[[#This Row],[ECL_Drawn (CNY)]]*Port[[#This Row],[CNY -&gt; FCY]]</f>
        <v>2783.6890371763734</v>
      </c>
      <c r="AA96" s="507">
        <f>Port[[#This Row],[ECL_Undrawn (CNY)]]*Port[[#This Row],[CNY -&gt; FCY]]</f>
        <v>0</v>
      </c>
      <c r="AB96" s="507">
        <f>Port[[#This Row],[ECL (CNY)]]*Port[[#This Row],[CNY -&gt; FCY]]</f>
        <v>2783.6890371763734</v>
      </c>
      <c r="AC96" s="507">
        <f>Port[[#This Row],[ECL_Interest (CNY)]]*Port[[#This Row],[CNY -&gt; FCY]]</f>
        <v>2.8909586455809864</v>
      </c>
      <c r="AD96" s="507">
        <f>Port[[#This Row],[EAD_Drawn (CNY)]]*Port[[#This Row],[CNY -&gt; THB]]</f>
        <v>1245214.9193760001</v>
      </c>
      <c r="AE96" s="507">
        <f>Port[[#This Row],[EAD_Undrawn (CNY)]]*Port[[#This Row],[CNY -&gt; THB]]</f>
        <v>0</v>
      </c>
      <c r="AF96" s="507">
        <f>Port[[#This Row],[EAD (CNY)]]*Port[[#This Row],[CNY -&gt; THB]]</f>
        <v>1245214.9193760001</v>
      </c>
      <c r="AG96" s="507">
        <f>Port[[#This Row],[EAD_Interest (CNY)]]*Port[[#This Row],[CNY -&gt; THB]]</f>
        <v>1293.1993440000001</v>
      </c>
      <c r="AH96" s="507">
        <f>Port[[#This Row],[ECL_Drawn (CNY)]]*Port[[#This Row],[CNY -&gt; THB]]</f>
        <v>14611.02701833135</v>
      </c>
      <c r="AI96" s="507">
        <f>Port[[#This Row],[ECL_Undrawn (CNY)]]*Port[[#This Row],[CNY -&gt; THB]]</f>
        <v>0</v>
      </c>
      <c r="AJ96" s="507">
        <f>Port[[#This Row],[ECL (CNY)]]*Port[[#This Row],[CNY -&gt; THB]]</f>
        <v>14611.02701833135</v>
      </c>
      <c r="AK96" s="507">
        <f>Port[[#This Row],[ECL_Interest (CNY)]]*Port[[#This Row],[CNY -&gt; THB]]</f>
        <v>15.174063738925481</v>
      </c>
      <c r="AL96" s="507">
        <f>Port[[#This Row],[EAD (THB)]]*Port[[#This Row],[PD_avg]]</f>
        <v>16242.45807186524</v>
      </c>
      <c r="AM96" s="507">
        <f>Port[[#This Row],[EAD_Interest (THB)]]*Port[[#This Row],[PD_avg]]</f>
        <v>16.868362076812804</v>
      </c>
      <c r="AN96" s="507">
        <f>Port[[#This Row],[EAD (THB)]]*Port[[#This Row],[LGD_avg]]</f>
        <v>1120142.5763349805</v>
      </c>
      <c r="AO96" s="507">
        <f>Port[[#This Row],[EAD_Interest (THB)]]*Port[[#This Row],[LGD_avg]]</f>
        <v>1163.3073314193589</v>
      </c>
      <c r="AP96" s="507">
        <f>Port[[#This Row],[EAD_Drawn (THB)]]+Port[[#This Row],[EAD_Interest (THB)]]</f>
        <v>1246508.1187200001</v>
      </c>
      <c r="AQ9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18678.223790640001</v>
      </c>
      <c r="AR96" s="522">
        <f>MAX(Port[[#This Row],[ECL (THB)]]+Port[[#This Row],[ECL_Interest (THB)]], Port[[#This Row],[ECL CBIRC (THB)]])</f>
        <v>18678.223790640001</v>
      </c>
    </row>
    <row r="97" spans="1:44">
      <c r="A97" s="2" t="s">
        <v>72</v>
      </c>
      <c r="B97" s="2" t="s">
        <v>60</v>
      </c>
      <c r="C97" s="2" t="s">
        <v>17</v>
      </c>
      <c r="D97" s="2" t="s">
        <v>30</v>
      </c>
      <c r="E97" s="2" t="s">
        <v>19</v>
      </c>
      <c r="F97" s="2" t="s">
        <v>20</v>
      </c>
      <c r="G97" s="2" t="s">
        <v>21</v>
      </c>
      <c r="H97">
        <v>1</v>
      </c>
      <c r="I97" s="2" t="s">
        <v>526</v>
      </c>
      <c r="J97" s="505">
        <v>1.3043899345507868E-2</v>
      </c>
      <c r="K97" s="505">
        <v>0.89992443905780262</v>
      </c>
      <c r="L97" s="3">
        <v>1</v>
      </c>
      <c r="M97" s="3">
        <v>5.2488000000000001</v>
      </c>
      <c r="N97" s="507">
        <v>1388918.74</v>
      </c>
      <c r="O97" s="507">
        <v>0</v>
      </c>
      <c r="P97" s="507">
        <v>1388918.74</v>
      </c>
      <c r="Q97" s="507">
        <v>1442.43</v>
      </c>
      <c r="R97" s="507">
        <v>16303.85568802357</v>
      </c>
      <c r="S97" s="507">
        <v>0</v>
      </c>
      <c r="T97" s="507">
        <v>16303.85568802357</v>
      </c>
      <c r="U97" s="507">
        <v>16.931998887188922</v>
      </c>
      <c r="V97" s="507">
        <f>Port[[#This Row],[EAD_Drawn (CNY)]]*Port[[#This Row],[CNY -&gt; FCY]]</f>
        <v>1388918.74</v>
      </c>
      <c r="W97" s="507">
        <f>Port[[#This Row],[EAD_Undrawn (CNY)]]*Port[[#This Row],[CNY -&gt; FCY]]</f>
        <v>0</v>
      </c>
      <c r="X97" s="507">
        <f>Port[[#This Row],[EAD (CNY)]]*Port[[#This Row],[CNY -&gt; FCY]]</f>
        <v>1388918.74</v>
      </c>
      <c r="Y97" s="507">
        <f>Port[[#This Row],[EAD_Interest (CNY)]]*Port[[#This Row],[CNY -&gt; FCY]]</f>
        <v>1442.43</v>
      </c>
      <c r="Z97" s="507">
        <f>Port[[#This Row],[ECL_Drawn (CNY)]]*Port[[#This Row],[CNY -&gt; FCY]]</f>
        <v>16303.85568802357</v>
      </c>
      <c r="AA97" s="507">
        <f>Port[[#This Row],[ECL_Undrawn (CNY)]]*Port[[#This Row],[CNY -&gt; FCY]]</f>
        <v>0</v>
      </c>
      <c r="AB97" s="507">
        <f>Port[[#This Row],[ECL (CNY)]]*Port[[#This Row],[CNY -&gt; FCY]]</f>
        <v>16303.85568802357</v>
      </c>
      <c r="AC97" s="507">
        <f>Port[[#This Row],[ECL_Interest (CNY)]]*Port[[#This Row],[CNY -&gt; FCY]]</f>
        <v>16.931998887188922</v>
      </c>
      <c r="AD97" s="507">
        <f>Port[[#This Row],[EAD_Drawn (CNY)]]*Port[[#This Row],[CNY -&gt; THB]]</f>
        <v>7290156.6825120002</v>
      </c>
      <c r="AE97" s="507">
        <f>Port[[#This Row],[EAD_Undrawn (CNY)]]*Port[[#This Row],[CNY -&gt; THB]]</f>
        <v>0</v>
      </c>
      <c r="AF97" s="507">
        <f>Port[[#This Row],[EAD (CNY)]]*Port[[#This Row],[CNY -&gt; THB]]</f>
        <v>7290156.6825120002</v>
      </c>
      <c r="AG97" s="507">
        <f>Port[[#This Row],[EAD_Interest (CNY)]]*Port[[#This Row],[CNY -&gt; THB]]</f>
        <v>7571.0265840000002</v>
      </c>
      <c r="AH97" s="507">
        <f>Port[[#This Row],[ECL_Drawn (CNY)]]*Port[[#This Row],[CNY -&gt; THB]]</f>
        <v>85575.677735298115</v>
      </c>
      <c r="AI97" s="507">
        <f>Port[[#This Row],[ECL_Undrawn (CNY)]]*Port[[#This Row],[CNY -&gt; THB]]</f>
        <v>0</v>
      </c>
      <c r="AJ97" s="507">
        <f>Port[[#This Row],[ECL (CNY)]]*Port[[#This Row],[CNY -&gt; THB]]</f>
        <v>85575.677735298115</v>
      </c>
      <c r="AK97" s="507">
        <f>Port[[#This Row],[ECL_Interest (CNY)]]*Port[[#This Row],[CNY -&gt; THB]]</f>
        <v>88.872675759077211</v>
      </c>
      <c r="AL97" s="507">
        <f>Port[[#This Row],[EAD (THB)]]*Port[[#This Row],[PD_avg]]</f>
        <v>95092.069979668086</v>
      </c>
      <c r="AM97" s="507">
        <f>Port[[#This Row],[EAD_Interest (THB)]]*Port[[#This Row],[PD_avg]]</f>
        <v>98.755708703860279</v>
      </c>
      <c r="AN97" s="507">
        <f>Port[[#This Row],[EAD (THB)]]*Port[[#This Row],[LGD_avg]]</f>
        <v>6560590.1631531026</v>
      </c>
      <c r="AO97" s="507">
        <f>Port[[#This Row],[EAD_Interest (THB)]]*Port[[#This Row],[LGD_avg]]</f>
        <v>6813.351851697912</v>
      </c>
      <c r="AP97" s="507">
        <f>Port[[#This Row],[EAD_Drawn (THB)]]+Port[[#This Row],[EAD_Interest (THB)]]</f>
        <v>7297727.7090960005</v>
      </c>
      <c r="AQ9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109352.35023768</v>
      </c>
      <c r="AR97" s="522">
        <f>MAX(Port[[#This Row],[ECL (THB)]]+Port[[#This Row],[ECL_Interest (THB)]], Port[[#This Row],[ECL CBIRC (THB)]])</f>
        <v>109352.35023768</v>
      </c>
    </row>
    <row r="98" spans="1:44">
      <c r="A98" s="2" t="s">
        <v>73</v>
      </c>
      <c r="B98" s="2" t="s">
        <v>60</v>
      </c>
      <c r="C98" s="2" t="s">
        <v>17</v>
      </c>
      <c r="D98" s="2" t="s">
        <v>30</v>
      </c>
      <c r="E98" s="2" t="s">
        <v>19</v>
      </c>
      <c r="F98" s="2" t="s">
        <v>20</v>
      </c>
      <c r="G98" s="2" t="s">
        <v>21</v>
      </c>
      <c r="H98">
        <v>1</v>
      </c>
      <c r="I98" s="2" t="s">
        <v>526</v>
      </c>
      <c r="J98" s="505">
        <v>1.3043899345507868E-2</v>
      </c>
      <c r="K98" s="505">
        <v>0.89995796522816063</v>
      </c>
      <c r="L98" s="3">
        <v>1</v>
      </c>
      <c r="M98" s="3">
        <v>5.2488000000000001</v>
      </c>
      <c r="N98" s="507">
        <v>2496695.09</v>
      </c>
      <c r="O98" s="507">
        <v>0</v>
      </c>
      <c r="P98" s="507">
        <v>2496695.09</v>
      </c>
      <c r="Q98" s="507">
        <v>2592.89</v>
      </c>
      <c r="R98" s="507">
        <v>29308.606574086465</v>
      </c>
      <c r="S98" s="507">
        <v>0</v>
      </c>
      <c r="T98" s="507">
        <v>29308.606574086465</v>
      </c>
      <c r="U98" s="507">
        <v>30.437834881905047</v>
      </c>
      <c r="V98" s="507">
        <f>Port[[#This Row],[EAD_Drawn (CNY)]]*Port[[#This Row],[CNY -&gt; FCY]]</f>
        <v>2496695.09</v>
      </c>
      <c r="W98" s="507">
        <f>Port[[#This Row],[EAD_Undrawn (CNY)]]*Port[[#This Row],[CNY -&gt; FCY]]</f>
        <v>0</v>
      </c>
      <c r="X98" s="507">
        <f>Port[[#This Row],[EAD (CNY)]]*Port[[#This Row],[CNY -&gt; FCY]]</f>
        <v>2496695.09</v>
      </c>
      <c r="Y98" s="507">
        <f>Port[[#This Row],[EAD_Interest (CNY)]]*Port[[#This Row],[CNY -&gt; FCY]]</f>
        <v>2592.89</v>
      </c>
      <c r="Z98" s="507">
        <f>Port[[#This Row],[ECL_Drawn (CNY)]]*Port[[#This Row],[CNY -&gt; FCY]]</f>
        <v>29308.606574086465</v>
      </c>
      <c r="AA98" s="507">
        <f>Port[[#This Row],[ECL_Undrawn (CNY)]]*Port[[#This Row],[CNY -&gt; FCY]]</f>
        <v>0</v>
      </c>
      <c r="AB98" s="507">
        <f>Port[[#This Row],[ECL (CNY)]]*Port[[#This Row],[CNY -&gt; FCY]]</f>
        <v>29308.606574086465</v>
      </c>
      <c r="AC98" s="507">
        <f>Port[[#This Row],[ECL_Interest (CNY)]]*Port[[#This Row],[CNY -&gt; FCY]]</f>
        <v>30.437834881905047</v>
      </c>
      <c r="AD98" s="507">
        <f>Port[[#This Row],[EAD_Drawn (CNY)]]*Port[[#This Row],[CNY -&gt; THB]]</f>
        <v>13104653.188392</v>
      </c>
      <c r="AE98" s="507">
        <f>Port[[#This Row],[EAD_Undrawn (CNY)]]*Port[[#This Row],[CNY -&gt; THB]]</f>
        <v>0</v>
      </c>
      <c r="AF98" s="507">
        <f>Port[[#This Row],[EAD (CNY)]]*Port[[#This Row],[CNY -&gt; THB]]</f>
        <v>13104653.188392</v>
      </c>
      <c r="AG98" s="507">
        <f>Port[[#This Row],[EAD_Interest (CNY)]]*Port[[#This Row],[CNY -&gt; THB]]</f>
        <v>13609.561032</v>
      </c>
      <c r="AH98" s="507">
        <f>Port[[#This Row],[ECL_Drawn (CNY)]]*Port[[#This Row],[CNY -&gt; THB]]</f>
        <v>153835.01418606503</v>
      </c>
      <c r="AI98" s="507">
        <f>Port[[#This Row],[ECL_Undrawn (CNY)]]*Port[[#This Row],[CNY -&gt; THB]]</f>
        <v>0</v>
      </c>
      <c r="AJ98" s="507">
        <f>Port[[#This Row],[ECL (CNY)]]*Port[[#This Row],[CNY -&gt; THB]]</f>
        <v>153835.01418606503</v>
      </c>
      <c r="AK98" s="507">
        <f>Port[[#This Row],[ECL_Interest (CNY)]]*Port[[#This Row],[CNY -&gt; THB]]</f>
        <v>159.76210772814321</v>
      </c>
      <c r="AL98" s="507">
        <f>Port[[#This Row],[EAD (THB)]]*Port[[#This Row],[PD_avg]]</f>
        <v>170935.777147174</v>
      </c>
      <c r="AM98" s="507">
        <f>Port[[#This Row],[EAD_Interest (THB)]]*Port[[#This Row],[PD_avg]]</f>
        <v>177.52174423795418</v>
      </c>
      <c r="AN98" s="507">
        <f>Port[[#This Row],[EAD (THB)]]*Port[[#This Row],[LGD_avg]]</f>
        <v>11793637.018445993</v>
      </c>
      <c r="AO98" s="507">
        <f>Port[[#This Row],[EAD_Interest (THB)]]*Port[[#This Row],[LGD_avg]]</f>
        <v>12248.032854007186</v>
      </c>
      <c r="AP98" s="507">
        <f>Port[[#This Row],[EAD_Drawn (THB)]]+Port[[#This Row],[EAD_Interest (THB)]]</f>
        <v>13118262.749424001</v>
      </c>
      <c r="AQ9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196569.79782588</v>
      </c>
      <c r="AR98" s="522">
        <f>MAX(Port[[#This Row],[ECL (THB)]]+Port[[#This Row],[ECL_Interest (THB)]], Port[[#This Row],[ECL CBIRC (THB)]])</f>
        <v>196569.79782588</v>
      </c>
    </row>
    <row r="99" spans="1:44">
      <c r="A99" s="2" t="s">
        <v>74</v>
      </c>
      <c r="B99" s="2" t="s">
        <v>60</v>
      </c>
      <c r="C99" s="2" t="s">
        <v>17</v>
      </c>
      <c r="D99" s="2" t="s">
        <v>30</v>
      </c>
      <c r="E99" s="2" t="s">
        <v>19</v>
      </c>
      <c r="F99" s="2" t="s">
        <v>20</v>
      </c>
      <c r="G99" s="2" t="s">
        <v>21</v>
      </c>
      <c r="H99">
        <v>1</v>
      </c>
      <c r="I99" s="2" t="s">
        <v>526</v>
      </c>
      <c r="J99" s="505">
        <v>1.3043899345507868E-2</v>
      </c>
      <c r="K99" s="505">
        <v>0.89886492073828284</v>
      </c>
      <c r="L99" s="3">
        <v>1</v>
      </c>
      <c r="M99" s="3">
        <v>5.2488000000000001</v>
      </c>
      <c r="N99" s="507">
        <v>92458.75</v>
      </c>
      <c r="O99" s="507">
        <v>0</v>
      </c>
      <c r="P99" s="507">
        <v>92458.75</v>
      </c>
      <c r="Q99" s="507">
        <v>96.02</v>
      </c>
      <c r="R99" s="507">
        <v>1084.0514344754295</v>
      </c>
      <c r="S99" s="507">
        <v>0</v>
      </c>
      <c r="T99" s="507">
        <v>1084.0514344754295</v>
      </c>
      <c r="U99" s="507">
        <v>1.1258060349975612</v>
      </c>
      <c r="V99" s="507">
        <f>Port[[#This Row],[EAD_Drawn (CNY)]]*Port[[#This Row],[CNY -&gt; FCY]]</f>
        <v>92458.75</v>
      </c>
      <c r="W99" s="507">
        <f>Port[[#This Row],[EAD_Undrawn (CNY)]]*Port[[#This Row],[CNY -&gt; FCY]]</f>
        <v>0</v>
      </c>
      <c r="X99" s="507">
        <f>Port[[#This Row],[EAD (CNY)]]*Port[[#This Row],[CNY -&gt; FCY]]</f>
        <v>92458.75</v>
      </c>
      <c r="Y99" s="507">
        <f>Port[[#This Row],[EAD_Interest (CNY)]]*Port[[#This Row],[CNY -&gt; FCY]]</f>
        <v>96.02</v>
      </c>
      <c r="Z99" s="507">
        <f>Port[[#This Row],[ECL_Drawn (CNY)]]*Port[[#This Row],[CNY -&gt; FCY]]</f>
        <v>1084.0514344754295</v>
      </c>
      <c r="AA99" s="507">
        <f>Port[[#This Row],[ECL_Undrawn (CNY)]]*Port[[#This Row],[CNY -&gt; FCY]]</f>
        <v>0</v>
      </c>
      <c r="AB99" s="507">
        <f>Port[[#This Row],[ECL (CNY)]]*Port[[#This Row],[CNY -&gt; FCY]]</f>
        <v>1084.0514344754295</v>
      </c>
      <c r="AC99" s="507">
        <f>Port[[#This Row],[ECL_Interest (CNY)]]*Port[[#This Row],[CNY -&gt; FCY]]</f>
        <v>1.1258060349975612</v>
      </c>
      <c r="AD99" s="507">
        <f>Port[[#This Row],[EAD_Drawn (CNY)]]*Port[[#This Row],[CNY -&gt; THB]]</f>
        <v>485297.48700000002</v>
      </c>
      <c r="AE99" s="507">
        <f>Port[[#This Row],[EAD_Undrawn (CNY)]]*Port[[#This Row],[CNY -&gt; THB]]</f>
        <v>0</v>
      </c>
      <c r="AF99" s="507">
        <f>Port[[#This Row],[EAD (CNY)]]*Port[[#This Row],[CNY -&gt; THB]]</f>
        <v>485297.48700000002</v>
      </c>
      <c r="AG99" s="507">
        <f>Port[[#This Row],[EAD_Interest (CNY)]]*Port[[#This Row],[CNY -&gt; THB]]</f>
        <v>503.98977600000001</v>
      </c>
      <c r="AH99" s="507">
        <f>Port[[#This Row],[ECL_Drawn (CNY)]]*Port[[#This Row],[CNY -&gt; THB]]</f>
        <v>5689.9691692746346</v>
      </c>
      <c r="AI99" s="507">
        <f>Port[[#This Row],[ECL_Undrawn (CNY)]]*Port[[#This Row],[CNY -&gt; THB]]</f>
        <v>0</v>
      </c>
      <c r="AJ99" s="507">
        <f>Port[[#This Row],[ECL (CNY)]]*Port[[#This Row],[CNY -&gt; THB]]</f>
        <v>5689.9691692746346</v>
      </c>
      <c r="AK99" s="507">
        <f>Port[[#This Row],[ECL_Interest (CNY)]]*Port[[#This Row],[CNY -&gt; THB]]</f>
        <v>5.9091307164951994</v>
      </c>
      <c r="AL99" s="507">
        <f>Port[[#This Row],[EAD (THB)]]*Port[[#This Row],[PD_avg]]</f>
        <v>6330.1715730559135</v>
      </c>
      <c r="AM99" s="507">
        <f>Port[[#This Row],[EAD_Interest (THB)]]*Port[[#This Row],[PD_avg]]</f>
        <v>6.5739919093090569</v>
      </c>
      <c r="AN99" s="507">
        <f>Port[[#This Row],[EAD (THB)]]*Port[[#This Row],[LGD_avg]]</f>
        <v>436216.88718674285</v>
      </c>
      <c r="AO99" s="507">
        <f>Port[[#This Row],[EAD_Interest (THB)]]*Port[[#This Row],[LGD_avg]]</f>
        <v>453.01873005714492</v>
      </c>
      <c r="AP99" s="507">
        <f>Port[[#This Row],[EAD_Drawn (THB)]]+Port[[#This Row],[EAD_Interest (THB)]]</f>
        <v>485801.476776</v>
      </c>
      <c r="AQ9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7279.462305</v>
      </c>
      <c r="AR99" s="522">
        <f>MAX(Port[[#This Row],[ECL (THB)]]+Port[[#This Row],[ECL_Interest (THB)]], Port[[#This Row],[ECL CBIRC (THB)]])</f>
        <v>7279.462305</v>
      </c>
    </row>
    <row r="100" spans="1:44">
      <c r="A100" s="2" t="s">
        <v>75</v>
      </c>
      <c r="B100" s="2" t="s">
        <v>60</v>
      </c>
      <c r="C100" s="2" t="s">
        <v>17</v>
      </c>
      <c r="D100" s="2" t="s">
        <v>30</v>
      </c>
      <c r="E100" s="2" t="s">
        <v>19</v>
      </c>
      <c r="F100" s="2" t="s">
        <v>20</v>
      </c>
      <c r="G100" s="2" t="s">
        <v>21</v>
      </c>
      <c r="H100">
        <v>1</v>
      </c>
      <c r="I100" s="2" t="s">
        <v>526</v>
      </c>
      <c r="J100" s="505">
        <v>1.3043899345507868E-2</v>
      </c>
      <c r="K100" s="505">
        <v>0.89985276630869582</v>
      </c>
      <c r="L100" s="3">
        <v>1</v>
      </c>
      <c r="M100" s="3">
        <v>5.2488000000000001</v>
      </c>
      <c r="N100" s="507">
        <v>712798.87</v>
      </c>
      <c r="O100" s="507">
        <v>0</v>
      </c>
      <c r="P100" s="507">
        <v>712798.87</v>
      </c>
      <c r="Q100" s="507">
        <v>740.26</v>
      </c>
      <c r="R100" s="507">
        <v>8366.5401112214367</v>
      </c>
      <c r="S100" s="507">
        <v>0</v>
      </c>
      <c r="T100" s="507">
        <v>8366.5401112214367</v>
      </c>
      <c r="U100" s="507">
        <v>8.6888675661519787</v>
      </c>
      <c r="V100" s="507">
        <f>Port[[#This Row],[EAD_Drawn (CNY)]]*Port[[#This Row],[CNY -&gt; FCY]]</f>
        <v>712798.87</v>
      </c>
      <c r="W100" s="507">
        <f>Port[[#This Row],[EAD_Undrawn (CNY)]]*Port[[#This Row],[CNY -&gt; FCY]]</f>
        <v>0</v>
      </c>
      <c r="X100" s="507">
        <f>Port[[#This Row],[EAD (CNY)]]*Port[[#This Row],[CNY -&gt; FCY]]</f>
        <v>712798.87</v>
      </c>
      <c r="Y100" s="507">
        <f>Port[[#This Row],[EAD_Interest (CNY)]]*Port[[#This Row],[CNY -&gt; FCY]]</f>
        <v>740.26</v>
      </c>
      <c r="Z100" s="507">
        <f>Port[[#This Row],[ECL_Drawn (CNY)]]*Port[[#This Row],[CNY -&gt; FCY]]</f>
        <v>8366.5401112214367</v>
      </c>
      <c r="AA100" s="507">
        <f>Port[[#This Row],[ECL_Undrawn (CNY)]]*Port[[#This Row],[CNY -&gt; FCY]]</f>
        <v>0</v>
      </c>
      <c r="AB100" s="507">
        <f>Port[[#This Row],[ECL (CNY)]]*Port[[#This Row],[CNY -&gt; FCY]]</f>
        <v>8366.5401112214367</v>
      </c>
      <c r="AC100" s="507">
        <f>Port[[#This Row],[ECL_Interest (CNY)]]*Port[[#This Row],[CNY -&gt; FCY]]</f>
        <v>8.6888675661519787</v>
      </c>
      <c r="AD100" s="507">
        <f>Port[[#This Row],[EAD_Drawn (CNY)]]*Port[[#This Row],[CNY -&gt; THB]]</f>
        <v>3741338.7088560001</v>
      </c>
      <c r="AE100" s="507">
        <f>Port[[#This Row],[EAD_Undrawn (CNY)]]*Port[[#This Row],[CNY -&gt; THB]]</f>
        <v>0</v>
      </c>
      <c r="AF100" s="507">
        <f>Port[[#This Row],[EAD (CNY)]]*Port[[#This Row],[CNY -&gt; THB]]</f>
        <v>3741338.7088560001</v>
      </c>
      <c r="AG100" s="507">
        <f>Port[[#This Row],[EAD_Interest (CNY)]]*Port[[#This Row],[CNY -&gt; THB]]</f>
        <v>3885.4766880000002</v>
      </c>
      <c r="AH100" s="507">
        <f>Port[[#This Row],[ECL_Drawn (CNY)]]*Port[[#This Row],[CNY -&gt; THB]]</f>
        <v>43914.29573577908</v>
      </c>
      <c r="AI100" s="507">
        <f>Port[[#This Row],[ECL_Undrawn (CNY)]]*Port[[#This Row],[CNY -&gt; THB]]</f>
        <v>0</v>
      </c>
      <c r="AJ100" s="507">
        <f>Port[[#This Row],[ECL (CNY)]]*Port[[#This Row],[CNY -&gt; THB]]</f>
        <v>43914.29573577908</v>
      </c>
      <c r="AK100" s="507">
        <f>Port[[#This Row],[ECL_Interest (CNY)]]*Port[[#This Row],[CNY -&gt; THB]]</f>
        <v>45.606128081218507</v>
      </c>
      <c r="AL100" s="507">
        <f>Port[[#This Row],[EAD (THB)]]*Port[[#This Row],[PD_avg]]</f>
        <v>48801.645535770032</v>
      </c>
      <c r="AM100" s="507">
        <f>Port[[#This Row],[EAD_Interest (THB)]]*Port[[#This Row],[PD_avg]]</f>
        <v>50.681766827589286</v>
      </c>
      <c r="AN100" s="507">
        <f>Port[[#This Row],[EAD (THB)]]*Port[[#This Row],[LGD_avg]]</f>
        <v>3366653.9868618762</v>
      </c>
      <c r="AO100" s="507">
        <f>Port[[#This Row],[EAD_Interest (THB)]]*Port[[#This Row],[LGD_avg]]</f>
        <v>3496.3569461247498</v>
      </c>
      <c r="AP100" s="507">
        <f>Port[[#This Row],[EAD_Drawn (THB)]]+Port[[#This Row],[EAD_Interest (THB)]]</f>
        <v>3745224.185544</v>
      </c>
      <c r="AQ10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56120.080632839999</v>
      </c>
      <c r="AR100" s="522">
        <f>MAX(Port[[#This Row],[ECL (THB)]]+Port[[#This Row],[ECL_Interest (THB)]], Port[[#This Row],[ECL CBIRC (THB)]])</f>
        <v>56120.080632839999</v>
      </c>
    </row>
    <row r="101" spans="1:44">
      <c r="A101" s="2" t="s">
        <v>76</v>
      </c>
      <c r="B101" s="2" t="s">
        <v>60</v>
      </c>
      <c r="C101" s="2" t="s">
        <v>17</v>
      </c>
      <c r="D101" s="2" t="s">
        <v>30</v>
      </c>
      <c r="E101" s="2" t="s">
        <v>19</v>
      </c>
      <c r="F101" s="2" t="s">
        <v>20</v>
      </c>
      <c r="G101" s="2" t="s">
        <v>21</v>
      </c>
      <c r="H101">
        <v>1</v>
      </c>
      <c r="I101" s="2" t="s">
        <v>526</v>
      </c>
      <c r="J101" s="505">
        <v>1.3043899345507868E-2</v>
      </c>
      <c r="K101" s="505">
        <v>0.8999289662700094</v>
      </c>
      <c r="L101" s="3">
        <v>1</v>
      </c>
      <c r="M101" s="3">
        <v>5.2488000000000001</v>
      </c>
      <c r="N101" s="507">
        <v>1477439.08</v>
      </c>
      <c r="O101" s="507">
        <v>0</v>
      </c>
      <c r="P101" s="507">
        <v>1477439.08</v>
      </c>
      <c r="Q101" s="507">
        <v>1534.36</v>
      </c>
      <c r="R101" s="507">
        <v>17343.04105251396</v>
      </c>
      <c r="S101" s="507">
        <v>0</v>
      </c>
      <c r="T101" s="507">
        <v>17343.04105251396</v>
      </c>
      <c r="U101" s="507">
        <v>18.011211988067434</v>
      </c>
      <c r="V101" s="507">
        <f>Port[[#This Row],[EAD_Drawn (CNY)]]*Port[[#This Row],[CNY -&gt; FCY]]</f>
        <v>1477439.08</v>
      </c>
      <c r="W101" s="507">
        <f>Port[[#This Row],[EAD_Undrawn (CNY)]]*Port[[#This Row],[CNY -&gt; FCY]]</f>
        <v>0</v>
      </c>
      <c r="X101" s="507">
        <f>Port[[#This Row],[EAD (CNY)]]*Port[[#This Row],[CNY -&gt; FCY]]</f>
        <v>1477439.08</v>
      </c>
      <c r="Y101" s="507">
        <f>Port[[#This Row],[EAD_Interest (CNY)]]*Port[[#This Row],[CNY -&gt; FCY]]</f>
        <v>1534.36</v>
      </c>
      <c r="Z101" s="507">
        <f>Port[[#This Row],[ECL_Drawn (CNY)]]*Port[[#This Row],[CNY -&gt; FCY]]</f>
        <v>17343.04105251396</v>
      </c>
      <c r="AA101" s="507">
        <f>Port[[#This Row],[ECL_Undrawn (CNY)]]*Port[[#This Row],[CNY -&gt; FCY]]</f>
        <v>0</v>
      </c>
      <c r="AB101" s="507">
        <f>Port[[#This Row],[ECL (CNY)]]*Port[[#This Row],[CNY -&gt; FCY]]</f>
        <v>17343.04105251396</v>
      </c>
      <c r="AC101" s="507">
        <f>Port[[#This Row],[ECL_Interest (CNY)]]*Port[[#This Row],[CNY -&gt; FCY]]</f>
        <v>18.011211988067434</v>
      </c>
      <c r="AD101" s="507">
        <f>Port[[#This Row],[EAD_Drawn (CNY)]]*Port[[#This Row],[CNY -&gt; THB]]</f>
        <v>7754782.2431040006</v>
      </c>
      <c r="AE101" s="507">
        <f>Port[[#This Row],[EAD_Undrawn (CNY)]]*Port[[#This Row],[CNY -&gt; THB]]</f>
        <v>0</v>
      </c>
      <c r="AF101" s="507">
        <f>Port[[#This Row],[EAD (CNY)]]*Port[[#This Row],[CNY -&gt; THB]]</f>
        <v>7754782.2431040006</v>
      </c>
      <c r="AG101" s="507">
        <f>Port[[#This Row],[EAD_Interest (CNY)]]*Port[[#This Row],[CNY -&gt; THB]]</f>
        <v>8053.5487679999997</v>
      </c>
      <c r="AH101" s="507">
        <f>Port[[#This Row],[ECL_Drawn (CNY)]]*Port[[#This Row],[CNY -&gt; THB]]</f>
        <v>91030.153876435274</v>
      </c>
      <c r="AI101" s="507">
        <f>Port[[#This Row],[ECL_Undrawn (CNY)]]*Port[[#This Row],[CNY -&gt; THB]]</f>
        <v>0</v>
      </c>
      <c r="AJ101" s="507">
        <f>Port[[#This Row],[ECL (CNY)]]*Port[[#This Row],[CNY -&gt; THB]]</f>
        <v>91030.153876435274</v>
      </c>
      <c r="AK101" s="507">
        <f>Port[[#This Row],[ECL_Interest (CNY)]]*Port[[#This Row],[CNY -&gt; THB]]</f>
        <v>94.537249482968349</v>
      </c>
      <c r="AL101" s="507">
        <f>Port[[#This Row],[EAD (THB)]]*Port[[#This Row],[PD_avg]]</f>
        <v>101152.59902538032</v>
      </c>
      <c r="AM101" s="507">
        <f>Port[[#This Row],[EAD_Interest (THB)]]*Port[[#This Row],[PD_avg]]</f>
        <v>105.04967950393089</v>
      </c>
      <c r="AN101" s="507">
        <f>Port[[#This Row],[EAD (THB)]]*Port[[#This Row],[LGD_avg]]</f>
        <v>6978753.1676856084</v>
      </c>
      <c r="AO101" s="507">
        <f>Port[[#This Row],[EAD_Interest (THB)]]*Port[[#This Row],[LGD_avg]]</f>
        <v>7247.6218175913473</v>
      </c>
      <c r="AP101" s="507">
        <f>Port[[#This Row],[EAD_Drawn (THB)]]+Port[[#This Row],[EAD_Interest (THB)]]</f>
        <v>7762835.7918720003</v>
      </c>
      <c r="AQ10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116321.73364656001</v>
      </c>
      <c r="AR101" s="522">
        <f>MAX(Port[[#This Row],[ECL (THB)]]+Port[[#This Row],[ECL_Interest (THB)]], Port[[#This Row],[ECL CBIRC (THB)]])</f>
        <v>116321.73364656001</v>
      </c>
    </row>
    <row r="102" spans="1:44">
      <c r="A102" s="2" t="s">
        <v>77</v>
      </c>
      <c r="B102" s="2" t="s">
        <v>60</v>
      </c>
      <c r="C102" s="2" t="s">
        <v>17</v>
      </c>
      <c r="D102" s="2" t="s">
        <v>30</v>
      </c>
      <c r="E102" s="2" t="s">
        <v>19</v>
      </c>
      <c r="F102" s="2" t="s">
        <v>20</v>
      </c>
      <c r="G102" s="2" t="s">
        <v>21</v>
      </c>
      <c r="H102">
        <v>1</v>
      </c>
      <c r="I102" s="2" t="s">
        <v>526</v>
      </c>
      <c r="J102" s="505">
        <v>1.3043899345507868E-2</v>
      </c>
      <c r="K102" s="505">
        <v>0.89994664065037122</v>
      </c>
      <c r="L102" s="3">
        <v>1</v>
      </c>
      <c r="M102" s="3">
        <v>5.2488000000000001</v>
      </c>
      <c r="N102" s="507">
        <v>1966815.74</v>
      </c>
      <c r="O102" s="507">
        <v>0</v>
      </c>
      <c r="P102" s="507">
        <v>1966815.74</v>
      </c>
      <c r="Q102" s="507">
        <v>2042.59</v>
      </c>
      <c r="R102" s="507">
        <v>23088.082958086183</v>
      </c>
      <c r="S102" s="507">
        <v>0</v>
      </c>
      <c r="T102" s="507">
        <v>23088.082958086183</v>
      </c>
      <c r="U102" s="507">
        <v>23.977582856519774</v>
      </c>
      <c r="V102" s="507">
        <f>Port[[#This Row],[EAD_Drawn (CNY)]]*Port[[#This Row],[CNY -&gt; FCY]]</f>
        <v>1966815.74</v>
      </c>
      <c r="W102" s="507">
        <f>Port[[#This Row],[EAD_Undrawn (CNY)]]*Port[[#This Row],[CNY -&gt; FCY]]</f>
        <v>0</v>
      </c>
      <c r="X102" s="507">
        <f>Port[[#This Row],[EAD (CNY)]]*Port[[#This Row],[CNY -&gt; FCY]]</f>
        <v>1966815.74</v>
      </c>
      <c r="Y102" s="507">
        <f>Port[[#This Row],[EAD_Interest (CNY)]]*Port[[#This Row],[CNY -&gt; FCY]]</f>
        <v>2042.59</v>
      </c>
      <c r="Z102" s="507">
        <f>Port[[#This Row],[ECL_Drawn (CNY)]]*Port[[#This Row],[CNY -&gt; FCY]]</f>
        <v>23088.082958086183</v>
      </c>
      <c r="AA102" s="507">
        <f>Port[[#This Row],[ECL_Undrawn (CNY)]]*Port[[#This Row],[CNY -&gt; FCY]]</f>
        <v>0</v>
      </c>
      <c r="AB102" s="507">
        <f>Port[[#This Row],[ECL (CNY)]]*Port[[#This Row],[CNY -&gt; FCY]]</f>
        <v>23088.082958086183</v>
      </c>
      <c r="AC102" s="507">
        <f>Port[[#This Row],[ECL_Interest (CNY)]]*Port[[#This Row],[CNY -&gt; FCY]]</f>
        <v>23.977582856519774</v>
      </c>
      <c r="AD102" s="507">
        <f>Port[[#This Row],[EAD_Drawn (CNY)]]*Port[[#This Row],[CNY -&gt; THB]]</f>
        <v>10323422.456112001</v>
      </c>
      <c r="AE102" s="507">
        <f>Port[[#This Row],[EAD_Undrawn (CNY)]]*Port[[#This Row],[CNY -&gt; THB]]</f>
        <v>0</v>
      </c>
      <c r="AF102" s="507">
        <f>Port[[#This Row],[EAD (CNY)]]*Port[[#This Row],[CNY -&gt; THB]]</f>
        <v>10323422.456112001</v>
      </c>
      <c r="AG102" s="507">
        <f>Port[[#This Row],[EAD_Interest (CNY)]]*Port[[#This Row],[CNY -&gt; THB]]</f>
        <v>10721.146392000001</v>
      </c>
      <c r="AH102" s="507">
        <f>Port[[#This Row],[ECL_Drawn (CNY)]]*Port[[#This Row],[CNY -&gt; THB]]</f>
        <v>121184.72983040276</v>
      </c>
      <c r="AI102" s="507">
        <f>Port[[#This Row],[ECL_Undrawn (CNY)]]*Port[[#This Row],[CNY -&gt; THB]]</f>
        <v>0</v>
      </c>
      <c r="AJ102" s="507">
        <f>Port[[#This Row],[ECL (CNY)]]*Port[[#This Row],[CNY -&gt; THB]]</f>
        <v>121184.72983040276</v>
      </c>
      <c r="AK102" s="507">
        <f>Port[[#This Row],[ECL_Interest (CNY)]]*Port[[#This Row],[CNY -&gt; THB]]</f>
        <v>125.853536897301</v>
      </c>
      <c r="AL102" s="507">
        <f>Port[[#This Row],[EAD (THB)]]*Port[[#This Row],[PD_avg]]</f>
        <v>134657.68341868056</v>
      </c>
      <c r="AM102" s="507">
        <f>Port[[#This Row],[EAD_Interest (THB)]]*Port[[#This Row],[PD_avg]]</f>
        <v>139.84555440570284</v>
      </c>
      <c r="AN102" s="507">
        <f>Port[[#This Row],[EAD (THB)]]*Port[[#This Row],[LGD_avg]]</f>
        <v>9290529.3593926001</v>
      </c>
      <c r="AO102" s="507">
        <f>Port[[#This Row],[EAD_Interest (THB)]]*Port[[#This Row],[LGD_avg]]</f>
        <v>9648.4596794012486</v>
      </c>
      <c r="AP102" s="507">
        <f>Port[[#This Row],[EAD_Drawn (THB)]]+Port[[#This Row],[EAD_Interest (THB)]]</f>
        <v>10334143.602504002</v>
      </c>
      <c r="AQ10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154851.33684168002</v>
      </c>
      <c r="AR102" s="522">
        <f>MAX(Port[[#This Row],[ECL (THB)]]+Port[[#This Row],[ECL_Interest (THB)]], Port[[#This Row],[ECL CBIRC (THB)]])</f>
        <v>154851.33684168002</v>
      </c>
    </row>
    <row r="103" spans="1:44">
      <c r="A103" s="2" t="s">
        <v>78</v>
      </c>
      <c r="B103" s="2" t="s">
        <v>60</v>
      </c>
      <c r="C103" s="2" t="s">
        <v>17</v>
      </c>
      <c r="D103" s="2" t="s">
        <v>30</v>
      </c>
      <c r="E103" s="2" t="s">
        <v>19</v>
      </c>
      <c r="F103" s="2" t="s">
        <v>20</v>
      </c>
      <c r="G103" s="2" t="s">
        <v>21</v>
      </c>
      <c r="H103">
        <v>1</v>
      </c>
      <c r="I103" s="2" t="s">
        <v>526</v>
      </c>
      <c r="J103" s="505">
        <v>1.3043899345507868E-2</v>
      </c>
      <c r="K103" s="505">
        <v>0.89995401376243778</v>
      </c>
      <c r="L103" s="3">
        <v>1</v>
      </c>
      <c r="M103" s="3">
        <v>5.2488000000000001</v>
      </c>
      <c r="N103" s="507">
        <v>2282161.23</v>
      </c>
      <c r="O103" s="507">
        <v>0</v>
      </c>
      <c r="P103" s="507">
        <v>2282161.23</v>
      </c>
      <c r="Q103" s="507">
        <v>2370.09</v>
      </c>
      <c r="R103" s="507">
        <v>26790.084305647288</v>
      </c>
      <c r="S103" s="507">
        <v>0</v>
      </c>
      <c r="T103" s="507">
        <v>26790.084305647288</v>
      </c>
      <c r="U103" s="507">
        <v>27.822272185375603</v>
      </c>
      <c r="V103" s="507">
        <f>Port[[#This Row],[EAD_Drawn (CNY)]]*Port[[#This Row],[CNY -&gt; FCY]]</f>
        <v>2282161.23</v>
      </c>
      <c r="W103" s="507">
        <f>Port[[#This Row],[EAD_Undrawn (CNY)]]*Port[[#This Row],[CNY -&gt; FCY]]</f>
        <v>0</v>
      </c>
      <c r="X103" s="507">
        <f>Port[[#This Row],[EAD (CNY)]]*Port[[#This Row],[CNY -&gt; FCY]]</f>
        <v>2282161.23</v>
      </c>
      <c r="Y103" s="507">
        <f>Port[[#This Row],[EAD_Interest (CNY)]]*Port[[#This Row],[CNY -&gt; FCY]]</f>
        <v>2370.09</v>
      </c>
      <c r="Z103" s="507">
        <f>Port[[#This Row],[ECL_Drawn (CNY)]]*Port[[#This Row],[CNY -&gt; FCY]]</f>
        <v>26790.084305647288</v>
      </c>
      <c r="AA103" s="507">
        <f>Port[[#This Row],[ECL_Undrawn (CNY)]]*Port[[#This Row],[CNY -&gt; FCY]]</f>
        <v>0</v>
      </c>
      <c r="AB103" s="507">
        <f>Port[[#This Row],[ECL (CNY)]]*Port[[#This Row],[CNY -&gt; FCY]]</f>
        <v>26790.084305647288</v>
      </c>
      <c r="AC103" s="507">
        <f>Port[[#This Row],[ECL_Interest (CNY)]]*Port[[#This Row],[CNY -&gt; FCY]]</f>
        <v>27.822272185375603</v>
      </c>
      <c r="AD103" s="507">
        <f>Port[[#This Row],[EAD_Drawn (CNY)]]*Port[[#This Row],[CNY -&gt; THB]]</f>
        <v>11978607.864024</v>
      </c>
      <c r="AE103" s="507">
        <f>Port[[#This Row],[EAD_Undrawn (CNY)]]*Port[[#This Row],[CNY -&gt; THB]]</f>
        <v>0</v>
      </c>
      <c r="AF103" s="507">
        <f>Port[[#This Row],[EAD (CNY)]]*Port[[#This Row],[CNY -&gt; THB]]</f>
        <v>11978607.864024</v>
      </c>
      <c r="AG103" s="507">
        <f>Port[[#This Row],[EAD_Interest (CNY)]]*Port[[#This Row],[CNY -&gt; THB]]</f>
        <v>12440.128392000001</v>
      </c>
      <c r="AH103" s="507">
        <f>Port[[#This Row],[ECL_Drawn (CNY)]]*Port[[#This Row],[CNY -&gt; THB]]</f>
        <v>140615.79450348148</v>
      </c>
      <c r="AI103" s="507">
        <f>Port[[#This Row],[ECL_Undrawn (CNY)]]*Port[[#This Row],[CNY -&gt; THB]]</f>
        <v>0</v>
      </c>
      <c r="AJ103" s="507">
        <f>Port[[#This Row],[ECL (CNY)]]*Port[[#This Row],[CNY -&gt; THB]]</f>
        <v>140615.79450348148</v>
      </c>
      <c r="AK103" s="507">
        <f>Port[[#This Row],[ECL_Interest (CNY)]]*Port[[#This Row],[CNY -&gt; THB]]</f>
        <v>146.03354224659947</v>
      </c>
      <c r="AL103" s="507">
        <f>Port[[#This Row],[EAD (THB)]]*Port[[#This Row],[PD_avg]]</f>
        <v>156247.75527763806</v>
      </c>
      <c r="AM103" s="507">
        <f>Port[[#This Row],[EAD_Interest (THB)]]*Port[[#This Row],[PD_avg]]</f>
        <v>162.26778259044266</v>
      </c>
      <c r="AN103" s="507">
        <f>Port[[#This Row],[EAD (THB)]]*Port[[#This Row],[LGD_avg]]</f>
        <v>10780196.226514701</v>
      </c>
      <c r="AO103" s="507">
        <f>Port[[#This Row],[EAD_Interest (THB)]]*Port[[#This Row],[LGD_avg]]</f>
        <v>11195.543478100461</v>
      </c>
      <c r="AP103" s="507">
        <f>Port[[#This Row],[EAD_Drawn (THB)]]+Port[[#This Row],[EAD_Interest (THB)]]</f>
        <v>11991047.992416</v>
      </c>
      <c r="AQ10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179679.11796035999</v>
      </c>
      <c r="AR103" s="522">
        <f>MAX(Port[[#This Row],[ECL (THB)]]+Port[[#This Row],[ECL_Interest (THB)]], Port[[#This Row],[ECL CBIRC (THB)]])</f>
        <v>179679.11796035999</v>
      </c>
    </row>
    <row r="104" spans="1:44">
      <c r="A104" s="2" t="s">
        <v>79</v>
      </c>
      <c r="B104" s="2" t="s">
        <v>60</v>
      </c>
      <c r="C104" s="2" t="s">
        <v>17</v>
      </c>
      <c r="D104" s="2" t="s">
        <v>30</v>
      </c>
      <c r="E104" s="2" t="s">
        <v>19</v>
      </c>
      <c r="F104" s="2" t="s">
        <v>20</v>
      </c>
      <c r="G104" s="2" t="s">
        <v>21</v>
      </c>
      <c r="H104">
        <v>1</v>
      </c>
      <c r="I104" s="2" t="s">
        <v>526</v>
      </c>
      <c r="J104" s="505">
        <v>1.3043899345507868E-2</v>
      </c>
      <c r="K104" s="505">
        <v>0.8998641792706934</v>
      </c>
      <c r="L104" s="3">
        <v>1</v>
      </c>
      <c r="M104" s="3">
        <v>5.2488000000000001</v>
      </c>
      <c r="N104" s="507">
        <v>772695.07</v>
      </c>
      <c r="O104" s="507">
        <v>0</v>
      </c>
      <c r="P104" s="507">
        <v>772695.07</v>
      </c>
      <c r="Q104" s="507">
        <v>802.47</v>
      </c>
      <c r="R104" s="507">
        <v>9069.6921148130714</v>
      </c>
      <c r="S104" s="507">
        <v>0</v>
      </c>
      <c r="T104" s="507">
        <v>9069.6921148130714</v>
      </c>
      <c r="U104" s="507">
        <v>9.41918243554219</v>
      </c>
      <c r="V104" s="507">
        <f>Port[[#This Row],[EAD_Drawn (CNY)]]*Port[[#This Row],[CNY -&gt; FCY]]</f>
        <v>772695.07</v>
      </c>
      <c r="W104" s="507">
        <f>Port[[#This Row],[EAD_Undrawn (CNY)]]*Port[[#This Row],[CNY -&gt; FCY]]</f>
        <v>0</v>
      </c>
      <c r="X104" s="507">
        <f>Port[[#This Row],[EAD (CNY)]]*Port[[#This Row],[CNY -&gt; FCY]]</f>
        <v>772695.07</v>
      </c>
      <c r="Y104" s="507">
        <f>Port[[#This Row],[EAD_Interest (CNY)]]*Port[[#This Row],[CNY -&gt; FCY]]</f>
        <v>802.47</v>
      </c>
      <c r="Z104" s="507">
        <f>Port[[#This Row],[ECL_Drawn (CNY)]]*Port[[#This Row],[CNY -&gt; FCY]]</f>
        <v>9069.6921148130714</v>
      </c>
      <c r="AA104" s="507">
        <f>Port[[#This Row],[ECL_Undrawn (CNY)]]*Port[[#This Row],[CNY -&gt; FCY]]</f>
        <v>0</v>
      </c>
      <c r="AB104" s="507">
        <f>Port[[#This Row],[ECL (CNY)]]*Port[[#This Row],[CNY -&gt; FCY]]</f>
        <v>9069.6921148130714</v>
      </c>
      <c r="AC104" s="507">
        <f>Port[[#This Row],[ECL_Interest (CNY)]]*Port[[#This Row],[CNY -&gt; FCY]]</f>
        <v>9.41918243554219</v>
      </c>
      <c r="AD104" s="507">
        <f>Port[[#This Row],[EAD_Drawn (CNY)]]*Port[[#This Row],[CNY -&gt; THB]]</f>
        <v>4055721.8834159998</v>
      </c>
      <c r="AE104" s="507">
        <f>Port[[#This Row],[EAD_Undrawn (CNY)]]*Port[[#This Row],[CNY -&gt; THB]]</f>
        <v>0</v>
      </c>
      <c r="AF104" s="507">
        <f>Port[[#This Row],[EAD (CNY)]]*Port[[#This Row],[CNY -&gt; THB]]</f>
        <v>4055721.8834159998</v>
      </c>
      <c r="AG104" s="507">
        <f>Port[[#This Row],[EAD_Interest (CNY)]]*Port[[#This Row],[CNY -&gt; THB]]</f>
        <v>4212.0045360000004</v>
      </c>
      <c r="AH104" s="507">
        <f>Port[[#This Row],[ECL_Drawn (CNY)]]*Port[[#This Row],[CNY -&gt; THB]]</f>
        <v>47604.999972230849</v>
      </c>
      <c r="AI104" s="507">
        <f>Port[[#This Row],[ECL_Undrawn (CNY)]]*Port[[#This Row],[CNY -&gt; THB]]</f>
        <v>0</v>
      </c>
      <c r="AJ104" s="507">
        <f>Port[[#This Row],[ECL (CNY)]]*Port[[#This Row],[CNY -&gt; THB]]</f>
        <v>47604.999972230849</v>
      </c>
      <c r="AK104" s="507">
        <f>Port[[#This Row],[ECL_Interest (CNY)]]*Port[[#This Row],[CNY -&gt; THB]]</f>
        <v>49.43940476767385</v>
      </c>
      <c r="AL104" s="507">
        <f>Port[[#This Row],[EAD (THB)]]*Port[[#This Row],[PD_avg]]</f>
        <v>52902.428020651896</v>
      </c>
      <c r="AM104" s="507">
        <f>Port[[#This Row],[EAD_Interest (THB)]]*Port[[#This Row],[PD_avg]]</f>
        <v>54.940963210406579</v>
      </c>
      <c r="AN104" s="507">
        <f>Port[[#This Row],[EAD (THB)]]*Port[[#This Row],[LGD_avg]]</f>
        <v>3649598.8439703295</v>
      </c>
      <c r="AO104" s="507">
        <f>Port[[#This Row],[EAD_Interest (THB)]]*Port[[#This Row],[LGD_avg]]</f>
        <v>3790.2320048720781</v>
      </c>
      <c r="AP104" s="507">
        <f>Port[[#This Row],[EAD_Drawn (THB)]]+Port[[#This Row],[EAD_Interest (THB)]]</f>
        <v>4059933.8879519999</v>
      </c>
      <c r="AQ10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60835.828251239996</v>
      </c>
      <c r="AR104" s="522">
        <f>MAX(Port[[#This Row],[ECL (THB)]]+Port[[#This Row],[ECL_Interest (THB)]], Port[[#This Row],[ECL CBIRC (THB)]])</f>
        <v>60835.828251239996</v>
      </c>
    </row>
    <row r="105" spans="1:44">
      <c r="A105" s="2" t="s">
        <v>80</v>
      </c>
      <c r="B105" s="2" t="s">
        <v>60</v>
      </c>
      <c r="C105" s="2" t="s">
        <v>17</v>
      </c>
      <c r="D105" s="2" t="s">
        <v>30</v>
      </c>
      <c r="E105" s="2" t="s">
        <v>19</v>
      </c>
      <c r="F105" s="2" t="s">
        <v>20</v>
      </c>
      <c r="G105" s="2" t="s">
        <v>21</v>
      </c>
      <c r="H105">
        <v>1</v>
      </c>
      <c r="I105" s="2" t="s">
        <v>526</v>
      </c>
      <c r="J105" s="505">
        <v>1.3043899345507868E-2</v>
      </c>
      <c r="K105" s="505">
        <v>0.89992032860799598</v>
      </c>
      <c r="L105" s="3">
        <v>1</v>
      </c>
      <c r="M105" s="3">
        <v>5.2488000000000001</v>
      </c>
      <c r="N105" s="507">
        <v>1317260.8899999999</v>
      </c>
      <c r="O105" s="507">
        <v>0</v>
      </c>
      <c r="P105" s="507">
        <v>1317260.8899999999</v>
      </c>
      <c r="Q105" s="507">
        <v>1368.01</v>
      </c>
      <c r="R105" s="507">
        <v>15462.627683578197</v>
      </c>
      <c r="S105" s="507">
        <v>0</v>
      </c>
      <c r="T105" s="507">
        <v>15462.627683578197</v>
      </c>
      <c r="U105" s="507">
        <v>16.058344598245689</v>
      </c>
      <c r="V105" s="507">
        <f>Port[[#This Row],[EAD_Drawn (CNY)]]*Port[[#This Row],[CNY -&gt; FCY]]</f>
        <v>1317260.8899999999</v>
      </c>
      <c r="W105" s="507">
        <f>Port[[#This Row],[EAD_Undrawn (CNY)]]*Port[[#This Row],[CNY -&gt; FCY]]</f>
        <v>0</v>
      </c>
      <c r="X105" s="507">
        <f>Port[[#This Row],[EAD (CNY)]]*Port[[#This Row],[CNY -&gt; FCY]]</f>
        <v>1317260.8899999999</v>
      </c>
      <c r="Y105" s="507">
        <f>Port[[#This Row],[EAD_Interest (CNY)]]*Port[[#This Row],[CNY -&gt; FCY]]</f>
        <v>1368.01</v>
      </c>
      <c r="Z105" s="507">
        <f>Port[[#This Row],[ECL_Drawn (CNY)]]*Port[[#This Row],[CNY -&gt; FCY]]</f>
        <v>15462.627683578197</v>
      </c>
      <c r="AA105" s="507">
        <f>Port[[#This Row],[ECL_Undrawn (CNY)]]*Port[[#This Row],[CNY -&gt; FCY]]</f>
        <v>0</v>
      </c>
      <c r="AB105" s="507">
        <f>Port[[#This Row],[ECL (CNY)]]*Port[[#This Row],[CNY -&gt; FCY]]</f>
        <v>15462.627683578197</v>
      </c>
      <c r="AC105" s="507">
        <f>Port[[#This Row],[ECL_Interest (CNY)]]*Port[[#This Row],[CNY -&gt; FCY]]</f>
        <v>16.058344598245689</v>
      </c>
      <c r="AD105" s="507">
        <f>Port[[#This Row],[EAD_Drawn (CNY)]]*Port[[#This Row],[CNY -&gt; THB]]</f>
        <v>6914038.9594319994</v>
      </c>
      <c r="AE105" s="507">
        <f>Port[[#This Row],[EAD_Undrawn (CNY)]]*Port[[#This Row],[CNY -&gt; THB]]</f>
        <v>0</v>
      </c>
      <c r="AF105" s="507">
        <f>Port[[#This Row],[EAD (CNY)]]*Port[[#This Row],[CNY -&gt; THB]]</f>
        <v>6914038.9594319994</v>
      </c>
      <c r="AG105" s="507">
        <f>Port[[#This Row],[EAD_Interest (CNY)]]*Port[[#This Row],[CNY -&gt; THB]]</f>
        <v>7180.4108880000003</v>
      </c>
      <c r="AH105" s="507">
        <f>Port[[#This Row],[ECL_Drawn (CNY)]]*Port[[#This Row],[CNY -&gt; THB]]</f>
        <v>81160.240185565242</v>
      </c>
      <c r="AI105" s="507">
        <f>Port[[#This Row],[ECL_Undrawn (CNY)]]*Port[[#This Row],[CNY -&gt; THB]]</f>
        <v>0</v>
      </c>
      <c r="AJ105" s="507">
        <f>Port[[#This Row],[ECL (CNY)]]*Port[[#This Row],[CNY -&gt; THB]]</f>
        <v>81160.240185565242</v>
      </c>
      <c r="AK105" s="507">
        <f>Port[[#This Row],[ECL_Interest (CNY)]]*Port[[#This Row],[CNY -&gt; THB]]</f>
        <v>84.287039127271981</v>
      </c>
      <c r="AL105" s="507">
        <f>Port[[#This Row],[EAD (THB)]]*Port[[#This Row],[PD_avg]]</f>
        <v>90186.028257750964</v>
      </c>
      <c r="AM105" s="507">
        <f>Port[[#This Row],[EAD_Interest (THB)]]*Port[[#This Row],[PD_avg]]</f>
        <v>93.660556882460781</v>
      </c>
      <c r="AN105" s="507">
        <f>Port[[#This Row],[EAD (THB)]]*Port[[#This Row],[LGD_avg]]</f>
        <v>6222084.2123805312</v>
      </c>
      <c r="AO105" s="507">
        <f>Port[[#This Row],[EAD_Interest (THB)]]*Port[[#This Row],[LGD_avg]]</f>
        <v>6461.7977258693927</v>
      </c>
      <c r="AP105" s="507">
        <f>Port[[#This Row],[EAD_Drawn (THB)]]+Port[[#This Row],[EAD_Interest (THB)]]</f>
        <v>6921219.3703199998</v>
      </c>
      <c r="AQ10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103710.58439147999</v>
      </c>
      <c r="AR105" s="522">
        <f>MAX(Port[[#This Row],[ECL (THB)]]+Port[[#This Row],[ECL_Interest (THB)]], Port[[#This Row],[ECL CBIRC (THB)]])</f>
        <v>103710.58439147999</v>
      </c>
    </row>
    <row r="106" spans="1:44">
      <c r="A106" s="2" t="s">
        <v>81</v>
      </c>
      <c r="B106" s="2" t="s">
        <v>60</v>
      </c>
      <c r="C106" s="2" t="s">
        <v>17</v>
      </c>
      <c r="D106" s="2" t="s">
        <v>30</v>
      </c>
      <c r="E106" s="2" t="s">
        <v>19</v>
      </c>
      <c r="F106" s="2" t="s">
        <v>20</v>
      </c>
      <c r="G106" s="2" t="s">
        <v>21</v>
      </c>
      <c r="H106">
        <v>1</v>
      </c>
      <c r="I106" s="2" t="s">
        <v>526</v>
      </c>
      <c r="J106" s="505">
        <v>1.3043899345507868E-2</v>
      </c>
      <c r="K106" s="505">
        <v>0.89994304103057798</v>
      </c>
      <c r="L106" s="3">
        <v>1</v>
      </c>
      <c r="M106" s="3">
        <v>5.2488000000000001</v>
      </c>
      <c r="N106" s="507">
        <v>1842519.44</v>
      </c>
      <c r="O106" s="507">
        <v>0</v>
      </c>
      <c r="P106" s="507">
        <v>1842519.44</v>
      </c>
      <c r="Q106" s="507">
        <v>1913.51</v>
      </c>
      <c r="R106" s="507">
        <v>21628.905374492737</v>
      </c>
      <c r="S106" s="507">
        <v>0</v>
      </c>
      <c r="T106" s="507">
        <v>21628.905374492737</v>
      </c>
      <c r="U106" s="507">
        <v>22.462246978053916</v>
      </c>
      <c r="V106" s="507">
        <f>Port[[#This Row],[EAD_Drawn (CNY)]]*Port[[#This Row],[CNY -&gt; FCY]]</f>
        <v>1842519.44</v>
      </c>
      <c r="W106" s="507">
        <f>Port[[#This Row],[EAD_Undrawn (CNY)]]*Port[[#This Row],[CNY -&gt; FCY]]</f>
        <v>0</v>
      </c>
      <c r="X106" s="507">
        <f>Port[[#This Row],[EAD (CNY)]]*Port[[#This Row],[CNY -&gt; FCY]]</f>
        <v>1842519.44</v>
      </c>
      <c r="Y106" s="507">
        <f>Port[[#This Row],[EAD_Interest (CNY)]]*Port[[#This Row],[CNY -&gt; FCY]]</f>
        <v>1913.51</v>
      </c>
      <c r="Z106" s="507">
        <f>Port[[#This Row],[ECL_Drawn (CNY)]]*Port[[#This Row],[CNY -&gt; FCY]]</f>
        <v>21628.905374492737</v>
      </c>
      <c r="AA106" s="507">
        <f>Port[[#This Row],[ECL_Undrawn (CNY)]]*Port[[#This Row],[CNY -&gt; FCY]]</f>
        <v>0</v>
      </c>
      <c r="AB106" s="507">
        <f>Port[[#This Row],[ECL (CNY)]]*Port[[#This Row],[CNY -&gt; FCY]]</f>
        <v>21628.905374492737</v>
      </c>
      <c r="AC106" s="507">
        <f>Port[[#This Row],[ECL_Interest (CNY)]]*Port[[#This Row],[CNY -&gt; FCY]]</f>
        <v>22.462246978053916</v>
      </c>
      <c r="AD106" s="507">
        <f>Port[[#This Row],[EAD_Drawn (CNY)]]*Port[[#This Row],[CNY -&gt; THB]]</f>
        <v>9671016.0366719998</v>
      </c>
      <c r="AE106" s="507">
        <f>Port[[#This Row],[EAD_Undrawn (CNY)]]*Port[[#This Row],[CNY -&gt; THB]]</f>
        <v>0</v>
      </c>
      <c r="AF106" s="507">
        <f>Port[[#This Row],[EAD (CNY)]]*Port[[#This Row],[CNY -&gt; THB]]</f>
        <v>9671016.0366719998</v>
      </c>
      <c r="AG106" s="507">
        <f>Port[[#This Row],[EAD_Interest (CNY)]]*Port[[#This Row],[CNY -&gt; THB]]</f>
        <v>10043.631288</v>
      </c>
      <c r="AH106" s="507">
        <f>Port[[#This Row],[ECL_Drawn (CNY)]]*Port[[#This Row],[CNY -&gt; THB]]</f>
        <v>113525.79852963748</v>
      </c>
      <c r="AI106" s="507">
        <f>Port[[#This Row],[ECL_Undrawn (CNY)]]*Port[[#This Row],[CNY -&gt; THB]]</f>
        <v>0</v>
      </c>
      <c r="AJ106" s="507">
        <f>Port[[#This Row],[ECL (CNY)]]*Port[[#This Row],[CNY -&gt; THB]]</f>
        <v>113525.79852963748</v>
      </c>
      <c r="AK106" s="507">
        <f>Port[[#This Row],[ECL_Interest (CNY)]]*Port[[#This Row],[CNY -&gt; THB]]</f>
        <v>117.89984193840939</v>
      </c>
      <c r="AL106" s="507">
        <f>Port[[#This Row],[EAD (THB)]]*Port[[#This Row],[PD_avg]]</f>
        <v>126147.759751142</v>
      </c>
      <c r="AM106" s="507">
        <f>Port[[#This Row],[EAD_Interest (THB)]]*Port[[#This Row],[PD_avg]]</f>
        <v>131.00811558406556</v>
      </c>
      <c r="AN106" s="507">
        <f>Port[[#This Row],[EAD (THB)]]*Port[[#This Row],[LGD_avg]]</f>
        <v>8703363.5818980876</v>
      </c>
      <c r="AO106" s="507">
        <f>Port[[#This Row],[EAD_Interest (THB)]]*Port[[#This Row],[LGD_avg]]</f>
        <v>9038.6960843125817</v>
      </c>
      <c r="AP106" s="507">
        <f>Port[[#This Row],[EAD_Drawn (THB)]]+Port[[#This Row],[EAD_Interest (THB)]]</f>
        <v>9681059.6679599993</v>
      </c>
      <c r="AQ10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145065.24055007999</v>
      </c>
      <c r="AR106" s="522">
        <f>MAX(Port[[#This Row],[ECL (THB)]]+Port[[#This Row],[ECL_Interest (THB)]], Port[[#This Row],[ECL CBIRC (THB)]])</f>
        <v>145065.24055007999</v>
      </c>
    </row>
    <row r="107" spans="1:44">
      <c r="A107" s="2" t="s">
        <v>82</v>
      </c>
      <c r="B107" s="2" t="s">
        <v>60</v>
      </c>
      <c r="C107" s="2" t="s">
        <v>17</v>
      </c>
      <c r="D107" s="2" t="s">
        <v>30</v>
      </c>
      <c r="E107" s="2" t="s">
        <v>19</v>
      </c>
      <c r="F107" s="2" t="s">
        <v>20</v>
      </c>
      <c r="G107" s="2" t="s">
        <v>21</v>
      </c>
      <c r="H107">
        <v>1</v>
      </c>
      <c r="I107" s="2" t="s">
        <v>526</v>
      </c>
      <c r="J107" s="505">
        <v>1.3043899345507868E-2</v>
      </c>
      <c r="K107" s="505">
        <v>0.89993597529738711</v>
      </c>
      <c r="L107" s="3">
        <v>1</v>
      </c>
      <c r="M107" s="3">
        <v>5.2488000000000001</v>
      </c>
      <c r="N107" s="507">
        <v>1639179.95</v>
      </c>
      <c r="O107" s="507">
        <v>0</v>
      </c>
      <c r="P107" s="507">
        <v>1639179.95</v>
      </c>
      <c r="Q107" s="507">
        <v>1702.33</v>
      </c>
      <c r="R107" s="507">
        <v>19241.799518013497</v>
      </c>
      <c r="S107" s="507">
        <v>0</v>
      </c>
      <c r="T107" s="507">
        <v>19241.799518013497</v>
      </c>
      <c r="U107" s="507">
        <v>19.983097385677461</v>
      </c>
      <c r="V107" s="507">
        <f>Port[[#This Row],[EAD_Drawn (CNY)]]*Port[[#This Row],[CNY -&gt; FCY]]</f>
        <v>1639179.95</v>
      </c>
      <c r="W107" s="507">
        <f>Port[[#This Row],[EAD_Undrawn (CNY)]]*Port[[#This Row],[CNY -&gt; FCY]]</f>
        <v>0</v>
      </c>
      <c r="X107" s="507">
        <f>Port[[#This Row],[EAD (CNY)]]*Port[[#This Row],[CNY -&gt; FCY]]</f>
        <v>1639179.95</v>
      </c>
      <c r="Y107" s="507">
        <f>Port[[#This Row],[EAD_Interest (CNY)]]*Port[[#This Row],[CNY -&gt; FCY]]</f>
        <v>1702.33</v>
      </c>
      <c r="Z107" s="507">
        <f>Port[[#This Row],[ECL_Drawn (CNY)]]*Port[[#This Row],[CNY -&gt; FCY]]</f>
        <v>19241.799518013497</v>
      </c>
      <c r="AA107" s="507">
        <f>Port[[#This Row],[ECL_Undrawn (CNY)]]*Port[[#This Row],[CNY -&gt; FCY]]</f>
        <v>0</v>
      </c>
      <c r="AB107" s="507">
        <f>Port[[#This Row],[ECL (CNY)]]*Port[[#This Row],[CNY -&gt; FCY]]</f>
        <v>19241.799518013497</v>
      </c>
      <c r="AC107" s="507">
        <f>Port[[#This Row],[ECL_Interest (CNY)]]*Port[[#This Row],[CNY -&gt; FCY]]</f>
        <v>19.983097385677461</v>
      </c>
      <c r="AD107" s="507">
        <f>Port[[#This Row],[EAD_Drawn (CNY)]]*Port[[#This Row],[CNY -&gt; THB]]</f>
        <v>8603727.7215599995</v>
      </c>
      <c r="AE107" s="507">
        <f>Port[[#This Row],[EAD_Undrawn (CNY)]]*Port[[#This Row],[CNY -&gt; THB]]</f>
        <v>0</v>
      </c>
      <c r="AF107" s="507">
        <f>Port[[#This Row],[EAD (CNY)]]*Port[[#This Row],[CNY -&gt; THB]]</f>
        <v>8603727.7215599995</v>
      </c>
      <c r="AG107" s="507">
        <f>Port[[#This Row],[EAD_Interest (CNY)]]*Port[[#This Row],[CNY -&gt; THB]]</f>
        <v>8935.1897040000003</v>
      </c>
      <c r="AH107" s="507">
        <f>Port[[#This Row],[ECL_Drawn (CNY)]]*Port[[#This Row],[CNY -&gt; THB]]</f>
        <v>100996.35731014925</v>
      </c>
      <c r="AI107" s="507">
        <f>Port[[#This Row],[ECL_Undrawn (CNY)]]*Port[[#This Row],[CNY -&gt; THB]]</f>
        <v>0</v>
      </c>
      <c r="AJ107" s="507">
        <f>Port[[#This Row],[ECL (CNY)]]*Port[[#This Row],[CNY -&gt; THB]]</f>
        <v>100996.35731014925</v>
      </c>
      <c r="AK107" s="507">
        <f>Port[[#This Row],[ECL_Interest (CNY)]]*Port[[#This Row],[CNY -&gt; THB]]</f>
        <v>104.88728155794385</v>
      </c>
      <c r="AL107" s="507">
        <f>Port[[#This Row],[EAD (THB)]]*Port[[#This Row],[PD_avg]]</f>
        <v>112226.15839618439</v>
      </c>
      <c r="AM107" s="507">
        <f>Port[[#This Row],[EAD_Interest (THB)]]*Port[[#This Row],[PD_avg]]</f>
        <v>116.54971513199425</v>
      </c>
      <c r="AN107" s="507">
        <f>Port[[#This Row],[EAD (THB)]]*Port[[#This Row],[LGD_avg]]</f>
        <v>7742804.0982952649</v>
      </c>
      <c r="AO107" s="507">
        <f>Port[[#This Row],[EAD_Interest (THB)]]*Port[[#This Row],[LGD_avg]]</f>
        <v>8041.0986607364121</v>
      </c>
      <c r="AP107" s="507">
        <f>Port[[#This Row],[EAD_Drawn (THB)]]+Port[[#This Row],[EAD_Interest (THB)]]</f>
        <v>8612662.9112639986</v>
      </c>
      <c r="AQ10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129055.91582339999</v>
      </c>
      <c r="AR107" s="522">
        <f>MAX(Port[[#This Row],[ECL (THB)]]+Port[[#This Row],[ECL_Interest (THB)]], Port[[#This Row],[ECL CBIRC (THB)]])</f>
        <v>129055.91582339999</v>
      </c>
    </row>
    <row r="108" spans="1:44">
      <c r="A108" s="2" t="s">
        <v>83</v>
      </c>
      <c r="B108" s="2" t="s">
        <v>60</v>
      </c>
      <c r="C108" s="2" t="s">
        <v>17</v>
      </c>
      <c r="D108" s="2" t="s">
        <v>30</v>
      </c>
      <c r="E108" s="2" t="s">
        <v>19</v>
      </c>
      <c r="F108" s="2" t="s">
        <v>20</v>
      </c>
      <c r="G108" s="2" t="s">
        <v>21</v>
      </c>
      <c r="H108">
        <v>1</v>
      </c>
      <c r="I108" s="2" t="s">
        <v>526</v>
      </c>
      <c r="J108" s="505">
        <v>1.3043899345507868E-2</v>
      </c>
      <c r="K108" s="505">
        <v>0.89996035907717431</v>
      </c>
      <c r="L108" s="3">
        <v>1</v>
      </c>
      <c r="M108" s="3">
        <v>5.2488000000000001</v>
      </c>
      <c r="N108" s="507">
        <v>2647466.33</v>
      </c>
      <c r="O108" s="507">
        <v>0</v>
      </c>
      <c r="P108" s="507">
        <v>2647466.33</v>
      </c>
      <c r="Q108" s="507">
        <v>2749.47</v>
      </c>
      <c r="R108" s="507">
        <v>31078.586964967995</v>
      </c>
      <c r="S108" s="507">
        <v>0</v>
      </c>
      <c r="T108" s="507">
        <v>31078.586964967995</v>
      </c>
      <c r="U108" s="507">
        <v>32.276007265622347</v>
      </c>
      <c r="V108" s="507">
        <f>Port[[#This Row],[EAD_Drawn (CNY)]]*Port[[#This Row],[CNY -&gt; FCY]]</f>
        <v>2647466.33</v>
      </c>
      <c r="W108" s="507">
        <f>Port[[#This Row],[EAD_Undrawn (CNY)]]*Port[[#This Row],[CNY -&gt; FCY]]</f>
        <v>0</v>
      </c>
      <c r="X108" s="507">
        <f>Port[[#This Row],[EAD (CNY)]]*Port[[#This Row],[CNY -&gt; FCY]]</f>
        <v>2647466.33</v>
      </c>
      <c r="Y108" s="507">
        <f>Port[[#This Row],[EAD_Interest (CNY)]]*Port[[#This Row],[CNY -&gt; FCY]]</f>
        <v>2749.47</v>
      </c>
      <c r="Z108" s="507">
        <f>Port[[#This Row],[ECL_Drawn (CNY)]]*Port[[#This Row],[CNY -&gt; FCY]]</f>
        <v>31078.586964967995</v>
      </c>
      <c r="AA108" s="507">
        <f>Port[[#This Row],[ECL_Undrawn (CNY)]]*Port[[#This Row],[CNY -&gt; FCY]]</f>
        <v>0</v>
      </c>
      <c r="AB108" s="507">
        <f>Port[[#This Row],[ECL (CNY)]]*Port[[#This Row],[CNY -&gt; FCY]]</f>
        <v>31078.586964967995</v>
      </c>
      <c r="AC108" s="507">
        <f>Port[[#This Row],[ECL_Interest (CNY)]]*Port[[#This Row],[CNY -&gt; FCY]]</f>
        <v>32.276007265622347</v>
      </c>
      <c r="AD108" s="507">
        <f>Port[[#This Row],[EAD_Drawn (CNY)]]*Port[[#This Row],[CNY -&gt; THB]]</f>
        <v>13896021.272904001</v>
      </c>
      <c r="AE108" s="507">
        <f>Port[[#This Row],[EAD_Undrawn (CNY)]]*Port[[#This Row],[CNY -&gt; THB]]</f>
        <v>0</v>
      </c>
      <c r="AF108" s="507">
        <f>Port[[#This Row],[EAD (CNY)]]*Port[[#This Row],[CNY -&gt; THB]]</f>
        <v>13896021.272904001</v>
      </c>
      <c r="AG108" s="507">
        <f>Port[[#This Row],[EAD_Interest (CNY)]]*Port[[#This Row],[CNY -&gt; THB]]</f>
        <v>14431.418135999998</v>
      </c>
      <c r="AH108" s="507">
        <f>Port[[#This Row],[ECL_Drawn (CNY)]]*Port[[#This Row],[CNY -&gt; THB]]</f>
        <v>163125.28726172401</v>
      </c>
      <c r="AI108" s="507">
        <f>Port[[#This Row],[ECL_Undrawn (CNY)]]*Port[[#This Row],[CNY -&gt; THB]]</f>
        <v>0</v>
      </c>
      <c r="AJ108" s="507">
        <f>Port[[#This Row],[ECL (CNY)]]*Port[[#This Row],[CNY -&gt; THB]]</f>
        <v>163125.28726172401</v>
      </c>
      <c r="AK108" s="507">
        <f>Port[[#This Row],[ECL_Interest (CNY)]]*Port[[#This Row],[CNY -&gt; THB]]</f>
        <v>169.41030693579859</v>
      </c>
      <c r="AL108" s="507">
        <f>Port[[#This Row],[EAD (THB)]]*Port[[#This Row],[PD_avg]]</f>
        <v>181258.30278679592</v>
      </c>
      <c r="AM108" s="507">
        <f>Port[[#This Row],[EAD_Interest (THB)]]*Port[[#This Row],[PD_avg]]</f>
        <v>188.24196557892077</v>
      </c>
      <c r="AN108" s="507">
        <f>Port[[#This Row],[EAD (THB)]]*Port[[#This Row],[LGD_avg]]</f>
        <v>12505868.294506738</v>
      </c>
      <c r="AO108" s="507">
        <f>Port[[#This Row],[EAD_Interest (THB)]]*Port[[#This Row],[LGD_avg]]</f>
        <v>12987.704247667403</v>
      </c>
      <c r="AP108" s="507">
        <f>Port[[#This Row],[EAD_Drawn (THB)]]+Port[[#This Row],[EAD_Interest (THB)]]</f>
        <v>13910452.691040002</v>
      </c>
      <c r="AQ10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208440.31909356001</v>
      </c>
      <c r="AR108" s="522">
        <f>MAX(Port[[#This Row],[ECL (THB)]]+Port[[#This Row],[ECL_Interest (THB)]], Port[[#This Row],[ECL CBIRC (THB)]])</f>
        <v>208440.31909356001</v>
      </c>
    </row>
    <row r="109" spans="1:44">
      <c r="A109" s="2" t="s">
        <v>84</v>
      </c>
      <c r="B109" s="2" t="s">
        <v>60</v>
      </c>
      <c r="C109" s="2" t="s">
        <v>17</v>
      </c>
      <c r="D109" s="2" t="s">
        <v>30</v>
      </c>
      <c r="E109" s="2" t="s">
        <v>19</v>
      </c>
      <c r="F109" s="2" t="s">
        <v>20</v>
      </c>
      <c r="G109" s="2" t="s">
        <v>21</v>
      </c>
      <c r="H109">
        <v>1</v>
      </c>
      <c r="I109" s="2" t="s">
        <v>526</v>
      </c>
      <c r="J109" s="505">
        <v>1.3043899345507868E-2</v>
      </c>
      <c r="K109" s="505">
        <v>0.89997439864255613</v>
      </c>
      <c r="L109" s="3">
        <v>1</v>
      </c>
      <c r="M109" s="3">
        <v>5.2488000000000001</v>
      </c>
      <c r="N109" s="507">
        <v>4099314.22</v>
      </c>
      <c r="O109" s="507">
        <v>0</v>
      </c>
      <c r="P109" s="507">
        <v>4099314.22</v>
      </c>
      <c r="Q109" s="507">
        <v>4257.25</v>
      </c>
      <c r="R109" s="507">
        <v>48122.56893289923</v>
      </c>
      <c r="S109" s="507">
        <v>0</v>
      </c>
      <c r="T109" s="507">
        <v>48122.56893289923</v>
      </c>
      <c r="U109" s="507">
        <v>49.976604767220124</v>
      </c>
      <c r="V109" s="507">
        <f>Port[[#This Row],[EAD_Drawn (CNY)]]*Port[[#This Row],[CNY -&gt; FCY]]</f>
        <v>4099314.22</v>
      </c>
      <c r="W109" s="507">
        <f>Port[[#This Row],[EAD_Undrawn (CNY)]]*Port[[#This Row],[CNY -&gt; FCY]]</f>
        <v>0</v>
      </c>
      <c r="X109" s="507">
        <f>Port[[#This Row],[EAD (CNY)]]*Port[[#This Row],[CNY -&gt; FCY]]</f>
        <v>4099314.22</v>
      </c>
      <c r="Y109" s="507">
        <f>Port[[#This Row],[EAD_Interest (CNY)]]*Port[[#This Row],[CNY -&gt; FCY]]</f>
        <v>4257.25</v>
      </c>
      <c r="Z109" s="507">
        <f>Port[[#This Row],[ECL_Drawn (CNY)]]*Port[[#This Row],[CNY -&gt; FCY]]</f>
        <v>48122.56893289923</v>
      </c>
      <c r="AA109" s="507">
        <f>Port[[#This Row],[ECL_Undrawn (CNY)]]*Port[[#This Row],[CNY -&gt; FCY]]</f>
        <v>0</v>
      </c>
      <c r="AB109" s="507">
        <f>Port[[#This Row],[ECL (CNY)]]*Port[[#This Row],[CNY -&gt; FCY]]</f>
        <v>48122.56893289923</v>
      </c>
      <c r="AC109" s="507">
        <f>Port[[#This Row],[ECL_Interest (CNY)]]*Port[[#This Row],[CNY -&gt; FCY]]</f>
        <v>49.976604767220124</v>
      </c>
      <c r="AD109" s="507">
        <f>Port[[#This Row],[EAD_Drawn (CNY)]]*Port[[#This Row],[CNY -&gt; THB]]</f>
        <v>21516480.477936003</v>
      </c>
      <c r="AE109" s="507">
        <f>Port[[#This Row],[EAD_Undrawn (CNY)]]*Port[[#This Row],[CNY -&gt; THB]]</f>
        <v>0</v>
      </c>
      <c r="AF109" s="507">
        <f>Port[[#This Row],[EAD (CNY)]]*Port[[#This Row],[CNY -&gt; THB]]</f>
        <v>21516480.477936003</v>
      </c>
      <c r="AG109" s="507">
        <f>Port[[#This Row],[EAD_Interest (CNY)]]*Port[[#This Row],[CNY -&gt; THB]]</f>
        <v>22345.453799999999</v>
      </c>
      <c r="AH109" s="507">
        <f>Port[[#This Row],[ECL_Drawn (CNY)]]*Port[[#This Row],[CNY -&gt; THB]]</f>
        <v>252585.73981500149</v>
      </c>
      <c r="AI109" s="507">
        <f>Port[[#This Row],[ECL_Undrawn (CNY)]]*Port[[#This Row],[CNY -&gt; THB]]</f>
        <v>0</v>
      </c>
      <c r="AJ109" s="507">
        <f>Port[[#This Row],[ECL (CNY)]]*Port[[#This Row],[CNY -&gt; THB]]</f>
        <v>252585.73981500149</v>
      </c>
      <c r="AK109" s="507">
        <f>Port[[#This Row],[ECL_Interest (CNY)]]*Port[[#This Row],[CNY -&gt; THB]]</f>
        <v>262.31720310218498</v>
      </c>
      <c r="AL109" s="507">
        <f>Port[[#This Row],[EAD (THB)]]*Port[[#This Row],[PD_avg]]</f>
        <v>280658.80562378227</v>
      </c>
      <c r="AM109" s="507">
        <f>Port[[#This Row],[EAD_Interest (THB)]]*Port[[#This Row],[PD_avg]]</f>
        <v>291.4718501968963</v>
      </c>
      <c r="AN109" s="507">
        <f>Port[[#This Row],[EAD (THB)]]*Port[[#This Row],[LGD_avg]]</f>
        <v>19364281.579034753</v>
      </c>
      <c r="AO109" s="507">
        <f>Port[[#This Row],[EAD_Interest (THB)]]*Port[[#This Row],[LGD_avg]]</f>
        <v>20110.336346050019</v>
      </c>
      <c r="AP109" s="507">
        <f>Port[[#This Row],[EAD_Drawn (THB)]]+Port[[#This Row],[EAD_Interest (THB)]]</f>
        <v>21538825.931736004</v>
      </c>
      <c r="AQ10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322747.20716904005</v>
      </c>
      <c r="AR109" s="522">
        <f>MAX(Port[[#This Row],[ECL (THB)]]+Port[[#This Row],[ECL_Interest (THB)]], Port[[#This Row],[ECL CBIRC (THB)]])</f>
        <v>322747.20716904005</v>
      </c>
    </row>
    <row r="110" spans="1:44">
      <c r="A110" s="2" t="s">
        <v>85</v>
      </c>
      <c r="B110" s="2" t="s">
        <v>60</v>
      </c>
      <c r="C110" s="2" t="s">
        <v>17</v>
      </c>
      <c r="D110" s="2" t="s">
        <v>30</v>
      </c>
      <c r="E110" s="2" t="s">
        <v>19</v>
      </c>
      <c r="F110" s="2" t="s">
        <v>20</v>
      </c>
      <c r="G110" s="2" t="s">
        <v>21</v>
      </c>
      <c r="H110">
        <v>1</v>
      </c>
      <c r="I110" s="2" t="s">
        <v>526</v>
      </c>
      <c r="J110" s="505">
        <v>1.3043899345507868E-2</v>
      </c>
      <c r="K110" s="505">
        <v>0.89996519913264883</v>
      </c>
      <c r="L110" s="3">
        <v>1</v>
      </c>
      <c r="M110" s="3">
        <v>5.2488000000000001</v>
      </c>
      <c r="N110" s="507">
        <v>3015672.21</v>
      </c>
      <c r="O110" s="507">
        <v>0</v>
      </c>
      <c r="P110" s="507">
        <v>3015672.21</v>
      </c>
      <c r="Q110" s="507">
        <v>3131.86</v>
      </c>
      <c r="R110" s="507">
        <v>35401.143358396635</v>
      </c>
      <c r="S110" s="507">
        <v>0</v>
      </c>
      <c r="T110" s="507">
        <v>35401.143358396635</v>
      </c>
      <c r="U110" s="507">
        <v>36.765078270369472</v>
      </c>
      <c r="V110" s="507">
        <f>Port[[#This Row],[EAD_Drawn (CNY)]]*Port[[#This Row],[CNY -&gt; FCY]]</f>
        <v>3015672.21</v>
      </c>
      <c r="W110" s="507">
        <f>Port[[#This Row],[EAD_Undrawn (CNY)]]*Port[[#This Row],[CNY -&gt; FCY]]</f>
        <v>0</v>
      </c>
      <c r="X110" s="507">
        <f>Port[[#This Row],[EAD (CNY)]]*Port[[#This Row],[CNY -&gt; FCY]]</f>
        <v>3015672.21</v>
      </c>
      <c r="Y110" s="507">
        <f>Port[[#This Row],[EAD_Interest (CNY)]]*Port[[#This Row],[CNY -&gt; FCY]]</f>
        <v>3131.86</v>
      </c>
      <c r="Z110" s="507">
        <f>Port[[#This Row],[ECL_Drawn (CNY)]]*Port[[#This Row],[CNY -&gt; FCY]]</f>
        <v>35401.143358396635</v>
      </c>
      <c r="AA110" s="507">
        <f>Port[[#This Row],[ECL_Undrawn (CNY)]]*Port[[#This Row],[CNY -&gt; FCY]]</f>
        <v>0</v>
      </c>
      <c r="AB110" s="507">
        <f>Port[[#This Row],[ECL (CNY)]]*Port[[#This Row],[CNY -&gt; FCY]]</f>
        <v>35401.143358396635</v>
      </c>
      <c r="AC110" s="507">
        <f>Port[[#This Row],[ECL_Interest (CNY)]]*Port[[#This Row],[CNY -&gt; FCY]]</f>
        <v>36.765078270369472</v>
      </c>
      <c r="AD110" s="507">
        <f>Port[[#This Row],[EAD_Drawn (CNY)]]*Port[[#This Row],[CNY -&gt; THB]]</f>
        <v>15828660.295848001</v>
      </c>
      <c r="AE110" s="507">
        <f>Port[[#This Row],[EAD_Undrawn (CNY)]]*Port[[#This Row],[CNY -&gt; THB]]</f>
        <v>0</v>
      </c>
      <c r="AF110" s="507">
        <f>Port[[#This Row],[EAD (CNY)]]*Port[[#This Row],[CNY -&gt; THB]]</f>
        <v>15828660.295848001</v>
      </c>
      <c r="AG110" s="507">
        <f>Port[[#This Row],[EAD_Interest (CNY)]]*Port[[#This Row],[CNY -&gt; THB]]</f>
        <v>16438.506767999999</v>
      </c>
      <c r="AH110" s="507">
        <f>Port[[#This Row],[ECL_Drawn (CNY)]]*Port[[#This Row],[CNY -&gt; THB]]</f>
        <v>185813.52125955228</v>
      </c>
      <c r="AI110" s="507">
        <f>Port[[#This Row],[ECL_Undrawn (CNY)]]*Port[[#This Row],[CNY -&gt; THB]]</f>
        <v>0</v>
      </c>
      <c r="AJ110" s="507">
        <f>Port[[#This Row],[ECL (CNY)]]*Port[[#This Row],[CNY -&gt; THB]]</f>
        <v>185813.52125955228</v>
      </c>
      <c r="AK110" s="507">
        <f>Port[[#This Row],[ECL_Interest (CNY)]]*Port[[#This Row],[CNY -&gt; THB]]</f>
        <v>192.97254282551529</v>
      </c>
      <c r="AL110" s="507">
        <f>Port[[#This Row],[EAD (THB)]]*Port[[#This Row],[PD_avg]]</f>
        <v>206467.45167327812</v>
      </c>
      <c r="AM110" s="507">
        <f>Port[[#This Row],[EAD_Interest (THB)]]*Port[[#This Row],[PD_avg]]</f>
        <v>214.42222767224186</v>
      </c>
      <c r="AN110" s="507">
        <f>Port[[#This Row],[EAD (THB)]]*Port[[#This Row],[LGD_avg]]</f>
        <v>14245243.415155899</v>
      </c>
      <c r="AO110" s="507">
        <f>Port[[#This Row],[EAD_Interest (THB)]]*Port[[#This Row],[LGD_avg]]</f>
        <v>14794.084016906514</v>
      </c>
      <c r="AP110" s="507">
        <f>Port[[#This Row],[EAD_Drawn (THB)]]+Port[[#This Row],[EAD_Interest (THB)]]</f>
        <v>15845098.802616</v>
      </c>
      <c r="AQ1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237429.90443771999</v>
      </c>
      <c r="AR110" s="522">
        <f>MAX(Port[[#This Row],[ECL (THB)]]+Port[[#This Row],[ECL_Interest (THB)]], Port[[#This Row],[ECL CBIRC (THB)]])</f>
        <v>237429.90443771999</v>
      </c>
    </row>
    <row r="111" spans="1:44">
      <c r="A111" s="2" t="s">
        <v>86</v>
      </c>
      <c r="B111" s="2" t="s">
        <v>60</v>
      </c>
      <c r="C111" s="2" t="s">
        <v>17</v>
      </c>
      <c r="D111" s="2" t="s">
        <v>30</v>
      </c>
      <c r="E111" s="2" t="s">
        <v>19</v>
      </c>
      <c r="F111" s="2" t="s">
        <v>20</v>
      </c>
      <c r="G111" s="2" t="s">
        <v>21</v>
      </c>
      <c r="H111">
        <v>1</v>
      </c>
      <c r="I111" s="2" t="s">
        <v>526</v>
      </c>
      <c r="J111" s="505">
        <v>1.3043899345507868E-2</v>
      </c>
      <c r="K111" s="505">
        <v>0.89975533304650646</v>
      </c>
      <c r="L111" s="3">
        <v>1</v>
      </c>
      <c r="M111" s="3">
        <v>5.2488000000000001</v>
      </c>
      <c r="N111" s="507">
        <v>428942.31</v>
      </c>
      <c r="O111" s="507">
        <v>0</v>
      </c>
      <c r="P111" s="507">
        <v>428942.31</v>
      </c>
      <c r="Q111" s="507">
        <v>445.47</v>
      </c>
      <c r="R111" s="507">
        <v>5034.2033537470379</v>
      </c>
      <c r="S111" s="507">
        <v>0</v>
      </c>
      <c r="T111" s="507">
        <v>5034.2033537470379</v>
      </c>
      <c r="U111" s="507">
        <v>5.2281775793898557</v>
      </c>
      <c r="V111" s="507">
        <f>Port[[#This Row],[EAD_Drawn (CNY)]]*Port[[#This Row],[CNY -&gt; FCY]]</f>
        <v>428942.31</v>
      </c>
      <c r="W111" s="507">
        <f>Port[[#This Row],[EAD_Undrawn (CNY)]]*Port[[#This Row],[CNY -&gt; FCY]]</f>
        <v>0</v>
      </c>
      <c r="X111" s="507">
        <f>Port[[#This Row],[EAD (CNY)]]*Port[[#This Row],[CNY -&gt; FCY]]</f>
        <v>428942.31</v>
      </c>
      <c r="Y111" s="507">
        <f>Port[[#This Row],[EAD_Interest (CNY)]]*Port[[#This Row],[CNY -&gt; FCY]]</f>
        <v>445.47</v>
      </c>
      <c r="Z111" s="507">
        <f>Port[[#This Row],[ECL_Drawn (CNY)]]*Port[[#This Row],[CNY -&gt; FCY]]</f>
        <v>5034.2033537470379</v>
      </c>
      <c r="AA111" s="507">
        <f>Port[[#This Row],[ECL_Undrawn (CNY)]]*Port[[#This Row],[CNY -&gt; FCY]]</f>
        <v>0</v>
      </c>
      <c r="AB111" s="507">
        <f>Port[[#This Row],[ECL (CNY)]]*Port[[#This Row],[CNY -&gt; FCY]]</f>
        <v>5034.2033537470379</v>
      </c>
      <c r="AC111" s="507">
        <f>Port[[#This Row],[ECL_Interest (CNY)]]*Port[[#This Row],[CNY -&gt; FCY]]</f>
        <v>5.2281775793898557</v>
      </c>
      <c r="AD111" s="507">
        <f>Port[[#This Row],[EAD_Drawn (CNY)]]*Port[[#This Row],[CNY -&gt; THB]]</f>
        <v>2251432.3967280001</v>
      </c>
      <c r="AE111" s="507">
        <f>Port[[#This Row],[EAD_Undrawn (CNY)]]*Port[[#This Row],[CNY -&gt; THB]]</f>
        <v>0</v>
      </c>
      <c r="AF111" s="507">
        <f>Port[[#This Row],[EAD (CNY)]]*Port[[#This Row],[CNY -&gt; THB]]</f>
        <v>2251432.3967280001</v>
      </c>
      <c r="AG111" s="507">
        <f>Port[[#This Row],[EAD_Interest (CNY)]]*Port[[#This Row],[CNY -&gt; THB]]</f>
        <v>2338.1829360000002</v>
      </c>
      <c r="AH111" s="507">
        <f>Port[[#This Row],[ECL_Drawn (CNY)]]*Port[[#This Row],[CNY -&gt; THB]]</f>
        <v>26423.526563147454</v>
      </c>
      <c r="AI111" s="507">
        <f>Port[[#This Row],[ECL_Undrawn (CNY)]]*Port[[#This Row],[CNY -&gt; THB]]</f>
        <v>0</v>
      </c>
      <c r="AJ111" s="507">
        <f>Port[[#This Row],[ECL (CNY)]]*Port[[#This Row],[CNY -&gt; THB]]</f>
        <v>26423.526563147454</v>
      </c>
      <c r="AK111" s="507">
        <f>Port[[#This Row],[ECL_Interest (CNY)]]*Port[[#This Row],[CNY -&gt; THB]]</f>
        <v>27.441658478701477</v>
      </c>
      <c r="AL111" s="507">
        <f>Port[[#This Row],[EAD (THB)]]*Port[[#This Row],[PD_avg]]</f>
        <v>29367.457566135574</v>
      </c>
      <c r="AM111" s="507">
        <f>Port[[#This Row],[EAD_Interest (THB)]]*Port[[#This Row],[PD_avg]]</f>
        <v>30.499022868568069</v>
      </c>
      <c r="AN111" s="507">
        <f>Port[[#This Row],[EAD (THB)]]*Port[[#This Row],[LGD_avg]]</f>
        <v>2025738.3059496961</v>
      </c>
      <c r="AO111" s="507">
        <f>Port[[#This Row],[EAD_Interest (THB)]]*Port[[#This Row],[LGD_avg]]</f>
        <v>2103.7925663043384</v>
      </c>
      <c r="AP111" s="507">
        <f>Port[[#This Row],[EAD_Drawn (THB)]]+Port[[#This Row],[EAD_Interest (THB)]]</f>
        <v>2253770.5796640003</v>
      </c>
      <c r="AQ1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33771.485950920003</v>
      </c>
      <c r="AR111" s="522">
        <f>MAX(Port[[#This Row],[ECL (THB)]]+Port[[#This Row],[ECL_Interest (THB)]], Port[[#This Row],[ECL CBIRC (THB)]])</f>
        <v>33771.485950920003</v>
      </c>
    </row>
    <row r="112" spans="1:44">
      <c r="A112" s="2" t="s">
        <v>87</v>
      </c>
      <c r="B112" s="2" t="s">
        <v>60</v>
      </c>
      <c r="C112" s="2" t="s">
        <v>17</v>
      </c>
      <c r="D112" s="2" t="s">
        <v>30</v>
      </c>
      <c r="E112" s="2" t="s">
        <v>19</v>
      </c>
      <c r="F112" s="2" t="s">
        <v>20</v>
      </c>
      <c r="G112" s="2" t="s">
        <v>21</v>
      </c>
      <c r="H112">
        <v>1</v>
      </c>
      <c r="I112" s="2" t="s">
        <v>526</v>
      </c>
      <c r="J112" s="505">
        <v>1.3043899345507868E-2</v>
      </c>
      <c r="K112" s="505">
        <v>0.89988263477375363</v>
      </c>
      <c r="L112" s="3">
        <v>1</v>
      </c>
      <c r="M112" s="3">
        <v>5.2488000000000001</v>
      </c>
      <c r="N112" s="507">
        <v>894200.2</v>
      </c>
      <c r="O112" s="507">
        <v>0</v>
      </c>
      <c r="P112" s="507">
        <v>894200.2</v>
      </c>
      <c r="Q112" s="507">
        <v>928.65</v>
      </c>
      <c r="R112" s="507">
        <v>10496.102731916633</v>
      </c>
      <c r="S112" s="507">
        <v>0</v>
      </c>
      <c r="T112" s="507">
        <v>10496.102731916633</v>
      </c>
      <c r="U112" s="507">
        <v>10.900473744016585</v>
      </c>
      <c r="V112" s="507">
        <f>Port[[#This Row],[EAD_Drawn (CNY)]]*Port[[#This Row],[CNY -&gt; FCY]]</f>
        <v>894200.2</v>
      </c>
      <c r="W112" s="507">
        <f>Port[[#This Row],[EAD_Undrawn (CNY)]]*Port[[#This Row],[CNY -&gt; FCY]]</f>
        <v>0</v>
      </c>
      <c r="X112" s="507">
        <f>Port[[#This Row],[EAD (CNY)]]*Port[[#This Row],[CNY -&gt; FCY]]</f>
        <v>894200.2</v>
      </c>
      <c r="Y112" s="507">
        <f>Port[[#This Row],[EAD_Interest (CNY)]]*Port[[#This Row],[CNY -&gt; FCY]]</f>
        <v>928.65</v>
      </c>
      <c r="Z112" s="507">
        <f>Port[[#This Row],[ECL_Drawn (CNY)]]*Port[[#This Row],[CNY -&gt; FCY]]</f>
        <v>10496.102731916633</v>
      </c>
      <c r="AA112" s="507">
        <f>Port[[#This Row],[ECL_Undrawn (CNY)]]*Port[[#This Row],[CNY -&gt; FCY]]</f>
        <v>0</v>
      </c>
      <c r="AB112" s="507">
        <f>Port[[#This Row],[ECL (CNY)]]*Port[[#This Row],[CNY -&gt; FCY]]</f>
        <v>10496.102731916633</v>
      </c>
      <c r="AC112" s="507">
        <f>Port[[#This Row],[ECL_Interest (CNY)]]*Port[[#This Row],[CNY -&gt; FCY]]</f>
        <v>10.900473744016585</v>
      </c>
      <c r="AD112" s="507">
        <f>Port[[#This Row],[EAD_Drawn (CNY)]]*Port[[#This Row],[CNY -&gt; THB]]</f>
        <v>4693478.0097599998</v>
      </c>
      <c r="AE112" s="507">
        <f>Port[[#This Row],[EAD_Undrawn (CNY)]]*Port[[#This Row],[CNY -&gt; THB]]</f>
        <v>0</v>
      </c>
      <c r="AF112" s="507">
        <f>Port[[#This Row],[EAD (CNY)]]*Port[[#This Row],[CNY -&gt; THB]]</f>
        <v>4693478.0097599998</v>
      </c>
      <c r="AG112" s="507">
        <f>Port[[#This Row],[EAD_Interest (CNY)]]*Port[[#This Row],[CNY -&gt; THB]]</f>
        <v>4874.2981200000004</v>
      </c>
      <c r="AH112" s="507">
        <f>Port[[#This Row],[ECL_Drawn (CNY)]]*Port[[#This Row],[CNY -&gt; THB]]</f>
        <v>55091.944019284027</v>
      </c>
      <c r="AI112" s="507">
        <f>Port[[#This Row],[ECL_Undrawn (CNY)]]*Port[[#This Row],[CNY -&gt; THB]]</f>
        <v>0</v>
      </c>
      <c r="AJ112" s="507">
        <f>Port[[#This Row],[ECL (CNY)]]*Port[[#This Row],[CNY -&gt; THB]]</f>
        <v>55091.944019284027</v>
      </c>
      <c r="AK112" s="507">
        <f>Port[[#This Row],[ECL_Interest (CNY)]]*Port[[#This Row],[CNY -&gt; THB]]</f>
        <v>57.214406587594254</v>
      </c>
      <c r="AL112" s="507">
        <f>Port[[#This Row],[EAD (THB)]]*Port[[#This Row],[PD_avg]]</f>
        <v>61221.254739664037</v>
      </c>
      <c r="AM112" s="507">
        <f>Port[[#This Row],[EAD_Interest (THB)]]*Port[[#This Row],[PD_avg]]</f>
        <v>63.57985405727824</v>
      </c>
      <c r="AN112" s="507">
        <f>Port[[#This Row],[EAD (THB)]]*Port[[#This Row],[LGD_avg]]</f>
        <v>4223579.3576755021</v>
      </c>
      <c r="AO112" s="507">
        <f>Port[[#This Row],[EAD_Interest (THB)]]*Port[[#This Row],[LGD_avg]]</f>
        <v>4386.2962348983547</v>
      </c>
      <c r="AP112" s="507">
        <f>Port[[#This Row],[EAD_Drawn (THB)]]+Port[[#This Row],[EAD_Interest (THB)]]</f>
        <v>4698352.3078800002</v>
      </c>
      <c r="AQ1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70402.170146399993</v>
      </c>
      <c r="AR112" s="522">
        <f>MAX(Port[[#This Row],[ECL (THB)]]+Port[[#This Row],[ECL_Interest (THB)]], Port[[#This Row],[ECL CBIRC (THB)]])</f>
        <v>70402.170146399993</v>
      </c>
    </row>
    <row r="113" spans="1:44">
      <c r="A113" s="2" t="s">
        <v>88</v>
      </c>
      <c r="B113" s="2" t="s">
        <v>60</v>
      </c>
      <c r="C113" s="2" t="s">
        <v>17</v>
      </c>
      <c r="D113" s="2" t="s">
        <v>30</v>
      </c>
      <c r="E113" s="2" t="s">
        <v>19</v>
      </c>
      <c r="F113" s="2" t="s">
        <v>20</v>
      </c>
      <c r="G113" s="2" t="s">
        <v>21</v>
      </c>
      <c r="H113">
        <v>1</v>
      </c>
      <c r="I113" s="2" t="s">
        <v>526</v>
      </c>
      <c r="J113" s="505">
        <v>1.3043899345507868E-2</v>
      </c>
      <c r="K113" s="505">
        <v>0.8995292376797881</v>
      </c>
      <c r="L113" s="3">
        <v>1</v>
      </c>
      <c r="M113" s="3">
        <v>5.2488000000000001</v>
      </c>
      <c r="N113" s="507">
        <v>222932.05</v>
      </c>
      <c r="O113" s="507">
        <v>0</v>
      </c>
      <c r="P113" s="507">
        <v>222932.05</v>
      </c>
      <c r="Q113" s="507">
        <v>231.52</v>
      </c>
      <c r="R113" s="507">
        <v>2615.7439677116431</v>
      </c>
      <c r="S113" s="507">
        <v>0</v>
      </c>
      <c r="T113" s="507">
        <v>2615.7439677116431</v>
      </c>
      <c r="U113" s="507">
        <v>2.7165095525950611</v>
      </c>
      <c r="V113" s="507">
        <f>Port[[#This Row],[EAD_Drawn (CNY)]]*Port[[#This Row],[CNY -&gt; FCY]]</f>
        <v>222932.05</v>
      </c>
      <c r="W113" s="507">
        <f>Port[[#This Row],[EAD_Undrawn (CNY)]]*Port[[#This Row],[CNY -&gt; FCY]]</f>
        <v>0</v>
      </c>
      <c r="X113" s="507">
        <f>Port[[#This Row],[EAD (CNY)]]*Port[[#This Row],[CNY -&gt; FCY]]</f>
        <v>222932.05</v>
      </c>
      <c r="Y113" s="507">
        <f>Port[[#This Row],[EAD_Interest (CNY)]]*Port[[#This Row],[CNY -&gt; FCY]]</f>
        <v>231.52</v>
      </c>
      <c r="Z113" s="507">
        <f>Port[[#This Row],[ECL_Drawn (CNY)]]*Port[[#This Row],[CNY -&gt; FCY]]</f>
        <v>2615.7439677116431</v>
      </c>
      <c r="AA113" s="507">
        <f>Port[[#This Row],[ECL_Undrawn (CNY)]]*Port[[#This Row],[CNY -&gt; FCY]]</f>
        <v>0</v>
      </c>
      <c r="AB113" s="507">
        <f>Port[[#This Row],[ECL (CNY)]]*Port[[#This Row],[CNY -&gt; FCY]]</f>
        <v>2615.7439677116431</v>
      </c>
      <c r="AC113" s="507">
        <f>Port[[#This Row],[ECL_Interest (CNY)]]*Port[[#This Row],[CNY -&gt; FCY]]</f>
        <v>2.7165095525950611</v>
      </c>
      <c r="AD113" s="507">
        <f>Port[[#This Row],[EAD_Drawn (CNY)]]*Port[[#This Row],[CNY -&gt; THB]]</f>
        <v>1170125.74404</v>
      </c>
      <c r="AE113" s="507">
        <f>Port[[#This Row],[EAD_Undrawn (CNY)]]*Port[[#This Row],[CNY -&gt; THB]]</f>
        <v>0</v>
      </c>
      <c r="AF113" s="507">
        <f>Port[[#This Row],[EAD (CNY)]]*Port[[#This Row],[CNY -&gt; THB]]</f>
        <v>1170125.74404</v>
      </c>
      <c r="AG113" s="507">
        <f>Port[[#This Row],[EAD_Interest (CNY)]]*Port[[#This Row],[CNY -&gt; THB]]</f>
        <v>1215.202176</v>
      </c>
      <c r="AH113" s="507">
        <f>Port[[#This Row],[ECL_Drawn (CNY)]]*Port[[#This Row],[CNY -&gt; THB]]</f>
        <v>13729.516937724873</v>
      </c>
      <c r="AI113" s="507">
        <f>Port[[#This Row],[ECL_Undrawn (CNY)]]*Port[[#This Row],[CNY -&gt; THB]]</f>
        <v>0</v>
      </c>
      <c r="AJ113" s="507">
        <f>Port[[#This Row],[ECL (CNY)]]*Port[[#This Row],[CNY -&gt; THB]]</f>
        <v>13729.516937724873</v>
      </c>
      <c r="AK113" s="507">
        <f>Port[[#This Row],[ECL_Interest (CNY)]]*Port[[#This Row],[CNY -&gt; THB]]</f>
        <v>14.258415339660957</v>
      </c>
      <c r="AL113" s="507">
        <f>Port[[#This Row],[EAD (THB)]]*Port[[#This Row],[PD_avg]]</f>
        <v>15263.002426845263</v>
      </c>
      <c r="AM113" s="507">
        <f>Port[[#This Row],[EAD_Interest (THB)]]*Port[[#This Row],[PD_avg]]</f>
        <v>15.850974868186137</v>
      </c>
      <c r="AN113" s="507">
        <f>Port[[#This Row],[EAD (THB)]]*Port[[#This Row],[LGD_avg]]</f>
        <v>1052562.3185257961</v>
      </c>
      <c r="AO113" s="507">
        <f>Port[[#This Row],[EAD_Interest (THB)]]*Port[[#This Row],[LGD_avg]]</f>
        <v>1093.1098870040996</v>
      </c>
      <c r="AP113" s="507">
        <f>Port[[#This Row],[EAD_Drawn (THB)]]+Port[[#This Row],[EAD_Interest (THB)]]</f>
        <v>1171340.946216</v>
      </c>
      <c r="AQ1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17551.886160599999</v>
      </c>
      <c r="AR113" s="522">
        <f>MAX(Port[[#This Row],[ECL (THB)]]+Port[[#This Row],[ECL_Interest (THB)]], Port[[#This Row],[ECL CBIRC (THB)]])</f>
        <v>17551.886160599999</v>
      </c>
    </row>
    <row r="114" spans="1:44">
      <c r="A114" s="2" t="s">
        <v>89</v>
      </c>
      <c r="B114" s="2" t="s">
        <v>60</v>
      </c>
      <c r="C114" s="2" t="s">
        <v>17</v>
      </c>
      <c r="D114" s="2" t="s">
        <v>30</v>
      </c>
      <c r="E114" s="2" t="s">
        <v>19</v>
      </c>
      <c r="F114" s="2" t="s">
        <v>20</v>
      </c>
      <c r="G114" s="2" t="s">
        <v>21</v>
      </c>
      <c r="H114">
        <v>1</v>
      </c>
      <c r="I114" s="2" t="s">
        <v>526</v>
      </c>
      <c r="J114" s="505">
        <v>1.3043899345507868E-2</v>
      </c>
      <c r="K114" s="505">
        <v>0.89994752572298242</v>
      </c>
      <c r="L114" s="3">
        <v>1</v>
      </c>
      <c r="M114" s="3">
        <v>5.2488000000000001</v>
      </c>
      <c r="N114" s="507">
        <v>1999989.61</v>
      </c>
      <c r="O114" s="507">
        <v>0</v>
      </c>
      <c r="P114" s="507">
        <v>1999989.61</v>
      </c>
      <c r="Q114" s="507">
        <v>2077.04</v>
      </c>
      <c r="R114" s="507">
        <v>23477.527917147727</v>
      </c>
      <c r="S114" s="507">
        <v>0</v>
      </c>
      <c r="T114" s="507">
        <v>23477.527917147727</v>
      </c>
      <c r="U114" s="507">
        <v>24.382008957052786</v>
      </c>
      <c r="V114" s="507">
        <f>Port[[#This Row],[EAD_Drawn (CNY)]]*Port[[#This Row],[CNY -&gt; FCY]]</f>
        <v>1999989.61</v>
      </c>
      <c r="W114" s="507">
        <f>Port[[#This Row],[EAD_Undrawn (CNY)]]*Port[[#This Row],[CNY -&gt; FCY]]</f>
        <v>0</v>
      </c>
      <c r="X114" s="507">
        <f>Port[[#This Row],[EAD (CNY)]]*Port[[#This Row],[CNY -&gt; FCY]]</f>
        <v>1999989.61</v>
      </c>
      <c r="Y114" s="507">
        <f>Port[[#This Row],[EAD_Interest (CNY)]]*Port[[#This Row],[CNY -&gt; FCY]]</f>
        <v>2077.04</v>
      </c>
      <c r="Z114" s="507">
        <f>Port[[#This Row],[ECL_Drawn (CNY)]]*Port[[#This Row],[CNY -&gt; FCY]]</f>
        <v>23477.527917147727</v>
      </c>
      <c r="AA114" s="507">
        <f>Port[[#This Row],[ECL_Undrawn (CNY)]]*Port[[#This Row],[CNY -&gt; FCY]]</f>
        <v>0</v>
      </c>
      <c r="AB114" s="507">
        <f>Port[[#This Row],[ECL (CNY)]]*Port[[#This Row],[CNY -&gt; FCY]]</f>
        <v>23477.527917147727</v>
      </c>
      <c r="AC114" s="507">
        <f>Port[[#This Row],[ECL_Interest (CNY)]]*Port[[#This Row],[CNY -&gt; FCY]]</f>
        <v>24.382008957052786</v>
      </c>
      <c r="AD114" s="507">
        <f>Port[[#This Row],[EAD_Drawn (CNY)]]*Port[[#This Row],[CNY -&gt; THB]]</f>
        <v>10497545.464968001</v>
      </c>
      <c r="AE114" s="507">
        <f>Port[[#This Row],[EAD_Undrawn (CNY)]]*Port[[#This Row],[CNY -&gt; THB]]</f>
        <v>0</v>
      </c>
      <c r="AF114" s="507">
        <f>Port[[#This Row],[EAD (CNY)]]*Port[[#This Row],[CNY -&gt; THB]]</f>
        <v>10497545.464968001</v>
      </c>
      <c r="AG114" s="507">
        <f>Port[[#This Row],[EAD_Interest (CNY)]]*Port[[#This Row],[CNY -&gt; THB]]</f>
        <v>10901.967552</v>
      </c>
      <c r="AH114" s="507">
        <f>Port[[#This Row],[ECL_Drawn (CNY)]]*Port[[#This Row],[CNY -&gt; THB]]</f>
        <v>123228.84853152499</v>
      </c>
      <c r="AI114" s="507">
        <f>Port[[#This Row],[ECL_Undrawn (CNY)]]*Port[[#This Row],[CNY -&gt; THB]]</f>
        <v>0</v>
      </c>
      <c r="AJ114" s="507">
        <f>Port[[#This Row],[ECL (CNY)]]*Port[[#This Row],[CNY -&gt; THB]]</f>
        <v>123228.84853152499</v>
      </c>
      <c r="AK114" s="507">
        <f>Port[[#This Row],[ECL_Interest (CNY)]]*Port[[#This Row],[CNY -&gt; THB]]</f>
        <v>127.97628861377866</v>
      </c>
      <c r="AL114" s="507">
        <f>Port[[#This Row],[EAD (THB)]]*Port[[#This Row],[PD_avg]]</f>
        <v>136928.92641993522</v>
      </c>
      <c r="AM114" s="507">
        <f>Port[[#This Row],[EAD_Interest (THB)]]*Port[[#This Row],[PD_avg]]</f>
        <v>142.20416741628082</v>
      </c>
      <c r="AN114" s="507">
        <f>Port[[#This Row],[EAD (THB)]]*Port[[#This Row],[LGD_avg]]</f>
        <v>9447240.0673624687</v>
      </c>
      <c r="AO114" s="507">
        <f>Port[[#This Row],[EAD_Interest (THB)]]*Port[[#This Row],[LGD_avg]]</f>
        <v>9811.1987239346399</v>
      </c>
      <c r="AP114" s="507">
        <f>Port[[#This Row],[EAD_Drawn (THB)]]+Port[[#This Row],[EAD_Interest (THB)]]</f>
        <v>10508447.432520002</v>
      </c>
      <c r="AQ1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157463.18197452</v>
      </c>
      <c r="AR114" s="522">
        <f>MAX(Port[[#This Row],[ECL (THB)]]+Port[[#This Row],[ECL_Interest (THB)]], Port[[#This Row],[ECL CBIRC (THB)]])</f>
        <v>157463.18197452</v>
      </c>
    </row>
    <row r="115" spans="1:44">
      <c r="A115" s="2" t="s">
        <v>90</v>
      </c>
      <c r="B115" s="2" t="s">
        <v>60</v>
      </c>
      <c r="C115" s="2" t="s">
        <v>17</v>
      </c>
      <c r="D115" s="2" t="s">
        <v>30</v>
      </c>
      <c r="E115" s="2" t="s">
        <v>19</v>
      </c>
      <c r="F115" s="2" t="s">
        <v>20</v>
      </c>
      <c r="G115" s="2" t="s">
        <v>21</v>
      </c>
      <c r="H115">
        <v>1</v>
      </c>
      <c r="I115" s="2" t="s">
        <v>526</v>
      </c>
      <c r="J115" s="505">
        <v>1.3043899345507868E-2</v>
      </c>
      <c r="K115" s="505">
        <v>0.89995150527072809</v>
      </c>
      <c r="L115" s="3">
        <v>1</v>
      </c>
      <c r="M115" s="3">
        <v>5.2488000000000001</v>
      </c>
      <c r="N115" s="507">
        <v>2164111.65</v>
      </c>
      <c r="O115" s="507">
        <v>0</v>
      </c>
      <c r="P115" s="507">
        <v>2164111.65</v>
      </c>
      <c r="Q115" s="507">
        <v>2247.4899999999998</v>
      </c>
      <c r="R115" s="507">
        <v>25404.240150276419</v>
      </c>
      <c r="S115" s="507">
        <v>0</v>
      </c>
      <c r="T115" s="507">
        <v>25404.240150276419</v>
      </c>
      <c r="U115" s="507">
        <v>26.383008332931784</v>
      </c>
      <c r="V115" s="507">
        <f>Port[[#This Row],[EAD_Drawn (CNY)]]*Port[[#This Row],[CNY -&gt; FCY]]</f>
        <v>2164111.65</v>
      </c>
      <c r="W115" s="507">
        <f>Port[[#This Row],[EAD_Undrawn (CNY)]]*Port[[#This Row],[CNY -&gt; FCY]]</f>
        <v>0</v>
      </c>
      <c r="X115" s="507">
        <f>Port[[#This Row],[EAD (CNY)]]*Port[[#This Row],[CNY -&gt; FCY]]</f>
        <v>2164111.65</v>
      </c>
      <c r="Y115" s="507">
        <f>Port[[#This Row],[EAD_Interest (CNY)]]*Port[[#This Row],[CNY -&gt; FCY]]</f>
        <v>2247.4899999999998</v>
      </c>
      <c r="Z115" s="507">
        <f>Port[[#This Row],[ECL_Drawn (CNY)]]*Port[[#This Row],[CNY -&gt; FCY]]</f>
        <v>25404.240150276419</v>
      </c>
      <c r="AA115" s="507">
        <f>Port[[#This Row],[ECL_Undrawn (CNY)]]*Port[[#This Row],[CNY -&gt; FCY]]</f>
        <v>0</v>
      </c>
      <c r="AB115" s="507">
        <f>Port[[#This Row],[ECL (CNY)]]*Port[[#This Row],[CNY -&gt; FCY]]</f>
        <v>25404.240150276419</v>
      </c>
      <c r="AC115" s="507">
        <f>Port[[#This Row],[ECL_Interest (CNY)]]*Port[[#This Row],[CNY -&gt; FCY]]</f>
        <v>26.383008332931784</v>
      </c>
      <c r="AD115" s="507">
        <f>Port[[#This Row],[EAD_Drawn (CNY)]]*Port[[#This Row],[CNY -&gt; THB]]</f>
        <v>11358989.22852</v>
      </c>
      <c r="AE115" s="507">
        <f>Port[[#This Row],[EAD_Undrawn (CNY)]]*Port[[#This Row],[CNY -&gt; THB]]</f>
        <v>0</v>
      </c>
      <c r="AF115" s="507">
        <f>Port[[#This Row],[EAD (CNY)]]*Port[[#This Row],[CNY -&gt; THB]]</f>
        <v>11358989.22852</v>
      </c>
      <c r="AG115" s="507">
        <f>Port[[#This Row],[EAD_Interest (CNY)]]*Port[[#This Row],[CNY -&gt; THB]]</f>
        <v>11796.625511999999</v>
      </c>
      <c r="AH115" s="507">
        <f>Port[[#This Row],[ECL_Drawn (CNY)]]*Port[[#This Row],[CNY -&gt; THB]]</f>
        <v>133341.77570077087</v>
      </c>
      <c r="AI115" s="507">
        <f>Port[[#This Row],[ECL_Undrawn (CNY)]]*Port[[#This Row],[CNY -&gt; THB]]</f>
        <v>0</v>
      </c>
      <c r="AJ115" s="507">
        <f>Port[[#This Row],[ECL (CNY)]]*Port[[#This Row],[CNY -&gt; THB]]</f>
        <v>133341.77570077087</v>
      </c>
      <c r="AK115" s="507">
        <f>Port[[#This Row],[ECL_Interest (CNY)]]*Port[[#This Row],[CNY -&gt; THB]]</f>
        <v>138.47913413789234</v>
      </c>
      <c r="AL115" s="507">
        <f>Port[[#This Row],[EAD (THB)]]*Port[[#This Row],[PD_avg]]</f>
        <v>148165.51216352294</v>
      </c>
      <c r="AM115" s="507">
        <f>Port[[#This Row],[EAD_Interest (THB)]]*Port[[#This Row],[PD_avg]]</f>
        <v>153.87399579517822</v>
      </c>
      <c r="AN115" s="507">
        <f>Port[[#This Row],[EAD (THB)]]*Port[[#This Row],[LGD_avg]]</f>
        <v>10222539.454560561</v>
      </c>
      <c r="AO115" s="507">
        <f>Port[[#This Row],[EAD_Interest (THB)]]*Port[[#This Row],[LGD_avg]]</f>
        <v>10616.390886639472</v>
      </c>
      <c r="AP115" s="507">
        <f>Port[[#This Row],[EAD_Drawn (THB)]]+Port[[#This Row],[EAD_Interest (THB)]]</f>
        <v>11370785.854032001</v>
      </c>
      <c r="AQ1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170384.83842779999</v>
      </c>
      <c r="AR115" s="522">
        <f>MAX(Port[[#This Row],[ECL (THB)]]+Port[[#This Row],[ECL_Interest (THB)]], Port[[#This Row],[ECL CBIRC (THB)]])</f>
        <v>170384.83842779999</v>
      </c>
    </row>
    <row r="116" spans="1:44">
      <c r="A116" s="2" t="s">
        <v>91</v>
      </c>
      <c r="B116" s="2" t="s">
        <v>60</v>
      </c>
      <c r="C116" s="2" t="s">
        <v>17</v>
      </c>
      <c r="D116" s="2" t="s">
        <v>30</v>
      </c>
      <c r="E116" s="2" t="s">
        <v>19</v>
      </c>
      <c r="F116" s="2" t="s">
        <v>20</v>
      </c>
      <c r="G116" s="2" t="s">
        <v>21</v>
      </c>
      <c r="H116">
        <v>1</v>
      </c>
      <c r="I116" s="2" t="s">
        <v>526</v>
      </c>
      <c r="J116" s="505">
        <v>1.3043899345507868E-2</v>
      </c>
      <c r="K116" s="505">
        <v>0.89940895321364844</v>
      </c>
      <c r="L116" s="3">
        <v>1</v>
      </c>
      <c r="M116" s="3">
        <v>5.2488000000000001</v>
      </c>
      <c r="N116" s="507">
        <v>177562.95</v>
      </c>
      <c r="O116" s="507">
        <v>0</v>
      </c>
      <c r="P116" s="507">
        <v>177562.95</v>
      </c>
      <c r="Q116" s="507">
        <v>184.4</v>
      </c>
      <c r="R116" s="507">
        <v>2083.1329912706638</v>
      </c>
      <c r="S116" s="507">
        <v>0</v>
      </c>
      <c r="T116" s="507">
        <v>2083.1329912706638</v>
      </c>
      <c r="U116" s="507">
        <v>2.1633438934772733</v>
      </c>
      <c r="V116" s="507">
        <f>Port[[#This Row],[EAD_Drawn (CNY)]]*Port[[#This Row],[CNY -&gt; FCY]]</f>
        <v>177562.95</v>
      </c>
      <c r="W116" s="507">
        <f>Port[[#This Row],[EAD_Undrawn (CNY)]]*Port[[#This Row],[CNY -&gt; FCY]]</f>
        <v>0</v>
      </c>
      <c r="X116" s="507">
        <f>Port[[#This Row],[EAD (CNY)]]*Port[[#This Row],[CNY -&gt; FCY]]</f>
        <v>177562.95</v>
      </c>
      <c r="Y116" s="507">
        <f>Port[[#This Row],[EAD_Interest (CNY)]]*Port[[#This Row],[CNY -&gt; FCY]]</f>
        <v>184.4</v>
      </c>
      <c r="Z116" s="507">
        <f>Port[[#This Row],[ECL_Drawn (CNY)]]*Port[[#This Row],[CNY -&gt; FCY]]</f>
        <v>2083.1329912706638</v>
      </c>
      <c r="AA116" s="507">
        <f>Port[[#This Row],[ECL_Undrawn (CNY)]]*Port[[#This Row],[CNY -&gt; FCY]]</f>
        <v>0</v>
      </c>
      <c r="AB116" s="507">
        <f>Port[[#This Row],[ECL (CNY)]]*Port[[#This Row],[CNY -&gt; FCY]]</f>
        <v>2083.1329912706638</v>
      </c>
      <c r="AC116" s="507">
        <f>Port[[#This Row],[ECL_Interest (CNY)]]*Port[[#This Row],[CNY -&gt; FCY]]</f>
        <v>2.1633438934772733</v>
      </c>
      <c r="AD116" s="507">
        <f>Port[[#This Row],[EAD_Drawn (CNY)]]*Port[[#This Row],[CNY -&gt; THB]]</f>
        <v>931992.41196000006</v>
      </c>
      <c r="AE116" s="507">
        <f>Port[[#This Row],[EAD_Undrawn (CNY)]]*Port[[#This Row],[CNY -&gt; THB]]</f>
        <v>0</v>
      </c>
      <c r="AF116" s="507">
        <f>Port[[#This Row],[EAD (CNY)]]*Port[[#This Row],[CNY -&gt; THB]]</f>
        <v>931992.41196000006</v>
      </c>
      <c r="AG116" s="507">
        <f>Port[[#This Row],[EAD_Interest (CNY)]]*Port[[#This Row],[CNY -&gt; THB]]</f>
        <v>967.87872000000004</v>
      </c>
      <c r="AH116" s="507">
        <f>Port[[#This Row],[ECL_Drawn (CNY)]]*Port[[#This Row],[CNY -&gt; THB]]</f>
        <v>10933.94844458146</v>
      </c>
      <c r="AI116" s="507">
        <f>Port[[#This Row],[ECL_Undrawn (CNY)]]*Port[[#This Row],[CNY -&gt; THB]]</f>
        <v>0</v>
      </c>
      <c r="AJ116" s="507">
        <f>Port[[#This Row],[ECL (CNY)]]*Port[[#This Row],[CNY -&gt; THB]]</f>
        <v>10933.94844458146</v>
      </c>
      <c r="AK116" s="507">
        <f>Port[[#This Row],[ECL_Interest (CNY)]]*Port[[#This Row],[CNY -&gt; THB]]</f>
        <v>11.354959428083513</v>
      </c>
      <c r="AL116" s="507">
        <f>Port[[#This Row],[EAD (THB)]]*Port[[#This Row],[PD_avg]]</f>
        <v>12156.815212383344</v>
      </c>
      <c r="AM116" s="507">
        <f>Port[[#This Row],[EAD_Interest (THB)]]*Port[[#This Row],[PD_avg]]</f>
        <v>12.624912602338993</v>
      </c>
      <c r="AN116" s="507">
        <f>Port[[#This Row],[EAD (THB)]]*Port[[#This Row],[LGD_avg]]</f>
        <v>838242.31964400702</v>
      </c>
      <c r="AO116" s="507">
        <f>Port[[#This Row],[EAD_Interest (THB)]]*Port[[#This Row],[LGD_avg]]</f>
        <v>870.51878639296604</v>
      </c>
      <c r="AP116" s="507">
        <f>Port[[#This Row],[EAD_Drawn (THB)]]+Port[[#This Row],[EAD_Interest (THB)]]</f>
        <v>932960.29068000009</v>
      </c>
      <c r="AQ1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13979.8861794</v>
      </c>
      <c r="AR116" s="522">
        <f>MAX(Port[[#This Row],[ECL (THB)]]+Port[[#This Row],[ECL_Interest (THB)]], Port[[#This Row],[ECL CBIRC (THB)]])</f>
        <v>13979.8861794</v>
      </c>
    </row>
    <row r="117" spans="1:44">
      <c r="A117" s="2" t="s">
        <v>92</v>
      </c>
      <c r="B117" s="2" t="s">
        <v>60</v>
      </c>
      <c r="C117" s="2" t="s">
        <v>17</v>
      </c>
      <c r="D117" s="2" t="s">
        <v>30</v>
      </c>
      <c r="E117" s="2" t="s">
        <v>19</v>
      </c>
      <c r="F117" s="2" t="s">
        <v>20</v>
      </c>
      <c r="G117" s="2" t="s">
        <v>21</v>
      </c>
      <c r="H117">
        <v>1</v>
      </c>
      <c r="I117" s="2" t="s">
        <v>526</v>
      </c>
      <c r="J117" s="505">
        <v>1.3043899345507868E-2</v>
      </c>
      <c r="K117" s="505">
        <v>0.89952442332078064</v>
      </c>
      <c r="L117" s="3">
        <v>1</v>
      </c>
      <c r="M117" s="3">
        <v>5.2488000000000001</v>
      </c>
      <c r="N117" s="507">
        <v>220675.26</v>
      </c>
      <c r="O117" s="507">
        <v>0</v>
      </c>
      <c r="P117" s="507">
        <v>220675.26</v>
      </c>
      <c r="Q117" s="507">
        <v>229.18</v>
      </c>
      <c r="R117" s="507">
        <v>2589.2503602911902</v>
      </c>
      <c r="S117" s="507">
        <v>0</v>
      </c>
      <c r="T117" s="507">
        <v>2589.2503602911902</v>
      </c>
      <c r="U117" s="507">
        <v>2.689039077473093</v>
      </c>
      <c r="V117" s="507">
        <f>Port[[#This Row],[EAD_Drawn (CNY)]]*Port[[#This Row],[CNY -&gt; FCY]]</f>
        <v>220675.26</v>
      </c>
      <c r="W117" s="507">
        <f>Port[[#This Row],[EAD_Undrawn (CNY)]]*Port[[#This Row],[CNY -&gt; FCY]]</f>
        <v>0</v>
      </c>
      <c r="X117" s="507">
        <f>Port[[#This Row],[EAD (CNY)]]*Port[[#This Row],[CNY -&gt; FCY]]</f>
        <v>220675.26</v>
      </c>
      <c r="Y117" s="507">
        <f>Port[[#This Row],[EAD_Interest (CNY)]]*Port[[#This Row],[CNY -&gt; FCY]]</f>
        <v>229.18</v>
      </c>
      <c r="Z117" s="507">
        <f>Port[[#This Row],[ECL_Drawn (CNY)]]*Port[[#This Row],[CNY -&gt; FCY]]</f>
        <v>2589.2503602911902</v>
      </c>
      <c r="AA117" s="507">
        <f>Port[[#This Row],[ECL_Undrawn (CNY)]]*Port[[#This Row],[CNY -&gt; FCY]]</f>
        <v>0</v>
      </c>
      <c r="AB117" s="507">
        <f>Port[[#This Row],[ECL (CNY)]]*Port[[#This Row],[CNY -&gt; FCY]]</f>
        <v>2589.2503602911902</v>
      </c>
      <c r="AC117" s="507">
        <f>Port[[#This Row],[ECL_Interest (CNY)]]*Port[[#This Row],[CNY -&gt; FCY]]</f>
        <v>2.689039077473093</v>
      </c>
      <c r="AD117" s="507">
        <f>Port[[#This Row],[EAD_Drawn (CNY)]]*Port[[#This Row],[CNY -&gt; THB]]</f>
        <v>1158280.3046880001</v>
      </c>
      <c r="AE117" s="507">
        <f>Port[[#This Row],[EAD_Undrawn (CNY)]]*Port[[#This Row],[CNY -&gt; THB]]</f>
        <v>0</v>
      </c>
      <c r="AF117" s="507">
        <f>Port[[#This Row],[EAD (CNY)]]*Port[[#This Row],[CNY -&gt; THB]]</f>
        <v>1158280.3046880001</v>
      </c>
      <c r="AG117" s="507">
        <f>Port[[#This Row],[EAD_Interest (CNY)]]*Port[[#This Row],[CNY -&gt; THB]]</f>
        <v>1202.9199840000001</v>
      </c>
      <c r="AH117" s="507">
        <f>Port[[#This Row],[ECL_Drawn (CNY)]]*Port[[#This Row],[CNY -&gt; THB]]</f>
        <v>13590.4572910964</v>
      </c>
      <c r="AI117" s="507">
        <f>Port[[#This Row],[ECL_Undrawn (CNY)]]*Port[[#This Row],[CNY -&gt; THB]]</f>
        <v>0</v>
      </c>
      <c r="AJ117" s="507">
        <f>Port[[#This Row],[ECL (CNY)]]*Port[[#This Row],[CNY -&gt; THB]]</f>
        <v>13590.4572910964</v>
      </c>
      <c r="AK117" s="507">
        <f>Port[[#This Row],[ECL_Interest (CNY)]]*Port[[#This Row],[CNY -&gt; THB]]</f>
        <v>14.114228309840771</v>
      </c>
      <c r="AL117" s="507">
        <f>Port[[#This Row],[EAD (THB)]]*Port[[#This Row],[PD_avg]]</f>
        <v>15108.491708234458</v>
      </c>
      <c r="AM117" s="507">
        <f>Port[[#This Row],[EAD_Interest (THB)]]*Port[[#This Row],[PD_avg]]</f>
        <v>15.690767191995937</v>
      </c>
      <c r="AN117" s="507">
        <f>Port[[#This Row],[EAD (THB)]]*Port[[#This Row],[LGD_avg]]</f>
        <v>1041901.4231182914</v>
      </c>
      <c r="AO117" s="507">
        <f>Port[[#This Row],[EAD_Interest (THB)]]*Port[[#This Row],[LGD_avg]]</f>
        <v>1082.0559049086428</v>
      </c>
      <c r="AP117" s="507">
        <f>Port[[#This Row],[EAD_Drawn (THB)]]+Port[[#This Row],[EAD_Interest (THB)]]</f>
        <v>1159483.2246720002</v>
      </c>
      <c r="AQ1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17374.204570320002</v>
      </c>
      <c r="AR117" s="522">
        <f>MAX(Port[[#This Row],[ECL (THB)]]+Port[[#This Row],[ECL_Interest (THB)]], Port[[#This Row],[ECL CBIRC (THB)]])</f>
        <v>17374.204570320002</v>
      </c>
    </row>
    <row r="118" spans="1:44">
      <c r="A118" s="2" t="s">
        <v>93</v>
      </c>
      <c r="B118" s="2" t="s">
        <v>94</v>
      </c>
      <c r="C118" s="2" t="s">
        <v>17</v>
      </c>
      <c r="D118" s="2" t="s">
        <v>95</v>
      </c>
      <c r="E118" s="2" t="s">
        <v>19</v>
      </c>
      <c r="F118" s="2" t="s">
        <v>20</v>
      </c>
      <c r="G118" s="2" t="s">
        <v>21</v>
      </c>
      <c r="H118">
        <v>1</v>
      </c>
      <c r="I118" s="2" t="s">
        <v>526</v>
      </c>
      <c r="J118" s="505">
        <v>2.0514833509807026E-2</v>
      </c>
      <c r="K118" s="505">
        <v>0.90000000000000013</v>
      </c>
      <c r="L118" s="3">
        <v>1</v>
      </c>
      <c r="M118" s="3">
        <v>5.2488000000000001</v>
      </c>
      <c r="N118" s="507">
        <v>11012626.609999999</v>
      </c>
      <c r="O118" s="507">
        <v>0</v>
      </c>
      <c r="P118" s="507">
        <v>11012626.609999999</v>
      </c>
      <c r="Q118" s="507">
        <v>11482.96</v>
      </c>
      <c r="R118" s="507">
        <v>203329.98126883851</v>
      </c>
      <c r="S118" s="507">
        <v>0</v>
      </c>
      <c r="T118" s="507">
        <v>203329.98126883851</v>
      </c>
      <c r="U118" s="507">
        <v>212.01391133979632</v>
      </c>
      <c r="V118" s="507">
        <f>Port[[#This Row],[EAD_Drawn (CNY)]]*Port[[#This Row],[CNY -&gt; FCY]]</f>
        <v>11012626.609999999</v>
      </c>
      <c r="W118" s="507">
        <f>Port[[#This Row],[EAD_Undrawn (CNY)]]*Port[[#This Row],[CNY -&gt; FCY]]</f>
        <v>0</v>
      </c>
      <c r="X118" s="507">
        <f>Port[[#This Row],[EAD (CNY)]]*Port[[#This Row],[CNY -&gt; FCY]]</f>
        <v>11012626.609999999</v>
      </c>
      <c r="Y118" s="507">
        <f>Port[[#This Row],[EAD_Interest (CNY)]]*Port[[#This Row],[CNY -&gt; FCY]]</f>
        <v>11482.96</v>
      </c>
      <c r="Z118" s="507">
        <f>Port[[#This Row],[ECL_Drawn (CNY)]]*Port[[#This Row],[CNY -&gt; FCY]]</f>
        <v>203329.98126883851</v>
      </c>
      <c r="AA118" s="507">
        <f>Port[[#This Row],[ECL_Undrawn (CNY)]]*Port[[#This Row],[CNY -&gt; FCY]]</f>
        <v>0</v>
      </c>
      <c r="AB118" s="507">
        <f>Port[[#This Row],[ECL (CNY)]]*Port[[#This Row],[CNY -&gt; FCY]]</f>
        <v>203329.98126883851</v>
      </c>
      <c r="AC118" s="507">
        <f>Port[[#This Row],[ECL_Interest (CNY)]]*Port[[#This Row],[CNY -&gt; FCY]]</f>
        <v>212.01391133979632</v>
      </c>
      <c r="AD118" s="507">
        <f>Port[[#This Row],[EAD_Drawn (CNY)]]*Port[[#This Row],[CNY -&gt; THB]]</f>
        <v>57803074.550567999</v>
      </c>
      <c r="AE118" s="507">
        <f>Port[[#This Row],[EAD_Undrawn (CNY)]]*Port[[#This Row],[CNY -&gt; THB]]</f>
        <v>0</v>
      </c>
      <c r="AF118" s="507">
        <f>Port[[#This Row],[EAD (CNY)]]*Port[[#This Row],[CNY -&gt; THB]]</f>
        <v>57803074.550567999</v>
      </c>
      <c r="AG118" s="507">
        <f>Port[[#This Row],[EAD_Interest (CNY)]]*Port[[#This Row],[CNY -&gt; THB]]</f>
        <v>60271.760447999994</v>
      </c>
      <c r="AH118" s="507">
        <f>Port[[#This Row],[ECL_Drawn (CNY)]]*Port[[#This Row],[CNY -&gt; THB]]</f>
        <v>1067238.4056838795</v>
      </c>
      <c r="AI118" s="507">
        <f>Port[[#This Row],[ECL_Undrawn (CNY)]]*Port[[#This Row],[CNY -&gt; THB]]</f>
        <v>0</v>
      </c>
      <c r="AJ118" s="507">
        <f>Port[[#This Row],[ECL (CNY)]]*Port[[#This Row],[CNY -&gt; THB]]</f>
        <v>1067238.4056838795</v>
      </c>
      <c r="AK118" s="507">
        <f>Port[[#This Row],[ECL_Interest (CNY)]]*Port[[#This Row],[CNY -&gt; THB]]</f>
        <v>1112.818617840323</v>
      </c>
      <c r="AL118" s="507">
        <f>Port[[#This Row],[EAD (THB)]]*Port[[#This Row],[PD_avg]]</f>
        <v>1185820.450759866</v>
      </c>
      <c r="AM118" s="507">
        <f>Port[[#This Row],[EAD_Interest (THB)]]*Port[[#This Row],[PD_avg]]</f>
        <v>1236.4651309336921</v>
      </c>
      <c r="AN118" s="507">
        <f>Port[[#This Row],[EAD (THB)]]*Port[[#This Row],[LGD_avg]]</f>
        <v>52022767.095511205</v>
      </c>
      <c r="AO118" s="507">
        <f>Port[[#This Row],[EAD_Interest (THB)]]*Port[[#This Row],[LGD_avg]]</f>
        <v>54244.584403200002</v>
      </c>
      <c r="AP118" s="507">
        <f>Port[[#This Row],[EAD_Drawn (THB)]]+Port[[#This Row],[EAD_Interest (THB)]]</f>
        <v>57863346.311016001</v>
      </c>
      <c r="AQ1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867046.11825851991</v>
      </c>
      <c r="AR118" s="522">
        <f>MAX(Port[[#This Row],[ECL (THB)]]+Port[[#This Row],[ECL_Interest (THB)]], Port[[#This Row],[ECL CBIRC (THB)]])</f>
        <v>1068351.2243017198</v>
      </c>
    </row>
    <row r="119" spans="1:44">
      <c r="A119" s="2" t="s">
        <v>96</v>
      </c>
      <c r="B119" s="2" t="s">
        <v>60</v>
      </c>
      <c r="C119" s="2" t="s">
        <v>17</v>
      </c>
      <c r="D119" s="2" t="s">
        <v>30</v>
      </c>
      <c r="E119" s="2" t="s">
        <v>19</v>
      </c>
      <c r="F119" s="2" t="s">
        <v>20</v>
      </c>
      <c r="G119" s="2" t="s">
        <v>21</v>
      </c>
      <c r="H119">
        <v>1</v>
      </c>
      <c r="I119" s="2" t="s">
        <v>526</v>
      </c>
      <c r="J119" s="505">
        <v>1.3043899345507868E-2</v>
      </c>
      <c r="K119" s="505">
        <v>0.89984520866926931</v>
      </c>
      <c r="L119" s="3">
        <v>1</v>
      </c>
      <c r="M119" s="3">
        <v>5.2488000000000001</v>
      </c>
      <c r="N119" s="507">
        <v>677996.68</v>
      </c>
      <c r="O119" s="507">
        <v>0</v>
      </c>
      <c r="P119" s="507">
        <v>677996.68</v>
      </c>
      <c r="Q119" s="507">
        <v>704.12</v>
      </c>
      <c r="R119" s="507">
        <v>7957.9794742005124</v>
      </c>
      <c r="S119" s="507">
        <v>0</v>
      </c>
      <c r="T119" s="507">
        <v>7957.9794742005124</v>
      </c>
      <c r="U119" s="507">
        <v>8.2646016900467192</v>
      </c>
      <c r="V119" s="507">
        <f>Port[[#This Row],[EAD_Drawn (CNY)]]*Port[[#This Row],[CNY -&gt; FCY]]</f>
        <v>677996.68</v>
      </c>
      <c r="W119" s="507">
        <f>Port[[#This Row],[EAD_Undrawn (CNY)]]*Port[[#This Row],[CNY -&gt; FCY]]</f>
        <v>0</v>
      </c>
      <c r="X119" s="507">
        <f>Port[[#This Row],[EAD (CNY)]]*Port[[#This Row],[CNY -&gt; FCY]]</f>
        <v>677996.68</v>
      </c>
      <c r="Y119" s="507">
        <f>Port[[#This Row],[EAD_Interest (CNY)]]*Port[[#This Row],[CNY -&gt; FCY]]</f>
        <v>704.12</v>
      </c>
      <c r="Z119" s="507">
        <f>Port[[#This Row],[ECL_Drawn (CNY)]]*Port[[#This Row],[CNY -&gt; FCY]]</f>
        <v>7957.9794742005124</v>
      </c>
      <c r="AA119" s="507">
        <f>Port[[#This Row],[ECL_Undrawn (CNY)]]*Port[[#This Row],[CNY -&gt; FCY]]</f>
        <v>0</v>
      </c>
      <c r="AB119" s="507">
        <f>Port[[#This Row],[ECL (CNY)]]*Port[[#This Row],[CNY -&gt; FCY]]</f>
        <v>7957.9794742005124</v>
      </c>
      <c r="AC119" s="507">
        <f>Port[[#This Row],[ECL_Interest (CNY)]]*Port[[#This Row],[CNY -&gt; FCY]]</f>
        <v>8.2646016900467192</v>
      </c>
      <c r="AD119" s="507">
        <f>Port[[#This Row],[EAD_Drawn (CNY)]]*Port[[#This Row],[CNY -&gt; THB]]</f>
        <v>3558668.9739840003</v>
      </c>
      <c r="AE119" s="507">
        <f>Port[[#This Row],[EAD_Undrawn (CNY)]]*Port[[#This Row],[CNY -&gt; THB]]</f>
        <v>0</v>
      </c>
      <c r="AF119" s="507">
        <f>Port[[#This Row],[EAD (CNY)]]*Port[[#This Row],[CNY -&gt; THB]]</f>
        <v>3558668.9739840003</v>
      </c>
      <c r="AG119" s="507">
        <f>Port[[#This Row],[EAD_Interest (CNY)]]*Port[[#This Row],[CNY -&gt; THB]]</f>
        <v>3695.7850560000002</v>
      </c>
      <c r="AH119" s="507">
        <f>Port[[#This Row],[ECL_Drawn (CNY)]]*Port[[#This Row],[CNY -&gt; THB]]</f>
        <v>41769.842664183649</v>
      </c>
      <c r="AI119" s="507">
        <f>Port[[#This Row],[ECL_Undrawn (CNY)]]*Port[[#This Row],[CNY -&gt; THB]]</f>
        <v>0</v>
      </c>
      <c r="AJ119" s="507">
        <f>Port[[#This Row],[ECL (CNY)]]*Port[[#This Row],[CNY -&gt; THB]]</f>
        <v>41769.842664183649</v>
      </c>
      <c r="AK119" s="507">
        <f>Port[[#This Row],[ECL_Interest (CNY)]]*Port[[#This Row],[CNY -&gt; THB]]</f>
        <v>43.379241350717223</v>
      </c>
      <c r="AL119" s="507">
        <f>Port[[#This Row],[EAD (THB)]]*Port[[#This Row],[PD_avg]]</f>
        <v>46418.919900629058</v>
      </c>
      <c r="AM119" s="507">
        <f>Port[[#This Row],[EAD_Interest (THB)]]*Port[[#This Row],[PD_avg]]</f>
        <v>48.207448273096162</v>
      </c>
      <c r="AN119" s="507">
        <f>Port[[#This Row],[EAD (THB)]]*Port[[#This Row],[LGD_avg]]</f>
        <v>3202251.2254794873</v>
      </c>
      <c r="AO119" s="507">
        <f>Port[[#This Row],[EAD_Interest (THB)]]*Port[[#This Row],[LGD_avg]]</f>
        <v>3325.6344749130872</v>
      </c>
      <c r="AP119" s="507">
        <f>Port[[#This Row],[EAD_Drawn (THB)]]+Port[[#This Row],[EAD_Interest (THB)]]</f>
        <v>3562364.7590400004</v>
      </c>
      <c r="AQ1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53380.034609760005</v>
      </c>
      <c r="AR119" s="522">
        <f>MAX(Port[[#This Row],[ECL (THB)]]+Port[[#This Row],[ECL_Interest (THB)]], Port[[#This Row],[ECL CBIRC (THB)]])</f>
        <v>53380.034609760005</v>
      </c>
    </row>
    <row r="120" spans="1:44">
      <c r="A120" s="2" t="s">
        <v>97</v>
      </c>
      <c r="B120" s="2" t="s">
        <v>60</v>
      </c>
      <c r="C120" s="2" t="s">
        <v>17</v>
      </c>
      <c r="D120" s="2" t="s">
        <v>30</v>
      </c>
      <c r="E120" s="2" t="s">
        <v>19</v>
      </c>
      <c r="F120" s="2" t="s">
        <v>20</v>
      </c>
      <c r="G120" s="2" t="s">
        <v>21</v>
      </c>
      <c r="H120">
        <v>1</v>
      </c>
      <c r="I120" s="2" t="s">
        <v>526</v>
      </c>
      <c r="J120" s="505">
        <v>1.3043899345507868E-2</v>
      </c>
      <c r="K120" s="505">
        <v>0.89992753605494613</v>
      </c>
      <c r="L120" s="3">
        <v>1</v>
      </c>
      <c r="M120" s="3">
        <v>5.2488000000000001</v>
      </c>
      <c r="N120" s="507">
        <v>1448278.98</v>
      </c>
      <c r="O120" s="507">
        <v>0</v>
      </c>
      <c r="P120" s="507">
        <v>1448278.98</v>
      </c>
      <c r="Q120" s="507">
        <v>1504.08</v>
      </c>
      <c r="R120" s="507">
        <v>17000.71578414286</v>
      </c>
      <c r="S120" s="507">
        <v>0</v>
      </c>
      <c r="T120" s="507">
        <v>17000.71578414286</v>
      </c>
      <c r="U120" s="507">
        <v>17.65573963975752</v>
      </c>
      <c r="V120" s="507">
        <f>Port[[#This Row],[EAD_Drawn (CNY)]]*Port[[#This Row],[CNY -&gt; FCY]]</f>
        <v>1448278.98</v>
      </c>
      <c r="W120" s="507">
        <f>Port[[#This Row],[EAD_Undrawn (CNY)]]*Port[[#This Row],[CNY -&gt; FCY]]</f>
        <v>0</v>
      </c>
      <c r="X120" s="507">
        <f>Port[[#This Row],[EAD (CNY)]]*Port[[#This Row],[CNY -&gt; FCY]]</f>
        <v>1448278.98</v>
      </c>
      <c r="Y120" s="507">
        <f>Port[[#This Row],[EAD_Interest (CNY)]]*Port[[#This Row],[CNY -&gt; FCY]]</f>
        <v>1504.08</v>
      </c>
      <c r="Z120" s="507">
        <f>Port[[#This Row],[ECL_Drawn (CNY)]]*Port[[#This Row],[CNY -&gt; FCY]]</f>
        <v>17000.71578414286</v>
      </c>
      <c r="AA120" s="507">
        <f>Port[[#This Row],[ECL_Undrawn (CNY)]]*Port[[#This Row],[CNY -&gt; FCY]]</f>
        <v>0</v>
      </c>
      <c r="AB120" s="507">
        <f>Port[[#This Row],[ECL (CNY)]]*Port[[#This Row],[CNY -&gt; FCY]]</f>
        <v>17000.71578414286</v>
      </c>
      <c r="AC120" s="507">
        <f>Port[[#This Row],[ECL_Interest (CNY)]]*Port[[#This Row],[CNY -&gt; FCY]]</f>
        <v>17.65573963975752</v>
      </c>
      <c r="AD120" s="507">
        <f>Port[[#This Row],[EAD_Drawn (CNY)]]*Port[[#This Row],[CNY -&gt; THB]]</f>
        <v>7601726.7102239998</v>
      </c>
      <c r="AE120" s="507">
        <f>Port[[#This Row],[EAD_Undrawn (CNY)]]*Port[[#This Row],[CNY -&gt; THB]]</f>
        <v>0</v>
      </c>
      <c r="AF120" s="507">
        <f>Port[[#This Row],[EAD (CNY)]]*Port[[#This Row],[CNY -&gt; THB]]</f>
        <v>7601726.7102239998</v>
      </c>
      <c r="AG120" s="507">
        <f>Port[[#This Row],[EAD_Interest (CNY)]]*Port[[#This Row],[CNY -&gt; THB]]</f>
        <v>7894.6151039999995</v>
      </c>
      <c r="AH120" s="507">
        <f>Port[[#This Row],[ECL_Drawn (CNY)]]*Port[[#This Row],[CNY -&gt; THB]]</f>
        <v>89233.357007809042</v>
      </c>
      <c r="AI120" s="507">
        <f>Port[[#This Row],[ECL_Undrawn (CNY)]]*Port[[#This Row],[CNY -&gt; THB]]</f>
        <v>0</v>
      </c>
      <c r="AJ120" s="507">
        <f>Port[[#This Row],[ECL (CNY)]]*Port[[#This Row],[CNY -&gt; THB]]</f>
        <v>89233.357007809042</v>
      </c>
      <c r="AK120" s="507">
        <f>Port[[#This Row],[ECL_Interest (CNY)]]*Port[[#This Row],[CNY -&gt; THB]]</f>
        <v>92.671446221159272</v>
      </c>
      <c r="AL120" s="507">
        <f>Port[[#This Row],[EAD (THB)]]*Port[[#This Row],[PD_avg]]</f>
        <v>99156.158060220507</v>
      </c>
      <c r="AM120" s="507">
        <f>Port[[#This Row],[EAD_Interest (THB)]]*Port[[#This Row],[PD_avg]]</f>
        <v>102.97656478810212</v>
      </c>
      <c r="AN120" s="507">
        <f>Port[[#This Row],[EAD (THB)]]*Port[[#This Row],[LGD_avg]]</f>
        <v>6841003.1880949559</v>
      </c>
      <c r="AO120" s="507">
        <f>Port[[#This Row],[EAD_Interest (THB)]]*Port[[#This Row],[LGD_avg]]</f>
        <v>7104.5815186448817</v>
      </c>
      <c r="AP120" s="507">
        <f>Port[[#This Row],[EAD_Drawn (THB)]]+Port[[#This Row],[EAD_Interest (THB)]]</f>
        <v>7609621.3253279999</v>
      </c>
      <c r="AQ1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114025.90065335999</v>
      </c>
      <c r="AR120" s="522">
        <f>MAX(Port[[#This Row],[ECL (THB)]]+Port[[#This Row],[ECL_Interest (THB)]], Port[[#This Row],[ECL CBIRC (THB)]])</f>
        <v>114025.90065335999</v>
      </c>
    </row>
    <row r="121" spans="1:44">
      <c r="A121" s="2" t="s">
        <v>98</v>
      </c>
      <c r="B121" s="2" t="s">
        <v>60</v>
      </c>
      <c r="C121" s="2" t="s">
        <v>17</v>
      </c>
      <c r="D121" s="2" t="s">
        <v>30</v>
      </c>
      <c r="E121" s="2" t="s">
        <v>19</v>
      </c>
      <c r="F121" s="2" t="s">
        <v>20</v>
      </c>
      <c r="G121" s="2" t="s">
        <v>21</v>
      </c>
      <c r="H121">
        <v>1</v>
      </c>
      <c r="I121" s="2" t="s">
        <v>526</v>
      </c>
      <c r="J121" s="505">
        <v>1.3043899345507868E-2</v>
      </c>
      <c r="K121" s="505">
        <v>0.89978642757039007</v>
      </c>
      <c r="L121" s="3">
        <v>1</v>
      </c>
      <c r="M121" s="3">
        <v>5.2488000000000001</v>
      </c>
      <c r="N121" s="507">
        <v>491393.05</v>
      </c>
      <c r="O121" s="507">
        <v>0</v>
      </c>
      <c r="P121" s="507">
        <v>491393.05</v>
      </c>
      <c r="Q121" s="507">
        <v>510.33</v>
      </c>
      <c r="R121" s="507">
        <v>5767.3444037064928</v>
      </c>
      <c r="S121" s="507">
        <v>0</v>
      </c>
      <c r="T121" s="507">
        <v>5767.3444037064928</v>
      </c>
      <c r="U121" s="507">
        <v>5.9896021515638731</v>
      </c>
      <c r="V121" s="507">
        <f>Port[[#This Row],[EAD_Drawn (CNY)]]*Port[[#This Row],[CNY -&gt; FCY]]</f>
        <v>491393.05</v>
      </c>
      <c r="W121" s="507">
        <f>Port[[#This Row],[EAD_Undrawn (CNY)]]*Port[[#This Row],[CNY -&gt; FCY]]</f>
        <v>0</v>
      </c>
      <c r="X121" s="507">
        <f>Port[[#This Row],[EAD (CNY)]]*Port[[#This Row],[CNY -&gt; FCY]]</f>
        <v>491393.05</v>
      </c>
      <c r="Y121" s="507">
        <f>Port[[#This Row],[EAD_Interest (CNY)]]*Port[[#This Row],[CNY -&gt; FCY]]</f>
        <v>510.33</v>
      </c>
      <c r="Z121" s="507">
        <f>Port[[#This Row],[ECL_Drawn (CNY)]]*Port[[#This Row],[CNY -&gt; FCY]]</f>
        <v>5767.3444037064928</v>
      </c>
      <c r="AA121" s="507">
        <f>Port[[#This Row],[ECL_Undrawn (CNY)]]*Port[[#This Row],[CNY -&gt; FCY]]</f>
        <v>0</v>
      </c>
      <c r="AB121" s="507">
        <f>Port[[#This Row],[ECL (CNY)]]*Port[[#This Row],[CNY -&gt; FCY]]</f>
        <v>5767.3444037064928</v>
      </c>
      <c r="AC121" s="507">
        <f>Port[[#This Row],[ECL_Interest (CNY)]]*Port[[#This Row],[CNY -&gt; FCY]]</f>
        <v>5.9896021515638731</v>
      </c>
      <c r="AD121" s="507">
        <f>Port[[#This Row],[EAD_Drawn (CNY)]]*Port[[#This Row],[CNY -&gt; THB]]</f>
        <v>2579223.8408400002</v>
      </c>
      <c r="AE121" s="507">
        <f>Port[[#This Row],[EAD_Undrawn (CNY)]]*Port[[#This Row],[CNY -&gt; THB]]</f>
        <v>0</v>
      </c>
      <c r="AF121" s="507">
        <f>Port[[#This Row],[EAD (CNY)]]*Port[[#This Row],[CNY -&gt; THB]]</f>
        <v>2579223.8408400002</v>
      </c>
      <c r="AG121" s="507">
        <f>Port[[#This Row],[EAD_Interest (CNY)]]*Port[[#This Row],[CNY -&gt; THB]]</f>
        <v>2678.6201040000001</v>
      </c>
      <c r="AH121" s="507">
        <f>Port[[#This Row],[ECL_Drawn (CNY)]]*Port[[#This Row],[CNY -&gt; THB]]</f>
        <v>30271.637306174642</v>
      </c>
      <c r="AI121" s="507">
        <f>Port[[#This Row],[ECL_Undrawn (CNY)]]*Port[[#This Row],[CNY -&gt; THB]]</f>
        <v>0</v>
      </c>
      <c r="AJ121" s="507">
        <f>Port[[#This Row],[ECL (CNY)]]*Port[[#This Row],[CNY -&gt; THB]]</f>
        <v>30271.637306174642</v>
      </c>
      <c r="AK121" s="507">
        <f>Port[[#This Row],[ECL_Interest (CNY)]]*Port[[#This Row],[CNY -&gt; THB]]</f>
        <v>31.438223773128456</v>
      </c>
      <c r="AL121" s="507">
        <f>Port[[#This Row],[EAD (THB)]]*Port[[#This Row],[PD_avg]]</f>
        <v>33643.136169451165</v>
      </c>
      <c r="AM121" s="507">
        <f>Port[[#This Row],[EAD_Interest (THB)]]*Port[[#This Row],[PD_avg]]</f>
        <v>34.939651021429817</v>
      </c>
      <c r="AN121" s="507">
        <f>Port[[#This Row],[EAD (THB)]]*Port[[#This Row],[LGD_avg]]</f>
        <v>2320750.6056538043</v>
      </c>
      <c r="AO121" s="507">
        <f>Port[[#This Row],[EAD_Interest (THB)]]*Port[[#This Row],[LGD_avg]]</f>
        <v>2410.1860141963866</v>
      </c>
      <c r="AP121" s="507">
        <f>Port[[#This Row],[EAD_Drawn (THB)]]+Port[[#This Row],[EAD_Interest (THB)]]</f>
        <v>2581902.4609440002</v>
      </c>
      <c r="AQ1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38688.357612600004</v>
      </c>
      <c r="AR121" s="522">
        <f>MAX(Port[[#This Row],[ECL (THB)]]+Port[[#This Row],[ECL_Interest (THB)]], Port[[#This Row],[ECL CBIRC (THB)]])</f>
        <v>38688.357612600004</v>
      </c>
    </row>
    <row r="122" spans="1:44">
      <c r="A122" s="2" t="s">
        <v>99</v>
      </c>
      <c r="B122" s="2" t="s">
        <v>60</v>
      </c>
      <c r="C122" s="2" t="s">
        <v>17</v>
      </c>
      <c r="D122" s="2" t="s">
        <v>30</v>
      </c>
      <c r="E122" s="2" t="s">
        <v>19</v>
      </c>
      <c r="F122" s="2" t="s">
        <v>20</v>
      </c>
      <c r="G122" s="2" t="s">
        <v>21</v>
      </c>
      <c r="H122">
        <v>1</v>
      </c>
      <c r="I122" s="2" t="s">
        <v>526</v>
      </c>
      <c r="J122" s="505">
        <v>1.3043899345507868E-2</v>
      </c>
      <c r="K122" s="505">
        <v>0.89987734044494194</v>
      </c>
      <c r="L122" s="3">
        <v>1</v>
      </c>
      <c r="M122" s="3">
        <v>5.2488000000000001</v>
      </c>
      <c r="N122" s="507">
        <v>855604.02</v>
      </c>
      <c r="O122" s="507">
        <v>0</v>
      </c>
      <c r="P122" s="507">
        <v>855604.02</v>
      </c>
      <c r="Q122" s="507">
        <v>888.57</v>
      </c>
      <c r="R122" s="507">
        <v>10043.002513584641</v>
      </c>
      <c r="S122" s="507">
        <v>0</v>
      </c>
      <c r="T122" s="507">
        <v>10043.002513584641</v>
      </c>
      <c r="U122" s="507">
        <v>10.429954201823298</v>
      </c>
      <c r="V122" s="507">
        <f>Port[[#This Row],[EAD_Drawn (CNY)]]*Port[[#This Row],[CNY -&gt; FCY]]</f>
        <v>855604.02</v>
      </c>
      <c r="W122" s="507">
        <f>Port[[#This Row],[EAD_Undrawn (CNY)]]*Port[[#This Row],[CNY -&gt; FCY]]</f>
        <v>0</v>
      </c>
      <c r="X122" s="507">
        <f>Port[[#This Row],[EAD (CNY)]]*Port[[#This Row],[CNY -&gt; FCY]]</f>
        <v>855604.02</v>
      </c>
      <c r="Y122" s="507">
        <f>Port[[#This Row],[EAD_Interest (CNY)]]*Port[[#This Row],[CNY -&gt; FCY]]</f>
        <v>888.57</v>
      </c>
      <c r="Z122" s="507">
        <f>Port[[#This Row],[ECL_Drawn (CNY)]]*Port[[#This Row],[CNY -&gt; FCY]]</f>
        <v>10043.002513584641</v>
      </c>
      <c r="AA122" s="507">
        <f>Port[[#This Row],[ECL_Undrawn (CNY)]]*Port[[#This Row],[CNY -&gt; FCY]]</f>
        <v>0</v>
      </c>
      <c r="AB122" s="507">
        <f>Port[[#This Row],[ECL (CNY)]]*Port[[#This Row],[CNY -&gt; FCY]]</f>
        <v>10043.002513584641</v>
      </c>
      <c r="AC122" s="507">
        <f>Port[[#This Row],[ECL_Interest (CNY)]]*Port[[#This Row],[CNY -&gt; FCY]]</f>
        <v>10.429954201823298</v>
      </c>
      <c r="AD122" s="507">
        <f>Port[[#This Row],[EAD_Drawn (CNY)]]*Port[[#This Row],[CNY -&gt; THB]]</f>
        <v>4490894.3801760003</v>
      </c>
      <c r="AE122" s="507">
        <f>Port[[#This Row],[EAD_Undrawn (CNY)]]*Port[[#This Row],[CNY -&gt; THB]]</f>
        <v>0</v>
      </c>
      <c r="AF122" s="507">
        <f>Port[[#This Row],[EAD (CNY)]]*Port[[#This Row],[CNY -&gt; THB]]</f>
        <v>4490894.3801760003</v>
      </c>
      <c r="AG122" s="507">
        <f>Port[[#This Row],[EAD_Interest (CNY)]]*Port[[#This Row],[CNY -&gt; THB]]</f>
        <v>4663.9262160000007</v>
      </c>
      <c r="AH122" s="507">
        <f>Port[[#This Row],[ECL_Drawn (CNY)]]*Port[[#This Row],[CNY -&gt; THB]]</f>
        <v>52713.711593303065</v>
      </c>
      <c r="AI122" s="507">
        <f>Port[[#This Row],[ECL_Undrawn (CNY)]]*Port[[#This Row],[CNY -&gt; THB]]</f>
        <v>0</v>
      </c>
      <c r="AJ122" s="507">
        <f>Port[[#This Row],[ECL (CNY)]]*Port[[#This Row],[CNY -&gt; THB]]</f>
        <v>52713.711593303065</v>
      </c>
      <c r="AK122" s="507">
        <f>Port[[#This Row],[ECL_Interest (CNY)]]*Port[[#This Row],[CNY -&gt; THB]]</f>
        <v>54.74474361453013</v>
      </c>
      <c r="AL122" s="507">
        <f>Port[[#This Row],[EAD (THB)]]*Port[[#This Row],[PD_avg]]</f>
        <v>58578.774266322696</v>
      </c>
      <c r="AM122" s="507">
        <f>Port[[#This Row],[EAD_Interest (THB)]]*Port[[#This Row],[PD_avg]]</f>
        <v>60.835784116379401</v>
      </c>
      <c r="AN122" s="507">
        <f>Port[[#This Row],[EAD (THB)]]*Port[[#This Row],[LGD_avg]]</f>
        <v>4041254.0910519152</v>
      </c>
      <c r="AO122" s="507">
        <f>Port[[#This Row],[EAD_Interest (THB)]]*Port[[#This Row],[LGD_avg]]</f>
        <v>4196.9615192855226</v>
      </c>
      <c r="AP122" s="507">
        <f>Port[[#This Row],[EAD_Drawn (THB)]]+Port[[#This Row],[EAD_Interest (THB)]]</f>
        <v>4495558.3063920001</v>
      </c>
      <c r="AQ1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67363.415702640006</v>
      </c>
      <c r="AR122" s="522">
        <f>MAX(Port[[#This Row],[ECL (THB)]]+Port[[#This Row],[ECL_Interest (THB)]], Port[[#This Row],[ECL CBIRC (THB)]])</f>
        <v>67363.415702640006</v>
      </c>
    </row>
    <row r="123" spans="1:44">
      <c r="A123" s="2" t="s">
        <v>100</v>
      </c>
      <c r="B123" s="2" t="s">
        <v>60</v>
      </c>
      <c r="C123" s="2" t="s">
        <v>17</v>
      </c>
      <c r="D123" s="2" t="s">
        <v>30</v>
      </c>
      <c r="E123" s="2" t="s">
        <v>19</v>
      </c>
      <c r="F123" s="2" t="s">
        <v>20</v>
      </c>
      <c r="G123" s="2" t="s">
        <v>21</v>
      </c>
      <c r="H123">
        <v>1</v>
      </c>
      <c r="I123" s="2" t="s">
        <v>526</v>
      </c>
      <c r="J123" s="505">
        <v>1.3043899345507868E-2</v>
      </c>
      <c r="K123" s="505">
        <v>0.89993990118215972</v>
      </c>
      <c r="L123" s="3">
        <v>1</v>
      </c>
      <c r="M123" s="3">
        <v>5.2488000000000001</v>
      </c>
      <c r="N123" s="507">
        <v>1746257.45</v>
      </c>
      <c r="O123" s="507">
        <v>0</v>
      </c>
      <c r="P123" s="507">
        <v>1746257.45</v>
      </c>
      <c r="Q123" s="507">
        <v>1813.54</v>
      </c>
      <c r="R123" s="507">
        <v>20498.836836970968</v>
      </c>
      <c r="S123" s="507">
        <v>0</v>
      </c>
      <c r="T123" s="507">
        <v>20498.836836970968</v>
      </c>
      <c r="U123" s="507">
        <v>21.288648221555377</v>
      </c>
      <c r="V123" s="507">
        <f>Port[[#This Row],[EAD_Drawn (CNY)]]*Port[[#This Row],[CNY -&gt; FCY]]</f>
        <v>1746257.45</v>
      </c>
      <c r="W123" s="507">
        <f>Port[[#This Row],[EAD_Undrawn (CNY)]]*Port[[#This Row],[CNY -&gt; FCY]]</f>
        <v>0</v>
      </c>
      <c r="X123" s="507">
        <f>Port[[#This Row],[EAD (CNY)]]*Port[[#This Row],[CNY -&gt; FCY]]</f>
        <v>1746257.45</v>
      </c>
      <c r="Y123" s="507">
        <f>Port[[#This Row],[EAD_Interest (CNY)]]*Port[[#This Row],[CNY -&gt; FCY]]</f>
        <v>1813.54</v>
      </c>
      <c r="Z123" s="507">
        <f>Port[[#This Row],[ECL_Drawn (CNY)]]*Port[[#This Row],[CNY -&gt; FCY]]</f>
        <v>20498.836836970968</v>
      </c>
      <c r="AA123" s="507">
        <f>Port[[#This Row],[ECL_Undrawn (CNY)]]*Port[[#This Row],[CNY -&gt; FCY]]</f>
        <v>0</v>
      </c>
      <c r="AB123" s="507">
        <f>Port[[#This Row],[ECL (CNY)]]*Port[[#This Row],[CNY -&gt; FCY]]</f>
        <v>20498.836836970968</v>
      </c>
      <c r="AC123" s="507">
        <f>Port[[#This Row],[ECL_Interest (CNY)]]*Port[[#This Row],[CNY -&gt; FCY]]</f>
        <v>21.288648221555377</v>
      </c>
      <c r="AD123" s="507">
        <f>Port[[#This Row],[EAD_Drawn (CNY)]]*Port[[#This Row],[CNY -&gt; THB]]</f>
        <v>9165756.1035600007</v>
      </c>
      <c r="AE123" s="507">
        <f>Port[[#This Row],[EAD_Undrawn (CNY)]]*Port[[#This Row],[CNY -&gt; THB]]</f>
        <v>0</v>
      </c>
      <c r="AF123" s="507">
        <f>Port[[#This Row],[EAD (CNY)]]*Port[[#This Row],[CNY -&gt; THB]]</f>
        <v>9165756.1035600007</v>
      </c>
      <c r="AG123" s="507">
        <f>Port[[#This Row],[EAD_Interest (CNY)]]*Port[[#This Row],[CNY -&gt; THB]]</f>
        <v>9518.9087519999994</v>
      </c>
      <c r="AH123" s="507">
        <f>Port[[#This Row],[ECL_Drawn (CNY)]]*Port[[#This Row],[CNY -&gt; THB]]</f>
        <v>107594.29478989322</v>
      </c>
      <c r="AI123" s="507">
        <f>Port[[#This Row],[ECL_Undrawn (CNY)]]*Port[[#This Row],[CNY -&gt; THB]]</f>
        <v>0</v>
      </c>
      <c r="AJ123" s="507">
        <f>Port[[#This Row],[ECL (CNY)]]*Port[[#This Row],[CNY -&gt; THB]]</f>
        <v>107594.29478989322</v>
      </c>
      <c r="AK123" s="507">
        <f>Port[[#This Row],[ECL_Interest (CNY)]]*Port[[#This Row],[CNY -&gt; THB]]</f>
        <v>111.73985678529986</v>
      </c>
      <c r="AL123" s="507">
        <f>Port[[#This Row],[EAD (THB)]]*Port[[#This Row],[PD_avg]]</f>
        <v>119557.20004031104</v>
      </c>
      <c r="AM123" s="507">
        <f>Port[[#This Row],[EAD_Interest (THB)]]*Port[[#This Row],[PD_avg]]</f>
        <v>124.16368764016191</v>
      </c>
      <c r="AN123" s="507">
        <f>Port[[#This Row],[EAD (THB)]]*Port[[#This Row],[LGD_avg]]</f>
        <v>8248629.6420975644</v>
      </c>
      <c r="AO123" s="507">
        <f>Port[[#This Row],[EAD_Interest (THB)]]*Port[[#This Row],[LGD_avg]]</f>
        <v>8566.4458016368753</v>
      </c>
      <c r="AP123" s="507">
        <f>Port[[#This Row],[EAD_Drawn (THB)]]+Port[[#This Row],[EAD_Interest (THB)]]</f>
        <v>9175275.0123120006</v>
      </c>
      <c r="AQ1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137486.34155340001</v>
      </c>
      <c r="AR123" s="522">
        <f>MAX(Port[[#This Row],[ECL (THB)]]+Port[[#This Row],[ECL_Interest (THB)]], Port[[#This Row],[ECL CBIRC (THB)]])</f>
        <v>137486.34155340001</v>
      </c>
    </row>
    <row r="124" spans="1:44">
      <c r="A124" s="2" t="s">
        <v>101</v>
      </c>
      <c r="B124" s="2" t="s">
        <v>60</v>
      </c>
      <c r="C124" s="2" t="s">
        <v>17</v>
      </c>
      <c r="D124" s="2" t="s">
        <v>30</v>
      </c>
      <c r="E124" s="2" t="s">
        <v>19</v>
      </c>
      <c r="F124" s="2" t="s">
        <v>20</v>
      </c>
      <c r="G124" s="2" t="s">
        <v>21</v>
      </c>
      <c r="H124">
        <v>1</v>
      </c>
      <c r="I124" s="2" t="s">
        <v>526</v>
      </c>
      <c r="J124" s="505">
        <v>1.3043899345507868E-2</v>
      </c>
      <c r="K124" s="505">
        <v>0.89979893194714267</v>
      </c>
      <c r="L124" s="3">
        <v>1</v>
      </c>
      <c r="M124" s="3">
        <v>5.2488000000000001</v>
      </c>
      <c r="N124" s="507">
        <v>521952.68</v>
      </c>
      <c r="O124" s="507">
        <v>0</v>
      </c>
      <c r="P124" s="507">
        <v>521952.68</v>
      </c>
      <c r="Q124" s="507">
        <v>542.05999999999995</v>
      </c>
      <c r="R124" s="507">
        <v>6126.0994676676937</v>
      </c>
      <c r="S124" s="507">
        <v>0</v>
      </c>
      <c r="T124" s="507">
        <v>6126.0994676676937</v>
      </c>
      <c r="U124" s="507">
        <v>6.3620968043385657</v>
      </c>
      <c r="V124" s="507">
        <f>Port[[#This Row],[EAD_Drawn (CNY)]]*Port[[#This Row],[CNY -&gt; FCY]]</f>
        <v>521952.68</v>
      </c>
      <c r="W124" s="507">
        <f>Port[[#This Row],[EAD_Undrawn (CNY)]]*Port[[#This Row],[CNY -&gt; FCY]]</f>
        <v>0</v>
      </c>
      <c r="X124" s="507">
        <f>Port[[#This Row],[EAD (CNY)]]*Port[[#This Row],[CNY -&gt; FCY]]</f>
        <v>521952.68</v>
      </c>
      <c r="Y124" s="507">
        <f>Port[[#This Row],[EAD_Interest (CNY)]]*Port[[#This Row],[CNY -&gt; FCY]]</f>
        <v>542.05999999999995</v>
      </c>
      <c r="Z124" s="507">
        <f>Port[[#This Row],[ECL_Drawn (CNY)]]*Port[[#This Row],[CNY -&gt; FCY]]</f>
        <v>6126.0994676676937</v>
      </c>
      <c r="AA124" s="507">
        <f>Port[[#This Row],[ECL_Undrawn (CNY)]]*Port[[#This Row],[CNY -&gt; FCY]]</f>
        <v>0</v>
      </c>
      <c r="AB124" s="507">
        <f>Port[[#This Row],[ECL (CNY)]]*Port[[#This Row],[CNY -&gt; FCY]]</f>
        <v>6126.0994676676937</v>
      </c>
      <c r="AC124" s="507">
        <f>Port[[#This Row],[ECL_Interest (CNY)]]*Port[[#This Row],[CNY -&gt; FCY]]</f>
        <v>6.3620968043385657</v>
      </c>
      <c r="AD124" s="507">
        <f>Port[[#This Row],[EAD_Drawn (CNY)]]*Port[[#This Row],[CNY -&gt; THB]]</f>
        <v>2739625.2267840002</v>
      </c>
      <c r="AE124" s="507">
        <f>Port[[#This Row],[EAD_Undrawn (CNY)]]*Port[[#This Row],[CNY -&gt; THB]]</f>
        <v>0</v>
      </c>
      <c r="AF124" s="507">
        <f>Port[[#This Row],[EAD (CNY)]]*Port[[#This Row],[CNY -&gt; THB]]</f>
        <v>2739625.2267840002</v>
      </c>
      <c r="AG124" s="507">
        <f>Port[[#This Row],[EAD_Interest (CNY)]]*Port[[#This Row],[CNY -&gt; THB]]</f>
        <v>2845.1645279999998</v>
      </c>
      <c r="AH124" s="507">
        <f>Port[[#This Row],[ECL_Drawn (CNY)]]*Port[[#This Row],[CNY -&gt; THB]]</f>
        <v>32154.670885894193</v>
      </c>
      <c r="AI124" s="507">
        <f>Port[[#This Row],[ECL_Undrawn (CNY)]]*Port[[#This Row],[CNY -&gt; THB]]</f>
        <v>0</v>
      </c>
      <c r="AJ124" s="507">
        <f>Port[[#This Row],[ECL (CNY)]]*Port[[#This Row],[CNY -&gt; THB]]</f>
        <v>32154.670885894193</v>
      </c>
      <c r="AK124" s="507">
        <f>Port[[#This Row],[ECL_Interest (CNY)]]*Port[[#This Row],[CNY -&gt; THB]]</f>
        <v>33.393373706612266</v>
      </c>
      <c r="AL124" s="507">
        <f>Port[[#This Row],[EAD (THB)]]*Port[[#This Row],[PD_avg]]</f>
        <v>35735.395702584668</v>
      </c>
      <c r="AM124" s="507">
        <f>Port[[#This Row],[EAD_Interest (THB)]]*Port[[#This Row],[PD_avg]]</f>
        <v>37.112039724641399</v>
      </c>
      <c r="AN124" s="507">
        <f>Port[[#This Row],[EAD (THB)]]*Port[[#This Row],[LGD_avg]]</f>
        <v>2465111.8529956918</v>
      </c>
      <c r="AO124" s="507">
        <f>Port[[#This Row],[EAD_Interest (THB)]]*Port[[#This Row],[LGD_avg]]</f>
        <v>2560.0760035082963</v>
      </c>
      <c r="AP124" s="507">
        <f>Port[[#This Row],[EAD_Drawn (THB)]]+Port[[#This Row],[EAD_Interest (THB)]]</f>
        <v>2742470.3913120003</v>
      </c>
      <c r="AQ1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41094.378401760005</v>
      </c>
      <c r="AR124" s="522">
        <f>MAX(Port[[#This Row],[ECL (THB)]]+Port[[#This Row],[ECL_Interest (THB)]], Port[[#This Row],[ECL CBIRC (THB)]])</f>
        <v>41094.378401760005</v>
      </c>
    </row>
    <row r="125" spans="1:44">
      <c r="A125" s="2" t="s">
        <v>102</v>
      </c>
      <c r="B125" s="2" t="s">
        <v>60</v>
      </c>
      <c r="C125" s="2" t="s">
        <v>17</v>
      </c>
      <c r="D125" s="2" t="s">
        <v>30</v>
      </c>
      <c r="E125" s="2" t="s">
        <v>19</v>
      </c>
      <c r="F125" s="2" t="s">
        <v>20</v>
      </c>
      <c r="G125" s="2" t="s">
        <v>21</v>
      </c>
      <c r="H125">
        <v>1</v>
      </c>
      <c r="I125" s="2" t="s">
        <v>526</v>
      </c>
      <c r="J125" s="505">
        <v>1.3043899345507868E-2</v>
      </c>
      <c r="K125" s="505">
        <v>0.89952305244257624</v>
      </c>
      <c r="L125" s="3">
        <v>1</v>
      </c>
      <c r="M125" s="3">
        <v>5.2488000000000001</v>
      </c>
      <c r="N125" s="507">
        <v>220040.98</v>
      </c>
      <c r="O125" s="507">
        <v>0</v>
      </c>
      <c r="P125" s="507">
        <v>220040.98</v>
      </c>
      <c r="Q125" s="507">
        <v>228.52</v>
      </c>
      <c r="R125" s="507">
        <v>2581.8042242540841</v>
      </c>
      <c r="S125" s="507">
        <v>0</v>
      </c>
      <c r="T125" s="507">
        <v>2581.8042242540841</v>
      </c>
      <c r="U125" s="507">
        <v>2.681291009186304</v>
      </c>
      <c r="V125" s="507">
        <f>Port[[#This Row],[EAD_Drawn (CNY)]]*Port[[#This Row],[CNY -&gt; FCY]]</f>
        <v>220040.98</v>
      </c>
      <c r="W125" s="507">
        <f>Port[[#This Row],[EAD_Undrawn (CNY)]]*Port[[#This Row],[CNY -&gt; FCY]]</f>
        <v>0</v>
      </c>
      <c r="X125" s="507">
        <f>Port[[#This Row],[EAD (CNY)]]*Port[[#This Row],[CNY -&gt; FCY]]</f>
        <v>220040.98</v>
      </c>
      <c r="Y125" s="507">
        <f>Port[[#This Row],[EAD_Interest (CNY)]]*Port[[#This Row],[CNY -&gt; FCY]]</f>
        <v>228.52</v>
      </c>
      <c r="Z125" s="507">
        <f>Port[[#This Row],[ECL_Drawn (CNY)]]*Port[[#This Row],[CNY -&gt; FCY]]</f>
        <v>2581.8042242540841</v>
      </c>
      <c r="AA125" s="507">
        <f>Port[[#This Row],[ECL_Undrawn (CNY)]]*Port[[#This Row],[CNY -&gt; FCY]]</f>
        <v>0</v>
      </c>
      <c r="AB125" s="507">
        <f>Port[[#This Row],[ECL (CNY)]]*Port[[#This Row],[CNY -&gt; FCY]]</f>
        <v>2581.8042242540841</v>
      </c>
      <c r="AC125" s="507">
        <f>Port[[#This Row],[ECL_Interest (CNY)]]*Port[[#This Row],[CNY -&gt; FCY]]</f>
        <v>2.681291009186304</v>
      </c>
      <c r="AD125" s="507">
        <f>Port[[#This Row],[EAD_Drawn (CNY)]]*Port[[#This Row],[CNY -&gt; THB]]</f>
        <v>1154951.0958240002</v>
      </c>
      <c r="AE125" s="507">
        <f>Port[[#This Row],[EAD_Undrawn (CNY)]]*Port[[#This Row],[CNY -&gt; THB]]</f>
        <v>0</v>
      </c>
      <c r="AF125" s="507">
        <f>Port[[#This Row],[EAD (CNY)]]*Port[[#This Row],[CNY -&gt; THB]]</f>
        <v>1154951.0958240002</v>
      </c>
      <c r="AG125" s="507">
        <f>Port[[#This Row],[EAD_Interest (CNY)]]*Port[[#This Row],[CNY -&gt; THB]]</f>
        <v>1199.455776</v>
      </c>
      <c r="AH125" s="507">
        <f>Port[[#This Row],[ECL_Drawn (CNY)]]*Port[[#This Row],[CNY -&gt; THB]]</f>
        <v>13551.374012264838</v>
      </c>
      <c r="AI125" s="507">
        <f>Port[[#This Row],[ECL_Undrawn (CNY)]]*Port[[#This Row],[CNY -&gt; THB]]</f>
        <v>0</v>
      </c>
      <c r="AJ125" s="507">
        <f>Port[[#This Row],[ECL (CNY)]]*Port[[#This Row],[CNY -&gt; THB]]</f>
        <v>13551.374012264838</v>
      </c>
      <c r="AK125" s="507">
        <f>Port[[#This Row],[ECL_Interest (CNY)]]*Port[[#This Row],[CNY -&gt; THB]]</f>
        <v>14.073560249017072</v>
      </c>
      <c r="AL125" s="507">
        <f>Port[[#This Row],[EAD (THB)]]*Port[[#This Row],[PD_avg]]</f>
        <v>15065.06584291227</v>
      </c>
      <c r="AM125" s="507">
        <f>Port[[#This Row],[EAD_Interest (THB)]]*Port[[#This Row],[PD_avg]]</f>
        <v>15.645580411532032</v>
      </c>
      <c r="AN125" s="507">
        <f>Port[[#This Row],[EAD (THB)]]*Port[[#This Row],[LGD_avg]]</f>
        <v>1038905.135137503</v>
      </c>
      <c r="AO125" s="507">
        <f>Port[[#This Row],[EAD_Interest (THB)]]*Port[[#This Row],[LGD_avg]]</f>
        <v>1078.9381208973989</v>
      </c>
      <c r="AP125" s="507">
        <f>Port[[#This Row],[EAD_Drawn (THB)]]+Port[[#This Row],[EAD_Interest (THB)]]</f>
        <v>1156150.5516000001</v>
      </c>
      <c r="AQ1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17324.266437360002</v>
      </c>
      <c r="AR125" s="522">
        <f>MAX(Port[[#This Row],[ECL (THB)]]+Port[[#This Row],[ECL_Interest (THB)]], Port[[#This Row],[ECL CBIRC (THB)]])</f>
        <v>17324.266437360002</v>
      </c>
    </row>
    <row r="126" spans="1:44">
      <c r="A126" s="2" t="s">
        <v>103</v>
      </c>
      <c r="B126" s="2" t="s">
        <v>60</v>
      </c>
      <c r="C126" s="2" t="s">
        <v>17</v>
      </c>
      <c r="D126" s="2" t="s">
        <v>30</v>
      </c>
      <c r="E126" s="2" t="s">
        <v>19</v>
      </c>
      <c r="F126" s="2" t="s">
        <v>20</v>
      </c>
      <c r="G126" s="2" t="s">
        <v>21</v>
      </c>
      <c r="H126">
        <v>1</v>
      </c>
      <c r="I126" s="2" t="s">
        <v>526</v>
      </c>
      <c r="J126" s="505">
        <v>1.3043899345507868E-2</v>
      </c>
      <c r="K126" s="505">
        <v>0.89965788666854773</v>
      </c>
      <c r="L126" s="3">
        <v>1</v>
      </c>
      <c r="M126" s="3">
        <v>5.2488000000000001</v>
      </c>
      <c r="N126" s="507">
        <v>306763.87</v>
      </c>
      <c r="O126" s="507">
        <v>0</v>
      </c>
      <c r="P126" s="507">
        <v>306763.87</v>
      </c>
      <c r="Q126" s="507">
        <v>318.58</v>
      </c>
      <c r="R126" s="507">
        <v>3599.8884075337305</v>
      </c>
      <c r="S126" s="507">
        <v>0</v>
      </c>
      <c r="T126" s="507">
        <v>3599.8884075337305</v>
      </c>
      <c r="U126" s="507">
        <v>3.7385512474858782</v>
      </c>
      <c r="V126" s="507">
        <f>Port[[#This Row],[EAD_Drawn (CNY)]]*Port[[#This Row],[CNY -&gt; FCY]]</f>
        <v>306763.87</v>
      </c>
      <c r="W126" s="507">
        <f>Port[[#This Row],[EAD_Undrawn (CNY)]]*Port[[#This Row],[CNY -&gt; FCY]]</f>
        <v>0</v>
      </c>
      <c r="X126" s="507">
        <f>Port[[#This Row],[EAD (CNY)]]*Port[[#This Row],[CNY -&gt; FCY]]</f>
        <v>306763.87</v>
      </c>
      <c r="Y126" s="507">
        <f>Port[[#This Row],[EAD_Interest (CNY)]]*Port[[#This Row],[CNY -&gt; FCY]]</f>
        <v>318.58</v>
      </c>
      <c r="Z126" s="507">
        <f>Port[[#This Row],[ECL_Drawn (CNY)]]*Port[[#This Row],[CNY -&gt; FCY]]</f>
        <v>3599.8884075337305</v>
      </c>
      <c r="AA126" s="507">
        <f>Port[[#This Row],[ECL_Undrawn (CNY)]]*Port[[#This Row],[CNY -&gt; FCY]]</f>
        <v>0</v>
      </c>
      <c r="AB126" s="507">
        <f>Port[[#This Row],[ECL (CNY)]]*Port[[#This Row],[CNY -&gt; FCY]]</f>
        <v>3599.8884075337305</v>
      </c>
      <c r="AC126" s="507">
        <f>Port[[#This Row],[ECL_Interest (CNY)]]*Port[[#This Row],[CNY -&gt; FCY]]</f>
        <v>3.7385512474858782</v>
      </c>
      <c r="AD126" s="507">
        <f>Port[[#This Row],[EAD_Drawn (CNY)]]*Port[[#This Row],[CNY -&gt; THB]]</f>
        <v>1610142.200856</v>
      </c>
      <c r="AE126" s="507">
        <f>Port[[#This Row],[EAD_Undrawn (CNY)]]*Port[[#This Row],[CNY -&gt; THB]]</f>
        <v>0</v>
      </c>
      <c r="AF126" s="507">
        <f>Port[[#This Row],[EAD (CNY)]]*Port[[#This Row],[CNY -&gt; THB]]</f>
        <v>1610142.200856</v>
      </c>
      <c r="AG126" s="507">
        <f>Port[[#This Row],[EAD_Interest (CNY)]]*Port[[#This Row],[CNY -&gt; THB]]</f>
        <v>1672.1627039999998</v>
      </c>
      <c r="AH126" s="507">
        <f>Port[[#This Row],[ECL_Drawn (CNY)]]*Port[[#This Row],[CNY -&gt; THB]]</f>
        <v>18895.094273463044</v>
      </c>
      <c r="AI126" s="507">
        <f>Port[[#This Row],[ECL_Undrawn (CNY)]]*Port[[#This Row],[CNY -&gt; THB]]</f>
        <v>0</v>
      </c>
      <c r="AJ126" s="507">
        <f>Port[[#This Row],[ECL (CNY)]]*Port[[#This Row],[CNY -&gt; THB]]</f>
        <v>18895.094273463044</v>
      </c>
      <c r="AK126" s="507">
        <f>Port[[#This Row],[ECL_Interest (CNY)]]*Port[[#This Row],[CNY -&gt; THB]]</f>
        <v>19.622907787803879</v>
      </c>
      <c r="AL126" s="507">
        <f>Port[[#This Row],[EAD (THB)]]*Port[[#This Row],[PD_avg]]</f>
        <v>21002.532799920176</v>
      </c>
      <c r="AM126" s="507">
        <f>Port[[#This Row],[EAD_Interest (THB)]]*Port[[#This Row],[PD_avg]]</f>
        <v>21.811522000288264</v>
      </c>
      <c r="AN126" s="507">
        <f>Port[[#This Row],[EAD (THB)]]*Port[[#This Row],[LGD_avg]]</f>
        <v>1448577.1296579533</v>
      </c>
      <c r="AO126" s="507">
        <f>Port[[#This Row],[EAD_Interest (THB)]]*Port[[#This Row],[LGD_avg]]</f>
        <v>1504.3743644466042</v>
      </c>
      <c r="AP126" s="507">
        <f>Port[[#This Row],[EAD_Drawn (THB)]]+Port[[#This Row],[EAD_Interest (THB)]]</f>
        <v>1611814.36356</v>
      </c>
      <c r="AQ1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24152.133012839997</v>
      </c>
      <c r="AR126" s="522">
        <f>MAX(Port[[#This Row],[ECL (THB)]]+Port[[#This Row],[ECL_Interest (THB)]], Port[[#This Row],[ECL CBIRC (THB)]])</f>
        <v>24152.133012839997</v>
      </c>
    </row>
    <row r="127" spans="1:44">
      <c r="A127" s="2" t="s">
        <v>104</v>
      </c>
      <c r="B127" s="2" t="s">
        <v>60</v>
      </c>
      <c r="C127" s="2" t="s">
        <v>17</v>
      </c>
      <c r="D127" s="2" t="s">
        <v>30</v>
      </c>
      <c r="E127" s="2" t="s">
        <v>19</v>
      </c>
      <c r="F127" s="2" t="s">
        <v>20</v>
      </c>
      <c r="G127" s="2" t="s">
        <v>21</v>
      </c>
      <c r="H127">
        <v>1</v>
      </c>
      <c r="I127" s="2" t="s">
        <v>526</v>
      </c>
      <c r="J127" s="505">
        <v>1.3043899345507868E-2</v>
      </c>
      <c r="K127" s="505">
        <v>0.89988663109210043</v>
      </c>
      <c r="L127" s="3">
        <v>1</v>
      </c>
      <c r="M127" s="3">
        <v>5.2488000000000001</v>
      </c>
      <c r="N127" s="507">
        <v>925721.26</v>
      </c>
      <c r="O127" s="507">
        <v>0</v>
      </c>
      <c r="P127" s="507">
        <v>925721.26</v>
      </c>
      <c r="Q127" s="507">
        <v>961.39</v>
      </c>
      <c r="R127" s="507">
        <v>10866.144512436718</v>
      </c>
      <c r="S127" s="507">
        <v>0</v>
      </c>
      <c r="T127" s="507">
        <v>10866.144512436718</v>
      </c>
      <c r="U127" s="507">
        <v>11.284825275387471</v>
      </c>
      <c r="V127" s="507">
        <f>Port[[#This Row],[EAD_Drawn (CNY)]]*Port[[#This Row],[CNY -&gt; FCY]]</f>
        <v>925721.26</v>
      </c>
      <c r="W127" s="507">
        <f>Port[[#This Row],[EAD_Undrawn (CNY)]]*Port[[#This Row],[CNY -&gt; FCY]]</f>
        <v>0</v>
      </c>
      <c r="X127" s="507">
        <f>Port[[#This Row],[EAD (CNY)]]*Port[[#This Row],[CNY -&gt; FCY]]</f>
        <v>925721.26</v>
      </c>
      <c r="Y127" s="507">
        <f>Port[[#This Row],[EAD_Interest (CNY)]]*Port[[#This Row],[CNY -&gt; FCY]]</f>
        <v>961.39</v>
      </c>
      <c r="Z127" s="507">
        <f>Port[[#This Row],[ECL_Drawn (CNY)]]*Port[[#This Row],[CNY -&gt; FCY]]</f>
        <v>10866.144512436718</v>
      </c>
      <c r="AA127" s="507">
        <f>Port[[#This Row],[ECL_Undrawn (CNY)]]*Port[[#This Row],[CNY -&gt; FCY]]</f>
        <v>0</v>
      </c>
      <c r="AB127" s="507">
        <f>Port[[#This Row],[ECL (CNY)]]*Port[[#This Row],[CNY -&gt; FCY]]</f>
        <v>10866.144512436718</v>
      </c>
      <c r="AC127" s="507">
        <f>Port[[#This Row],[ECL_Interest (CNY)]]*Port[[#This Row],[CNY -&gt; FCY]]</f>
        <v>11.284825275387471</v>
      </c>
      <c r="AD127" s="507">
        <f>Port[[#This Row],[EAD_Drawn (CNY)]]*Port[[#This Row],[CNY -&gt; THB]]</f>
        <v>4858925.7494879998</v>
      </c>
      <c r="AE127" s="507">
        <f>Port[[#This Row],[EAD_Undrawn (CNY)]]*Port[[#This Row],[CNY -&gt; THB]]</f>
        <v>0</v>
      </c>
      <c r="AF127" s="507">
        <f>Port[[#This Row],[EAD (CNY)]]*Port[[#This Row],[CNY -&gt; THB]]</f>
        <v>4858925.7494879998</v>
      </c>
      <c r="AG127" s="507">
        <f>Port[[#This Row],[EAD_Interest (CNY)]]*Port[[#This Row],[CNY -&gt; THB]]</f>
        <v>5046.1438319999997</v>
      </c>
      <c r="AH127" s="507">
        <f>Port[[#This Row],[ECL_Drawn (CNY)]]*Port[[#This Row],[CNY -&gt; THB]]</f>
        <v>57034.219316877847</v>
      </c>
      <c r="AI127" s="507">
        <f>Port[[#This Row],[ECL_Undrawn (CNY)]]*Port[[#This Row],[CNY -&gt; THB]]</f>
        <v>0</v>
      </c>
      <c r="AJ127" s="507">
        <f>Port[[#This Row],[ECL (CNY)]]*Port[[#This Row],[CNY -&gt; THB]]</f>
        <v>57034.219316877847</v>
      </c>
      <c r="AK127" s="507">
        <f>Port[[#This Row],[ECL_Interest (CNY)]]*Port[[#This Row],[CNY -&gt; THB]]</f>
        <v>59.231790905453757</v>
      </c>
      <c r="AL127" s="507">
        <f>Port[[#This Row],[EAD (THB)]]*Port[[#This Row],[PD_avg]]</f>
        <v>63379.338403617847</v>
      </c>
      <c r="AM127" s="507">
        <f>Port[[#This Row],[EAD_Interest (THB)]]*Port[[#This Row],[PD_avg]]</f>
        <v>65.821392227563365</v>
      </c>
      <c r="AN127" s="507">
        <f>Port[[#This Row],[EAD (THB)]]*Port[[#This Row],[LGD_avg]]</f>
        <v>4372482.323433415</v>
      </c>
      <c r="AO127" s="507">
        <f>Port[[#This Row],[EAD_Interest (THB)]]*Port[[#This Row],[LGD_avg]]</f>
        <v>4540.9573729846616</v>
      </c>
      <c r="AP127" s="507">
        <f>Port[[#This Row],[EAD_Drawn (THB)]]+Port[[#This Row],[EAD_Interest (THB)]]</f>
        <v>4863971.8933199998</v>
      </c>
      <c r="AQ1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72883.88624231999</v>
      </c>
      <c r="AR127" s="522">
        <f>MAX(Port[[#This Row],[ECL (THB)]]+Port[[#This Row],[ECL_Interest (THB)]], Port[[#This Row],[ECL CBIRC (THB)]])</f>
        <v>72883.88624231999</v>
      </c>
    </row>
    <row r="128" spans="1:44">
      <c r="A128" s="2" t="s">
        <v>105</v>
      </c>
      <c r="B128" s="2" t="s">
        <v>60</v>
      </c>
      <c r="C128" s="2" t="s">
        <v>17</v>
      </c>
      <c r="D128" s="2" t="s">
        <v>30</v>
      </c>
      <c r="E128" s="2" t="s">
        <v>19</v>
      </c>
      <c r="F128" s="2" t="s">
        <v>20</v>
      </c>
      <c r="G128" s="2" t="s">
        <v>21</v>
      </c>
      <c r="H128">
        <v>1</v>
      </c>
      <c r="I128" s="2" t="s">
        <v>526</v>
      </c>
      <c r="J128" s="505">
        <v>1.3043899345507868E-2</v>
      </c>
      <c r="K128" s="505">
        <v>0.8999317479331771</v>
      </c>
      <c r="L128" s="3">
        <v>1</v>
      </c>
      <c r="M128" s="3">
        <v>5.2488000000000001</v>
      </c>
      <c r="N128" s="507">
        <v>1537653.19</v>
      </c>
      <c r="O128" s="507">
        <v>0</v>
      </c>
      <c r="P128" s="507">
        <v>1537653.19</v>
      </c>
      <c r="Q128" s="507">
        <v>1596.9</v>
      </c>
      <c r="R128" s="507">
        <v>18049.925163536733</v>
      </c>
      <c r="S128" s="507">
        <v>0</v>
      </c>
      <c r="T128" s="507">
        <v>18049.925163536733</v>
      </c>
      <c r="U128" s="507">
        <v>18.745400901260325</v>
      </c>
      <c r="V128" s="507">
        <f>Port[[#This Row],[EAD_Drawn (CNY)]]*Port[[#This Row],[CNY -&gt; FCY]]</f>
        <v>1537653.19</v>
      </c>
      <c r="W128" s="507">
        <f>Port[[#This Row],[EAD_Undrawn (CNY)]]*Port[[#This Row],[CNY -&gt; FCY]]</f>
        <v>0</v>
      </c>
      <c r="X128" s="507">
        <f>Port[[#This Row],[EAD (CNY)]]*Port[[#This Row],[CNY -&gt; FCY]]</f>
        <v>1537653.19</v>
      </c>
      <c r="Y128" s="507">
        <f>Port[[#This Row],[EAD_Interest (CNY)]]*Port[[#This Row],[CNY -&gt; FCY]]</f>
        <v>1596.9</v>
      </c>
      <c r="Z128" s="507">
        <f>Port[[#This Row],[ECL_Drawn (CNY)]]*Port[[#This Row],[CNY -&gt; FCY]]</f>
        <v>18049.925163536733</v>
      </c>
      <c r="AA128" s="507">
        <f>Port[[#This Row],[ECL_Undrawn (CNY)]]*Port[[#This Row],[CNY -&gt; FCY]]</f>
        <v>0</v>
      </c>
      <c r="AB128" s="507">
        <f>Port[[#This Row],[ECL (CNY)]]*Port[[#This Row],[CNY -&gt; FCY]]</f>
        <v>18049.925163536733</v>
      </c>
      <c r="AC128" s="507">
        <f>Port[[#This Row],[ECL_Interest (CNY)]]*Port[[#This Row],[CNY -&gt; FCY]]</f>
        <v>18.745400901260325</v>
      </c>
      <c r="AD128" s="507">
        <f>Port[[#This Row],[EAD_Drawn (CNY)]]*Port[[#This Row],[CNY -&gt; THB]]</f>
        <v>8070834.0636719996</v>
      </c>
      <c r="AE128" s="507">
        <f>Port[[#This Row],[EAD_Undrawn (CNY)]]*Port[[#This Row],[CNY -&gt; THB]]</f>
        <v>0</v>
      </c>
      <c r="AF128" s="507">
        <f>Port[[#This Row],[EAD (CNY)]]*Port[[#This Row],[CNY -&gt; THB]]</f>
        <v>8070834.0636719996</v>
      </c>
      <c r="AG128" s="507">
        <f>Port[[#This Row],[EAD_Interest (CNY)]]*Port[[#This Row],[CNY -&gt; THB]]</f>
        <v>8381.8087200000009</v>
      </c>
      <c r="AH128" s="507">
        <f>Port[[#This Row],[ECL_Drawn (CNY)]]*Port[[#This Row],[CNY -&gt; THB]]</f>
        <v>94740.447198371607</v>
      </c>
      <c r="AI128" s="507">
        <f>Port[[#This Row],[ECL_Undrawn (CNY)]]*Port[[#This Row],[CNY -&gt; THB]]</f>
        <v>0</v>
      </c>
      <c r="AJ128" s="507">
        <f>Port[[#This Row],[ECL (CNY)]]*Port[[#This Row],[CNY -&gt; THB]]</f>
        <v>94740.447198371607</v>
      </c>
      <c r="AK128" s="507">
        <f>Port[[#This Row],[ECL_Interest (CNY)]]*Port[[#This Row],[CNY -&gt; THB]]</f>
        <v>98.390860250535198</v>
      </c>
      <c r="AL128" s="507">
        <f>Port[[#This Row],[EAD (THB)]]*Port[[#This Row],[PD_avg]]</f>
        <v>105275.1471608338</v>
      </c>
      <c r="AM128" s="507">
        <f>Port[[#This Row],[EAD_Interest (THB)]]*Port[[#This Row],[PD_avg]]</f>
        <v>109.33146927698016</v>
      </c>
      <c r="AN128" s="507">
        <f>Port[[#This Row],[EAD (THB)]]*Port[[#This Row],[LGD_avg]]</f>
        <v>7263199.8061989695</v>
      </c>
      <c r="AO128" s="507">
        <f>Port[[#This Row],[EAD_Interest (THB)]]*Port[[#This Row],[LGD_avg]]</f>
        <v>7543.0557722311469</v>
      </c>
      <c r="AP128" s="507">
        <f>Port[[#This Row],[EAD_Drawn (THB)]]+Port[[#This Row],[EAD_Interest (THB)]]</f>
        <v>8079215.8723919997</v>
      </c>
      <c r="AQ1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121062.51095507998</v>
      </c>
      <c r="AR128" s="522">
        <f>MAX(Port[[#This Row],[ECL (THB)]]+Port[[#This Row],[ECL_Interest (THB)]], Port[[#This Row],[ECL CBIRC (THB)]])</f>
        <v>121062.51095507998</v>
      </c>
    </row>
    <row r="129" spans="1:44">
      <c r="A129" s="2" t="s">
        <v>106</v>
      </c>
      <c r="B129" s="2" t="s">
        <v>94</v>
      </c>
      <c r="C129" s="2" t="s">
        <v>17</v>
      </c>
      <c r="D129" s="2" t="s">
        <v>95</v>
      </c>
      <c r="E129" s="2" t="s">
        <v>19</v>
      </c>
      <c r="F129" s="2" t="s">
        <v>20</v>
      </c>
      <c r="G129" s="2" t="s">
        <v>21</v>
      </c>
      <c r="H129">
        <v>1</v>
      </c>
      <c r="I129" s="2" t="s">
        <v>526</v>
      </c>
      <c r="J129" s="505">
        <v>2.0514833509807026E-2</v>
      </c>
      <c r="K129" s="505">
        <v>0.89999999999999991</v>
      </c>
      <c r="L129" s="3">
        <v>1</v>
      </c>
      <c r="M129" s="3">
        <v>5.2488000000000001</v>
      </c>
      <c r="N129" s="507">
        <v>747380.25</v>
      </c>
      <c r="O129" s="507">
        <v>0</v>
      </c>
      <c r="P129" s="507">
        <v>747380.25</v>
      </c>
      <c r="Q129" s="507">
        <v>779.3</v>
      </c>
      <c r="R129" s="507">
        <v>13799.143257541156</v>
      </c>
      <c r="S129" s="507">
        <v>0</v>
      </c>
      <c r="T129" s="507">
        <v>13799.143257541156</v>
      </c>
      <c r="U129" s="507">
        <v>14.388488778773354</v>
      </c>
      <c r="V129" s="507">
        <f>Port[[#This Row],[EAD_Drawn (CNY)]]*Port[[#This Row],[CNY -&gt; FCY]]</f>
        <v>747380.25</v>
      </c>
      <c r="W129" s="507">
        <f>Port[[#This Row],[EAD_Undrawn (CNY)]]*Port[[#This Row],[CNY -&gt; FCY]]</f>
        <v>0</v>
      </c>
      <c r="X129" s="507">
        <f>Port[[#This Row],[EAD (CNY)]]*Port[[#This Row],[CNY -&gt; FCY]]</f>
        <v>747380.25</v>
      </c>
      <c r="Y129" s="507">
        <f>Port[[#This Row],[EAD_Interest (CNY)]]*Port[[#This Row],[CNY -&gt; FCY]]</f>
        <v>779.3</v>
      </c>
      <c r="Z129" s="507">
        <f>Port[[#This Row],[ECL_Drawn (CNY)]]*Port[[#This Row],[CNY -&gt; FCY]]</f>
        <v>13799.143257541156</v>
      </c>
      <c r="AA129" s="507">
        <f>Port[[#This Row],[ECL_Undrawn (CNY)]]*Port[[#This Row],[CNY -&gt; FCY]]</f>
        <v>0</v>
      </c>
      <c r="AB129" s="507">
        <f>Port[[#This Row],[ECL (CNY)]]*Port[[#This Row],[CNY -&gt; FCY]]</f>
        <v>13799.143257541156</v>
      </c>
      <c r="AC129" s="507">
        <f>Port[[#This Row],[ECL_Interest (CNY)]]*Port[[#This Row],[CNY -&gt; FCY]]</f>
        <v>14.388488778773354</v>
      </c>
      <c r="AD129" s="507">
        <f>Port[[#This Row],[EAD_Drawn (CNY)]]*Port[[#This Row],[CNY -&gt; THB]]</f>
        <v>3922849.4561999999</v>
      </c>
      <c r="AE129" s="507">
        <f>Port[[#This Row],[EAD_Undrawn (CNY)]]*Port[[#This Row],[CNY -&gt; THB]]</f>
        <v>0</v>
      </c>
      <c r="AF129" s="507">
        <f>Port[[#This Row],[EAD (CNY)]]*Port[[#This Row],[CNY -&gt; THB]]</f>
        <v>3922849.4561999999</v>
      </c>
      <c r="AG129" s="507">
        <f>Port[[#This Row],[EAD_Interest (CNY)]]*Port[[#This Row],[CNY -&gt; THB]]</f>
        <v>4090.3898399999998</v>
      </c>
      <c r="AH129" s="507">
        <f>Port[[#This Row],[ECL_Drawn (CNY)]]*Port[[#This Row],[CNY -&gt; THB]]</f>
        <v>72428.94313018203</v>
      </c>
      <c r="AI129" s="507">
        <f>Port[[#This Row],[ECL_Undrawn (CNY)]]*Port[[#This Row],[CNY -&gt; THB]]</f>
        <v>0</v>
      </c>
      <c r="AJ129" s="507">
        <f>Port[[#This Row],[ECL (CNY)]]*Port[[#This Row],[CNY -&gt; THB]]</f>
        <v>72428.94313018203</v>
      </c>
      <c r="AK129" s="507">
        <f>Port[[#This Row],[ECL_Interest (CNY)]]*Port[[#This Row],[CNY -&gt; THB]]</f>
        <v>75.52229990202558</v>
      </c>
      <c r="AL129" s="507">
        <f>Port[[#This Row],[EAD (THB)]]*Port[[#This Row],[PD_avg]]</f>
        <v>80476.603477980025</v>
      </c>
      <c r="AM129" s="507">
        <f>Port[[#This Row],[EAD_Interest (THB)]]*Port[[#This Row],[PD_avg]]</f>
        <v>83.913666557806195</v>
      </c>
      <c r="AN129" s="507">
        <f>Port[[#This Row],[EAD (THB)]]*Port[[#This Row],[LGD_avg]]</f>
        <v>3530564.5105799995</v>
      </c>
      <c r="AO129" s="507">
        <f>Port[[#This Row],[EAD_Interest (THB)]]*Port[[#This Row],[LGD_avg]]</f>
        <v>3681.3508559999996</v>
      </c>
      <c r="AP129" s="507">
        <f>Port[[#This Row],[EAD_Drawn (THB)]]+Port[[#This Row],[EAD_Interest (THB)]]</f>
        <v>3926939.8460399997</v>
      </c>
      <c r="AQ1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58842.741842999996</v>
      </c>
      <c r="AR129" s="522">
        <f>MAX(Port[[#This Row],[ECL (THB)]]+Port[[#This Row],[ECL_Interest (THB)]], Port[[#This Row],[ECL CBIRC (THB)]])</f>
        <v>72504.465430084048</v>
      </c>
    </row>
    <row r="130" spans="1:44">
      <c r="A130" s="2" t="s">
        <v>107</v>
      </c>
      <c r="B130" s="2" t="s">
        <v>60</v>
      </c>
      <c r="C130" s="2" t="s">
        <v>17</v>
      </c>
      <c r="D130" s="2" t="s">
        <v>30</v>
      </c>
      <c r="E130" s="2" t="s">
        <v>19</v>
      </c>
      <c r="F130" s="2" t="s">
        <v>20</v>
      </c>
      <c r="G130" s="2" t="s">
        <v>21</v>
      </c>
      <c r="H130">
        <v>1</v>
      </c>
      <c r="I130" s="2" t="s">
        <v>526</v>
      </c>
      <c r="J130" s="505">
        <v>1.3043899345507868E-2</v>
      </c>
      <c r="K130" s="505">
        <v>0.89983296952635472</v>
      </c>
      <c r="L130" s="3">
        <v>1</v>
      </c>
      <c r="M130" s="3">
        <v>5.2488000000000001</v>
      </c>
      <c r="N130" s="507">
        <v>628316.54</v>
      </c>
      <c r="O130" s="507">
        <v>0</v>
      </c>
      <c r="P130" s="507">
        <v>628316.54</v>
      </c>
      <c r="Q130" s="507">
        <v>652.52</v>
      </c>
      <c r="R130" s="507">
        <v>7374.7590031204927</v>
      </c>
      <c r="S130" s="507">
        <v>0</v>
      </c>
      <c r="T130" s="507">
        <v>7374.7590031204927</v>
      </c>
      <c r="U130" s="507">
        <v>7.6588430167956174</v>
      </c>
      <c r="V130" s="507">
        <f>Port[[#This Row],[EAD_Drawn (CNY)]]*Port[[#This Row],[CNY -&gt; FCY]]</f>
        <v>628316.54</v>
      </c>
      <c r="W130" s="507">
        <f>Port[[#This Row],[EAD_Undrawn (CNY)]]*Port[[#This Row],[CNY -&gt; FCY]]</f>
        <v>0</v>
      </c>
      <c r="X130" s="507">
        <f>Port[[#This Row],[EAD (CNY)]]*Port[[#This Row],[CNY -&gt; FCY]]</f>
        <v>628316.54</v>
      </c>
      <c r="Y130" s="507">
        <f>Port[[#This Row],[EAD_Interest (CNY)]]*Port[[#This Row],[CNY -&gt; FCY]]</f>
        <v>652.52</v>
      </c>
      <c r="Z130" s="507">
        <f>Port[[#This Row],[ECL_Drawn (CNY)]]*Port[[#This Row],[CNY -&gt; FCY]]</f>
        <v>7374.7590031204927</v>
      </c>
      <c r="AA130" s="507">
        <f>Port[[#This Row],[ECL_Undrawn (CNY)]]*Port[[#This Row],[CNY -&gt; FCY]]</f>
        <v>0</v>
      </c>
      <c r="AB130" s="507">
        <f>Port[[#This Row],[ECL (CNY)]]*Port[[#This Row],[CNY -&gt; FCY]]</f>
        <v>7374.7590031204927</v>
      </c>
      <c r="AC130" s="507">
        <f>Port[[#This Row],[ECL_Interest (CNY)]]*Port[[#This Row],[CNY -&gt; FCY]]</f>
        <v>7.6588430167956174</v>
      </c>
      <c r="AD130" s="507">
        <f>Port[[#This Row],[EAD_Drawn (CNY)]]*Port[[#This Row],[CNY -&gt; THB]]</f>
        <v>3297907.8551520002</v>
      </c>
      <c r="AE130" s="507">
        <f>Port[[#This Row],[EAD_Undrawn (CNY)]]*Port[[#This Row],[CNY -&gt; THB]]</f>
        <v>0</v>
      </c>
      <c r="AF130" s="507">
        <f>Port[[#This Row],[EAD (CNY)]]*Port[[#This Row],[CNY -&gt; THB]]</f>
        <v>3297907.8551520002</v>
      </c>
      <c r="AG130" s="507">
        <f>Port[[#This Row],[EAD_Interest (CNY)]]*Port[[#This Row],[CNY -&gt; THB]]</f>
        <v>3424.9469760000002</v>
      </c>
      <c r="AH130" s="507">
        <f>Port[[#This Row],[ECL_Drawn (CNY)]]*Port[[#This Row],[CNY -&gt; THB]]</f>
        <v>38708.635055578845</v>
      </c>
      <c r="AI130" s="507">
        <f>Port[[#This Row],[ECL_Undrawn (CNY)]]*Port[[#This Row],[CNY -&gt; THB]]</f>
        <v>0</v>
      </c>
      <c r="AJ130" s="507">
        <f>Port[[#This Row],[ECL (CNY)]]*Port[[#This Row],[CNY -&gt; THB]]</f>
        <v>38708.635055578845</v>
      </c>
      <c r="AK130" s="507">
        <f>Port[[#This Row],[ECL_Interest (CNY)]]*Port[[#This Row],[CNY -&gt; THB]]</f>
        <v>40.19973522655684</v>
      </c>
      <c r="AL130" s="507">
        <f>Port[[#This Row],[EAD (THB)]]*Port[[#This Row],[PD_avg]]</f>
        <v>43017.578113362433</v>
      </c>
      <c r="AM130" s="507">
        <f>Port[[#This Row],[EAD_Interest (THB)]]*Port[[#This Row],[PD_avg]]</f>
        <v>44.674663618645553</v>
      </c>
      <c r="AN130" s="507">
        <f>Port[[#This Row],[EAD (THB)]]*Port[[#This Row],[LGD_avg]]</f>
        <v>2967566.2185257156</v>
      </c>
      <c r="AO130" s="507">
        <f>Port[[#This Row],[EAD_Interest (THB)]]*Port[[#This Row],[LGD_avg]]</f>
        <v>3081.8802078843887</v>
      </c>
      <c r="AP130" s="507">
        <f>Port[[#This Row],[EAD_Drawn (THB)]]+Port[[#This Row],[EAD_Interest (THB)]]</f>
        <v>3301332.8021280002</v>
      </c>
      <c r="AQ1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49468.617827280003</v>
      </c>
      <c r="AR130" s="522">
        <f>MAX(Port[[#This Row],[ECL (THB)]]+Port[[#This Row],[ECL_Interest (THB)]], Port[[#This Row],[ECL CBIRC (THB)]])</f>
        <v>49468.617827280003</v>
      </c>
    </row>
    <row r="131" spans="1:44">
      <c r="A131" s="2" t="s">
        <v>108</v>
      </c>
      <c r="B131" s="2" t="s">
        <v>60</v>
      </c>
      <c r="C131" s="2" t="s">
        <v>17</v>
      </c>
      <c r="D131" s="2" t="s">
        <v>30</v>
      </c>
      <c r="E131" s="2" t="s">
        <v>19</v>
      </c>
      <c r="F131" s="2" t="s">
        <v>20</v>
      </c>
      <c r="G131" s="2" t="s">
        <v>21</v>
      </c>
      <c r="H131">
        <v>1</v>
      </c>
      <c r="I131" s="2" t="s">
        <v>526</v>
      </c>
      <c r="J131" s="505">
        <v>1.3043899345507868E-2</v>
      </c>
      <c r="K131" s="505">
        <v>0.89986405502696187</v>
      </c>
      <c r="L131" s="3">
        <v>1</v>
      </c>
      <c r="M131" s="3">
        <v>5.2488000000000001</v>
      </c>
      <c r="N131" s="507">
        <v>771988.89</v>
      </c>
      <c r="O131" s="507">
        <v>0</v>
      </c>
      <c r="P131" s="507">
        <v>771988.89</v>
      </c>
      <c r="Q131" s="507">
        <v>801.73</v>
      </c>
      <c r="R131" s="507">
        <v>9061.4019080455328</v>
      </c>
      <c r="S131" s="507">
        <v>0</v>
      </c>
      <c r="T131" s="507">
        <v>9061.4019080455328</v>
      </c>
      <c r="U131" s="507">
        <v>9.4104952102838499</v>
      </c>
      <c r="V131" s="507">
        <f>Port[[#This Row],[EAD_Drawn (CNY)]]*Port[[#This Row],[CNY -&gt; FCY]]</f>
        <v>771988.89</v>
      </c>
      <c r="W131" s="507">
        <f>Port[[#This Row],[EAD_Undrawn (CNY)]]*Port[[#This Row],[CNY -&gt; FCY]]</f>
        <v>0</v>
      </c>
      <c r="X131" s="507">
        <f>Port[[#This Row],[EAD (CNY)]]*Port[[#This Row],[CNY -&gt; FCY]]</f>
        <v>771988.89</v>
      </c>
      <c r="Y131" s="507">
        <f>Port[[#This Row],[EAD_Interest (CNY)]]*Port[[#This Row],[CNY -&gt; FCY]]</f>
        <v>801.73</v>
      </c>
      <c r="Z131" s="507">
        <f>Port[[#This Row],[ECL_Drawn (CNY)]]*Port[[#This Row],[CNY -&gt; FCY]]</f>
        <v>9061.4019080455328</v>
      </c>
      <c r="AA131" s="507">
        <f>Port[[#This Row],[ECL_Undrawn (CNY)]]*Port[[#This Row],[CNY -&gt; FCY]]</f>
        <v>0</v>
      </c>
      <c r="AB131" s="507">
        <f>Port[[#This Row],[ECL (CNY)]]*Port[[#This Row],[CNY -&gt; FCY]]</f>
        <v>9061.4019080455328</v>
      </c>
      <c r="AC131" s="507">
        <f>Port[[#This Row],[ECL_Interest (CNY)]]*Port[[#This Row],[CNY -&gt; FCY]]</f>
        <v>9.4104952102838499</v>
      </c>
      <c r="AD131" s="507">
        <f>Port[[#This Row],[EAD_Drawn (CNY)]]*Port[[#This Row],[CNY -&gt; THB]]</f>
        <v>4052015.285832</v>
      </c>
      <c r="AE131" s="507">
        <f>Port[[#This Row],[EAD_Undrawn (CNY)]]*Port[[#This Row],[CNY -&gt; THB]]</f>
        <v>0</v>
      </c>
      <c r="AF131" s="507">
        <f>Port[[#This Row],[EAD (CNY)]]*Port[[#This Row],[CNY -&gt; THB]]</f>
        <v>4052015.285832</v>
      </c>
      <c r="AG131" s="507">
        <f>Port[[#This Row],[EAD_Interest (CNY)]]*Port[[#This Row],[CNY -&gt; THB]]</f>
        <v>4208.1204240000006</v>
      </c>
      <c r="AH131" s="507">
        <f>Port[[#This Row],[ECL_Drawn (CNY)]]*Port[[#This Row],[CNY -&gt; THB]]</f>
        <v>47561.486334949397</v>
      </c>
      <c r="AI131" s="507">
        <f>Port[[#This Row],[ECL_Undrawn (CNY)]]*Port[[#This Row],[CNY -&gt; THB]]</f>
        <v>0</v>
      </c>
      <c r="AJ131" s="507">
        <f>Port[[#This Row],[ECL (CNY)]]*Port[[#This Row],[CNY -&gt; THB]]</f>
        <v>47561.486334949397</v>
      </c>
      <c r="AK131" s="507">
        <f>Port[[#This Row],[ECL_Interest (CNY)]]*Port[[#This Row],[CNY -&gt; THB]]</f>
        <v>49.393807259737876</v>
      </c>
      <c r="AL131" s="507">
        <f>Port[[#This Row],[EAD (THB)]]*Port[[#This Row],[PD_avg]]</f>
        <v>52854.079534851902</v>
      </c>
      <c r="AM131" s="507">
        <f>Port[[#This Row],[EAD_Interest (THB)]]*Port[[#This Row],[PD_avg]]</f>
        <v>54.890299244431901</v>
      </c>
      <c r="AN131" s="507">
        <f>Port[[#This Row],[EAD (THB)]]*Port[[#This Row],[LGD_avg]]</f>
        <v>3646262.9061400173</v>
      </c>
      <c r="AO131" s="507">
        <f>Port[[#This Row],[EAD_Interest (THB)]]*Port[[#This Row],[LGD_avg]]</f>
        <v>3786.7363087824187</v>
      </c>
      <c r="AP131" s="507">
        <f>Port[[#This Row],[EAD_Drawn (THB)]]+Port[[#This Row],[EAD_Interest (THB)]]</f>
        <v>4056223.406256</v>
      </c>
      <c r="AQ1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60780.229287479997</v>
      </c>
      <c r="AR131" s="522">
        <f>MAX(Port[[#This Row],[ECL (THB)]]+Port[[#This Row],[ECL_Interest (THB)]], Port[[#This Row],[ECL CBIRC (THB)]])</f>
        <v>60780.229287479997</v>
      </c>
    </row>
    <row r="132" spans="1:44">
      <c r="A132" s="2" t="s">
        <v>109</v>
      </c>
      <c r="B132" s="2" t="s">
        <v>60</v>
      </c>
      <c r="C132" s="2" t="s">
        <v>17</v>
      </c>
      <c r="D132" s="2" t="s">
        <v>30</v>
      </c>
      <c r="E132" s="2" t="s">
        <v>19</v>
      </c>
      <c r="F132" s="2" t="s">
        <v>20</v>
      </c>
      <c r="G132" s="2" t="s">
        <v>21</v>
      </c>
      <c r="H132">
        <v>1</v>
      </c>
      <c r="I132" s="2" t="s">
        <v>526</v>
      </c>
      <c r="J132" s="505">
        <v>1.3043899345507868E-2</v>
      </c>
      <c r="K132" s="505">
        <v>0.89958194235462718</v>
      </c>
      <c r="L132" s="3">
        <v>1</v>
      </c>
      <c r="M132" s="3">
        <v>5.2488000000000001</v>
      </c>
      <c r="N132" s="507">
        <v>251037.17</v>
      </c>
      <c r="O132" s="507">
        <v>0</v>
      </c>
      <c r="P132" s="507">
        <v>251037.17</v>
      </c>
      <c r="Q132" s="507">
        <v>260.70999999999998</v>
      </c>
      <c r="R132" s="507">
        <v>2945.6842884596745</v>
      </c>
      <c r="S132" s="507">
        <v>0</v>
      </c>
      <c r="T132" s="507">
        <v>2945.6842884596745</v>
      </c>
      <c r="U132" s="507">
        <v>3.0591858203481244</v>
      </c>
      <c r="V132" s="507">
        <f>Port[[#This Row],[EAD_Drawn (CNY)]]*Port[[#This Row],[CNY -&gt; FCY]]</f>
        <v>251037.17</v>
      </c>
      <c r="W132" s="507">
        <f>Port[[#This Row],[EAD_Undrawn (CNY)]]*Port[[#This Row],[CNY -&gt; FCY]]</f>
        <v>0</v>
      </c>
      <c r="X132" s="507">
        <f>Port[[#This Row],[EAD (CNY)]]*Port[[#This Row],[CNY -&gt; FCY]]</f>
        <v>251037.17</v>
      </c>
      <c r="Y132" s="507">
        <f>Port[[#This Row],[EAD_Interest (CNY)]]*Port[[#This Row],[CNY -&gt; FCY]]</f>
        <v>260.70999999999998</v>
      </c>
      <c r="Z132" s="507">
        <f>Port[[#This Row],[ECL_Drawn (CNY)]]*Port[[#This Row],[CNY -&gt; FCY]]</f>
        <v>2945.6842884596745</v>
      </c>
      <c r="AA132" s="507">
        <f>Port[[#This Row],[ECL_Undrawn (CNY)]]*Port[[#This Row],[CNY -&gt; FCY]]</f>
        <v>0</v>
      </c>
      <c r="AB132" s="507">
        <f>Port[[#This Row],[ECL (CNY)]]*Port[[#This Row],[CNY -&gt; FCY]]</f>
        <v>2945.6842884596745</v>
      </c>
      <c r="AC132" s="507">
        <f>Port[[#This Row],[ECL_Interest (CNY)]]*Port[[#This Row],[CNY -&gt; FCY]]</f>
        <v>3.0591858203481244</v>
      </c>
      <c r="AD132" s="507">
        <f>Port[[#This Row],[EAD_Drawn (CNY)]]*Port[[#This Row],[CNY -&gt; THB]]</f>
        <v>1317643.8978960002</v>
      </c>
      <c r="AE132" s="507">
        <f>Port[[#This Row],[EAD_Undrawn (CNY)]]*Port[[#This Row],[CNY -&gt; THB]]</f>
        <v>0</v>
      </c>
      <c r="AF132" s="507">
        <f>Port[[#This Row],[EAD (CNY)]]*Port[[#This Row],[CNY -&gt; THB]]</f>
        <v>1317643.8978960002</v>
      </c>
      <c r="AG132" s="507">
        <f>Port[[#This Row],[EAD_Interest (CNY)]]*Port[[#This Row],[CNY -&gt; THB]]</f>
        <v>1368.4146479999999</v>
      </c>
      <c r="AH132" s="507">
        <f>Port[[#This Row],[ECL_Drawn (CNY)]]*Port[[#This Row],[CNY -&gt; THB]]</f>
        <v>15461.307693267139</v>
      </c>
      <c r="AI132" s="507">
        <f>Port[[#This Row],[ECL_Undrawn (CNY)]]*Port[[#This Row],[CNY -&gt; THB]]</f>
        <v>0</v>
      </c>
      <c r="AJ132" s="507">
        <f>Port[[#This Row],[ECL (CNY)]]*Port[[#This Row],[CNY -&gt; THB]]</f>
        <v>15461.307693267139</v>
      </c>
      <c r="AK132" s="507">
        <f>Port[[#This Row],[ECL_Interest (CNY)]]*Port[[#This Row],[CNY -&gt; THB]]</f>
        <v>16.057054533843235</v>
      </c>
      <c r="AL132" s="507">
        <f>Port[[#This Row],[EAD (THB)]]*Port[[#This Row],[PD_avg]]</f>
        <v>17187.214377378074</v>
      </c>
      <c r="AM132" s="507">
        <f>Port[[#This Row],[EAD_Interest (THB)]]*Port[[#This Row],[PD_avg]]</f>
        <v>17.84946293143058</v>
      </c>
      <c r="AN132" s="507">
        <f>Port[[#This Row],[EAD (THB)]]*Port[[#This Row],[LGD_avg]]</f>
        <v>1185328.657001006</v>
      </c>
      <c r="AO132" s="507">
        <f>Port[[#This Row],[EAD_Interest (THB)]]*Port[[#This Row],[LGD_avg]]</f>
        <v>1231.0011069943635</v>
      </c>
      <c r="AP132" s="507">
        <f>Port[[#This Row],[EAD_Drawn (THB)]]+Port[[#This Row],[EAD_Interest (THB)]]</f>
        <v>1319012.3125440001</v>
      </c>
      <c r="AQ1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19764.65846844</v>
      </c>
      <c r="AR132" s="522">
        <f>MAX(Port[[#This Row],[ECL (THB)]]+Port[[#This Row],[ECL_Interest (THB)]], Port[[#This Row],[ECL CBIRC (THB)]])</f>
        <v>19764.65846844</v>
      </c>
    </row>
    <row r="133" spans="1:44">
      <c r="A133" s="2" t="s">
        <v>110</v>
      </c>
      <c r="B133" s="2" t="s">
        <v>60</v>
      </c>
      <c r="C133" s="2" t="s">
        <v>17</v>
      </c>
      <c r="D133" s="2" t="s">
        <v>30</v>
      </c>
      <c r="E133" s="2" t="s">
        <v>19</v>
      </c>
      <c r="F133" s="2" t="s">
        <v>20</v>
      </c>
      <c r="G133" s="2" t="s">
        <v>21</v>
      </c>
      <c r="H133">
        <v>1</v>
      </c>
      <c r="I133" s="2" t="s">
        <v>526</v>
      </c>
      <c r="J133" s="505">
        <v>1.3043899345507868E-2</v>
      </c>
      <c r="K133" s="505">
        <v>0.89996611653454461</v>
      </c>
      <c r="L133" s="3">
        <v>1</v>
      </c>
      <c r="M133" s="3">
        <v>5.2488000000000001</v>
      </c>
      <c r="N133" s="507">
        <v>3097322.16</v>
      </c>
      <c r="O133" s="507">
        <v>0</v>
      </c>
      <c r="P133" s="507">
        <v>3097322.16</v>
      </c>
      <c r="Q133" s="507">
        <v>3216.66</v>
      </c>
      <c r="R133" s="507">
        <v>36359.673714827673</v>
      </c>
      <c r="S133" s="507">
        <v>0</v>
      </c>
      <c r="T133" s="507">
        <v>36359.673714827673</v>
      </c>
      <c r="U133" s="507">
        <v>37.760588666545942</v>
      </c>
      <c r="V133" s="507">
        <f>Port[[#This Row],[EAD_Drawn (CNY)]]*Port[[#This Row],[CNY -&gt; FCY]]</f>
        <v>3097322.16</v>
      </c>
      <c r="W133" s="507">
        <f>Port[[#This Row],[EAD_Undrawn (CNY)]]*Port[[#This Row],[CNY -&gt; FCY]]</f>
        <v>0</v>
      </c>
      <c r="X133" s="507">
        <f>Port[[#This Row],[EAD (CNY)]]*Port[[#This Row],[CNY -&gt; FCY]]</f>
        <v>3097322.16</v>
      </c>
      <c r="Y133" s="507">
        <f>Port[[#This Row],[EAD_Interest (CNY)]]*Port[[#This Row],[CNY -&gt; FCY]]</f>
        <v>3216.66</v>
      </c>
      <c r="Z133" s="507">
        <f>Port[[#This Row],[ECL_Drawn (CNY)]]*Port[[#This Row],[CNY -&gt; FCY]]</f>
        <v>36359.673714827673</v>
      </c>
      <c r="AA133" s="507">
        <f>Port[[#This Row],[ECL_Undrawn (CNY)]]*Port[[#This Row],[CNY -&gt; FCY]]</f>
        <v>0</v>
      </c>
      <c r="AB133" s="507">
        <f>Port[[#This Row],[ECL (CNY)]]*Port[[#This Row],[CNY -&gt; FCY]]</f>
        <v>36359.673714827673</v>
      </c>
      <c r="AC133" s="507">
        <f>Port[[#This Row],[ECL_Interest (CNY)]]*Port[[#This Row],[CNY -&gt; FCY]]</f>
        <v>37.760588666545942</v>
      </c>
      <c r="AD133" s="507">
        <f>Port[[#This Row],[EAD_Drawn (CNY)]]*Port[[#This Row],[CNY -&gt; THB]]</f>
        <v>16257224.553408001</v>
      </c>
      <c r="AE133" s="507">
        <f>Port[[#This Row],[EAD_Undrawn (CNY)]]*Port[[#This Row],[CNY -&gt; THB]]</f>
        <v>0</v>
      </c>
      <c r="AF133" s="507">
        <f>Port[[#This Row],[EAD (CNY)]]*Port[[#This Row],[CNY -&gt; THB]]</f>
        <v>16257224.553408001</v>
      </c>
      <c r="AG133" s="507">
        <f>Port[[#This Row],[EAD_Interest (CNY)]]*Port[[#This Row],[CNY -&gt; THB]]</f>
        <v>16883.605007999999</v>
      </c>
      <c r="AH133" s="507">
        <f>Port[[#This Row],[ECL_Drawn (CNY)]]*Port[[#This Row],[CNY -&gt; THB]]</f>
        <v>190844.65539438749</v>
      </c>
      <c r="AI133" s="507">
        <f>Port[[#This Row],[ECL_Undrawn (CNY)]]*Port[[#This Row],[CNY -&gt; THB]]</f>
        <v>0</v>
      </c>
      <c r="AJ133" s="507">
        <f>Port[[#This Row],[ECL (CNY)]]*Port[[#This Row],[CNY -&gt; THB]]</f>
        <v>190844.65539438749</v>
      </c>
      <c r="AK133" s="507">
        <f>Port[[#This Row],[ECL_Interest (CNY)]]*Port[[#This Row],[CNY -&gt; THB]]</f>
        <v>198.19777779296635</v>
      </c>
      <c r="AL133" s="507">
        <f>Port[[#This Row],[EAD (THB)]]*Port[[#This Row],[PD_avg]]</f>
        <v>212057.60071197306</v>
      </c>
      <c r="AM133" s="507">
        <f>Port[[#This Row],[EAD_Interest (THB)]]*Port[[#This Row],[PD_avg]]</f>
        <v>220.22804431366455</v>
      </c>
      <c r="AN133" s="507">
        <f>Port[[#This Row],[EAD (THB)]]*Port[[#This Row],[LGD_avg]]</f>
        <v>14630951.246960646</v>
      </c>
      <c r="AO133" s="507">
        <f>Port[[#This Row],[EAD_Interest (THB)]]*Port[[#This Row],[LGD_avg]]</f>
        <v>15194.672432152947</v>
      </c>
      <c r="AP133" s="507">
        <f>Port[[#This Row],[EAD_Drawn (THB)]]+Port[[#This Row],[EAD_Interest (THB)]]</f>
        <v>16274108.158416001</v>
      </c>
      <c r="AQ1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243858.36830112</v>
      </c>
      <c r="AR133" s="522">
        <f>MAX(Port[[#This Row],[ECL (THB)]]+Port[[#This Row],[ECL_Interest (THB)]], Port[[#This Row],[ECL CBIRC (THB)]])</f>
        <v>243858.36830112</v>
      </c>
    </row>
    <row r="134" spans="1:44">
      <c r="A134" s="2" t="s">
        <v>111</v>
      </c>
      <c r="B134" s="2" t="s">
        <v>60</v>
      </c>
      <c r="C134" s="2" t="s">
        <v>17</v>
      </c>
      <c r="D134" s="2" t="s">
        <v>30</v>
      </c>
      <c r="E134" s="2" t="s">
        <v>19</v>
      </c>
      <c r="F134" s="2" t="s">
        <v>20</v>
      </c>
      <c r="G134" s="2" t="s">
        <v>21</v>
      </c>
      <c r="H134">
        <v>1</v>
      </c>
      <c r="I134" s="2" t="s">
        <v>526</v>
      </c>
      <c r="J134" s="505">
        <v>1.3043899345507868E-2</v>
      </c>
      <c r="K134" s="505">
        <v>0.89971131506612112</v>
      </c>
      <c r="L134" s="3">
        <v>1</v>
      </c>
      <c r="M134" s="3">
        <v>5.2488000000000001</v>
      </c>
      <c r="N134" s="507">
        <v>363538.23</v>
      </c>
      <c r="O134" s="507">
        <v>0</v>
      </c>
      <c r="P134" s="507">
        <v>363538.23</v>
      </c>
      <c r="Q134" s="507">
        <v>377.54</v>
      </c>
      <c r="R134" s="507">
        <v>4266.3915410501622</v>
      </c>
      <c r="S134" s="507">
        <v>0</v>
      </c>
      <c r="T134" s="507">
        <v>4266.3915410501622</v>
      </c>
      <c r="U134" s="507">
        <v>4.430712726989066</v>
      </c>
      <c r="V134" s="507">
        <f>Port[[#This Row],[EAD_Drawn (CNY)]]*Port[[#This Row],[CNY -&gt; FCY]]</f>
        <v>363538.23</v>
      </c>
      <c r="W134" s="507">
        <f>Port[[#This Row],[EAD_Undrawn (CNY)]]*Port[[#This Row],[CNY -&gt; FCY]]</f>
        <v>0</v>
      </c>
      <c r="X134" s="507">
        <f>Port[[#This Row],[EAD (CNY)]]*Port[[#This Row],[CNY -&gt; FCY]]</f>
        <v>363538.23</v>
      </c>
      <c r="Y134" s="507">
        <f>Port[[#This Row],[EAD_Interest (CNY)]]*Port[[#This Row],[CNY -&gt; FCY]]</f>
        <v>377.54</v>
      </c>
      <c r="Z134" s="507">
        <f>Port[[#This Row],[ECL_Drawn (CNY)]]*Port[[#This Row],[CNY -&gt; FCY]]</f>
        <v>4266.3915410501622</v>
      </c>
      <c r="AA134" s="507">
        <f>Port[[#This Row],[ECL_Undrawn (CNY)]]*Port[[#This Row],[CNY -&gt; FCY]]</f>
        <v>0</v>
      </c>
      <c r="AB134" s="507">
        <f>Port[[#This Row],[ECL (CNY)]]*Port[[#This Row],[CNY -&gt; FCY]]</f>
        <v>4266.3915410501622</v>
      </c>
      <c r="AC134" s="507">
        <f>Port[[#This Row],[ECL_Interest (CNY)]]*Port[[#This Row],[CNY -&gt; FCY]]</f>
        <v>4.430712726989066</v>
      </c>
      <c r="AD134" s="507">
        <f>Port[[#This Row],[EAD_Drawn (CNY)]]*Port[[#This Row],[CNY -&gt; THB]]</f>
        <v>1908139.461624</v>
      </c>
      <c r="AE134" s="507">
        <f>Port[[#This Row],[EAD_Undrawn (CNY)]]*Port[[#This Row],[CNY -&gt; THB]]</f>
        <v>0</v>
      </c>
      <c r="AF134" s="507">
        <f>Port[[#This Row],[EAD (CNY)]]*Port[[#This Row],[CNY -&gt; THB]]</f>
        <v>1908139.461624</v>
      </c>
      <c r="AG134" s="507">
        <f>Port[[#This Row],[EAD_Interest (CNY)]]*Port[[#This Row],[CNY -&gt; THB]]</f>
        <v>1981.6319520000002</v>
      </c>
      <c r="AH134" s="507">
        <f>Port[[#This Row],[ECL_Drawn (CNY)]]*Port[[#This Row],[CNY -&gt; THB]]</f>
        <v>22393.435920664091</v>
      </c>
      <c r="AI134" s="507">
        <f>Port[[#This Row],[ECL_Undrawn (CNY)]]*Port[[#This Row],[CNY -&gt; THB]]</f>
        <v>0</v>
      </c>
      <c r="AJ134" s="507">
        <f>Port[[#This Row],[ECL (CNY)]]*Port[[#This Row],[CNY -&gt; THB]]</f>
        <v>22393.435920664091</v>
      </c>
      <c r="AK134" s="507">
        <f>Port[[#This Row],[ECL_Interest (CNY)]]*Port[[#This Row],[CNY -&gt; THB]]</f>
        <v>23.255924961420209</v>
      </c>
      <c r="AL134" s="507">
        <f>Port[[#This Row],[EAD (THB)]]*Port[[#This Row],[PD_avg]]</f>
        <v>24889.579074615031</v>
      </c>
      <c r="AM134" s="507">
        <f>Port[[#This Row],[EAD_Interest (THB)]]*Port[[#This Row],[PD_avg]]</f>
        <v>25.848207721730283</v>
      </c>
      <c r="AN134" s="507">
        <f>Port[[#This Row],[EAD (THB)]]*Port[[#This Row],[LGD_avg]]</f>
        <v>1716774.6643472894</v>
      </c>
      <c r="AO134" s="507">
        <f>Port[[#This Row],[EAD_Interest (THB)]]*Port[[#This Row],[LGD_avg]]</f>
        <v>1782.8966895109647</v>
      </c>
      <c r="AP134" s="507">
        <f>Port[[#This Row],[EAD_Drawn (THB)]]+Port[[#This Row],[EAD_Interest (THB)]]</f>
        <v>1910121.0935760001</v>
      </c>
      <c r="AQ1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28622.09192436</v>
      </c>
      <c r="AR134" s="522">
        <f>MAX(Port[[#This Row],[ECL (THB)]]+Port[[#This Row],[ECL_Interest (THB)]], Port[[#This Row],[ECL CBIRC (THB)]])</f>
        <v>28622.09192436</v>
      </c>
    </row>
    <row r="135" spans="1:44">
      <c r="A135" s="2" t="s">
        <v>112</v>
      </c>
      <c r="B135" s="2" t="s">
        <v>94</v>
      </c>
      <c r="C135" s="2" t="s">
        <v>17</v>
      </c>
      <c r="D135" s="2" t="s">
        <v>95</v>
      </c>
      <c r="E135" s="2" t="s">
        <v>19</v>
      </c>
      <c r="F135" s="2" t="s">
        <v>20</v>
      </c>
      <c r="G135" s="2" t="s">
        <v>21</v>
      </c>
      <c r="H135">
        <v>1</v>
      </c>
      <c r="I135" s="2" t="s">
        <v>526</v>
      </c>
      <c r="J135" s="505">
        <v>2.0514833509807026E-2</v>
      </c>
      <c r="K135" s="505">
        <v>0.89999999999999991</v>
      </c>
      <c r="L135" s="3">
        <v>1</v>
      </c>
      <c r="M135" s="3">
        <v>5.2488000000000001</v>
      </c>
      <c r="N135" s="507">
        <v>56250</v>
      </c>
      <c r="O135" s="507">
        <v>0</v>
      </c>
      <c r="P135" s="507">
        <v>56250</v>
      </c>
      <c r="Q135" s="507">
        <v>58.65</v>
      </c>
      <c r="R135" s="507">
        <v>1038.5634464339807</v>
      </c>
      <c r="S135" s="507">
        <v>0</v>
      </c>
      <c r="T135" s="507">
        <v>1038.5634464339807</v>
      </c>
      <c r="U135" s="507">
        <v>1.082875486815164</v>
      </c>
      <c r="V135" s="507">
        <f>Port[[#This Row],[EAD_Drawn (CNY)]]*Port[[#This Row],[CNY -&gt; FCY]]</f>
        <v>56250</v>
      </c>
      <c r="W135" s="507">
        <f>Port[[#This Row],[EAD_Undrawn (CNY)]]*Port[[#This Row],[CNY -&gt; FCY]]</f>
        <v>0</v>
      </c>
      <c r="X135" s="507">
        <f>Port[[#This Row],[EAD (CNY)]]*Port[[#This Row],[CNY -&gt; FCY]]</f>
        <v>56250</v>
      </c>
      <c r="Y135" s="507">
        <f>Port[[#This Row],[EAD_Interest (CNY)]]*Port[[#This Row],[CNY -&gt; FCY]]</f>
        <v>58.65</v>
      </c>
      <c r="Z135" s="507">
        <f>Port[[#This Row],[ECL_Drawn (CNY)]]*Port[[#This Row],[CNY -&gt; FCY]]</f>
        <v>1038.5634464339807</v>
      </c>
      <c r="AA135" s="507">
        <f>Port[[#This Row],[ECL_Undrawn (CNY)]]*Port[[#This Row],[CNY -&gt; FCY]]</f>
        <v>0</v>
      </c>
      <c r="AB135" s="507">
        <f>Port[[#This Row],[ECL (CNY)]]*Port[[#This Row],[CNY -&gt; FCY]]</f>
        <v>1038.5634464339807</v>
      </c>
      <c r="AC135" s="507">
        <f>Port[[#This Row],[ECL_Interest (CNY)]]*Port[[#This Row],[CNY -&gt; FCY]]</f>
        <v>1.082875486815164</v>
      </c>
      <c r="AD135" s="507">
        <f>Port[[#This Row],[EAD_Drawn (CNY)]]*Port[[#This Row],[CNY -&gt; THB]]</f>
        <v>295245</v>
      </c>
      <c r="AE135" s="507">
        <f>Port[[#This Row],[EAD_Undrawn (CNY)]]*Port[[#This Row],[CNY -&gt; THB]]</f>
        <v>0</v>
      </c>
      <c r="AF135" s="507">
        <f>Port[[#This Row],[EAD (CNY)]]*Port[[#This Row],[CNY -&gt; THB]]</f>
        <v>295245</v>
      </c>
      <c r="AG135" s="507">
        <f>Port[[#This Row],[EAD_Interest (CNY)]]*Port[[#This Row],[CNY -&gt; THB]]</f>
        <v>307.84212000000002</v>
      </c>
      <c r="AH135" s="507">
        <f>Port[[#This Row],[ECL_Drawn (CNY)]]*Port[[#This Row],[CNY -&gt; THB]]</f>
        <v>5451.2118176426784</v>
      </c>
      <c r="AI135" s="507">
        <f>Port[[#This Row],[ECL_Undrawn (CNY)]]*Port[[#This Row],[CNY -&gt; THB]]</f>
        <v>0</v>
      </c>
      <c r="AJ135" s="507">
        <f>Port[[#This Row],[ECL (CNY)]]*Port[[#This Row],[CNY -&gt; THB]]</f>
        <v>5451.2118176426784</v>
      </c>
      <c r="AK135" s="507">
        <f>Port[[#This Row],[ECL_Interest (CNY)]]*Port[[#This Row],[CNY -&gt; THB]]</f>
        <v>5.6837968551954328</v>
      </c>
      <c r="AL135" s="507">
        <f>Port[[#This Row],[EAD (THB)]]*Port[[#This Row],[PD_avg]]</f>
        <v>6056.9020196029751</v>
      </c>
      <c r="AM135" s="507">
        <f>Port[[#This Row],[EAD_Interest (THB)]]*Port[[#This Row],[PD_avg]]</f>
        <v>6.3153298391060364</v>
      </c>
      <c r="AN135" s="507">
        <f>Port[[#This Row],[EAD (THB)]]*Port[[#This Row],[LGD_avg]]</f>
        <v>265720.5</v>
      </c>
      <c r="AO135" s="507">
        <f>Port[[#This Row],[EAD_Interest (THB)]]*Port[[#This Row],[LGD_avg]]</f>
        <v>277.057908</v>
      </c>
      <c r="AP135" s="507">
        <f>Port[[#This Row],[EAD_Drawn (THB)]]+Port[[#This Row],[EAD_Interest (THB)]]</f>
        <v>295552.84211999999</v>
      </c>
      <c r="AQ1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4428.6750000000002</v>
      </c>
      <c r="AR135" s="522">
        <f>MAX(Port[[#This Row],[ECL (THB)]]+Port[[#This Row],[ECL_Interest (THB)]], Port[[#This Row],[ECL CBIRC (THB)]])</f>
        <v>5456.8956144978738</v>
      </c>
    </row>
    <row r="136" spans="1:44">
      <c r="A136" s="2" t="s">
        <v>113</v>
      </c>
      <c r="B136" s="2" t="s">
        <v>60</v>
      </c>
      <c r="C136" s="2" t="s">
        <v>17</v>
      </c>
      <c r="D136" s="2" t="s">
        <v>30</v>
      </c>
      <c r="E136" s="2" t="s">
        <v>19</v>
      </c>
      <c r="F136" s="2" t="s">
        <v>20</v>
      </c>
      <c r="G136" s="2" t="s">
        <v>21</v>
      </c>
      <c r="H136">
        <v>1</v>
      </c>
      <c r="I136" s="2" t="s">
        <v>526</v>
      </c>
      <c r="J136" s="505">
        <v>1.3043899345507868E-2</v>
      </c>
      <c r="K136" s="505">
        <v>0.89986778260196143</v>
      </c>
      <c r="L136" s="3">
        <v>1</v>
      </c>
      <c r="M136" s="3">
        <v>5.2488000000000001</v>
      </c>
      <c r="N136" s="507">
        <v>793753.4</v>
      </c>
      <c r="O136" s="507">
        <v>0</v>
      </c>
      <c r="P136" s="507">
        <v>793753.4</v>
      </c>
      <c r="Q136" s="507">
        <v>824.33</v>
      </c>
      <c r="R136" s="507">
        <v>9316.9065780102446</v>
      </c>
      <c r="S136" s="507">
        <v>0</v>
      </c>
      <c r="T136" s="507">
        <v>9316.9065780102446</v>
      </c>
      <c r="U136" s="507">
        <v>9.6758081281304538</v>
      </c>
      <c r="V136" s="507">
        <f>Port[[#This Row],[EAD_Drawn (CNY)]]*Port[[#This Row],[CNY -&gt; FCY]]</f>
        <v>793753.4</v>
      </c>
      <c r="W136" s="507">
        <f>Port[[#This Row],[EAD_Undrawn (CNY)]]*Port[[#This Row],[CNY -&gt; FCY]]</f>
        <v>0</v>
      </c>
      <c r="X136" s="507">
        <f>Port[[#This Row],[EAD (CNY)]]*Port[[#This Row],[CNY -&gt; FCY]]</f>
        <v>793753.4</v>
      </c>
      <c r="Y136" s="507">
        <f>Port[[#This Row],[EAD_Interest (CNY)]]*Port[[#This Row],[CNY -&gt; FCY]]</f>
        <v>824.33</v>
      </c>
      <c r="Z136" s="507">
        <f>Port[[#This Row],[ECL_Drawn (CNY)]]*Port[[#This Row],[CNY -&gt; FCY]]</f>
        <v>9316.9065780102446</v>
      </c>
      <c r="AA136" s="507">
        <f>Port[[#This Row],[ECL_Undrawn (CNY)]]*Port[[#This Row],[CNY -&gt; FCY]]</f>
        <v>0</v>
      </c>
      <c r="AB136" s="507">
        <f>Port[[#This Row],[ECL (CNY)]]*Port[[#This Row],[CNY -&gt; FCY]]</f>
        <v>9316.9065780102446</v>
      </c>
      <c r="AC136" s="507">
        <f>Port[[#This Row],[ECL_Interest (CNY)]]*Port[[#This Row],[CNY -&gt; FCY]]</f>
        <v>9.6758081281304538</v>
      </c>
      <c r="AD136" s="507">
        <f>Port[[#This Row],[EAD_Drawn (CNY)]]*Port[[#This Row],[CNY -&gt; THB]]</f>
        <v>4166252.8459200002</v>
      </c>
      <c r="AE136" s="507">
        <f>Port[[#This Row],[EAD_Undrawn (CNY)]]*Port[[#This Row],[CNY -&gt; THB]]</f>
        <v>0</v>
      </c>
      <c r="AF136" s="507">
        <f>Port[[#This Row],[EAD (CNY)]]*Port[[#This Row],[CNY -&gt; THB]]</f>
        <v>4166252.8459200002</v>
      </c>
      <c r="AG136" s="507">
        <f>Port[[#This Row],[EAD_Interest (CNY)]]*Port[[#This Row],[CNY -&gt; THB]]</f>
        <v>4326.7433040000005</v>
      </c>
      <c r="AH136" s="507">
        <f>Port[[#This Row],[ECL_Drawn (CNY)]]*Port[[#This Row],[CNY -&gt; THB]]</f>
        <v>48902.579246660171</v>
      </c>
      <c r="AI136" s="507">
        <f>Port[[#This Row],[ECL_Undrawn (CNY)]]*Port[[#This Row],[CNY -&gt; THB]]</f>
        <v>0</v>
      </c>
      <c r="AJ136" s="507">
        <f>Port[[#This Row],[ECL (CNY)]]*Port[[#This Row],[CNY -&gt; THB]]</f>
        <v>48902.579246660171</v>
      </c>
      <c r="AK136" s="507">
        <f>Port[[#This Row],[ECL_Interest (CNY)]]*Port[[#This Row],[CNY -&gt; THB]]</f>
        <v>50.786381702931124</v>
      </c>
      <c r="AL136" s="507">
        <f>Port[[#This Row],[EAD (THB)]]*Port[[#This Row],[PD_avg]]</f>
        <v>54344.182770116182</v>
      </c>
      <c r="AM136" s="507">
        <f>Port[[#This Row],[EAD_Interest (THB)]]*Port[[#This Row],[PD_avg]]</f>
        <v>56.437604151226161</v>
      </c>
      <c r="AN136" s="507">
        <f>Port[[#This Row],[EAD (THB)]]*Port[[#This Row],[LGD_avg]]</f>
        <v>3749076.710217142</v>
      </c>
      <c r="AO136" s="507">
        <f>Port[[#This Row],[EAD_Interest (THB)]]*Port[[#This Row],[LGD_avg]]</f>
        <v>3893.4969028583646</v>
      </c>
      <c r="AP136" s="507">
        <f>Port[[#This Row],[EAD_Drawn (THB)]]+Port[[#This Row],[EAD_Interest (THB)]]</f>
        <v>4170579.589224</v>
      </c>
      <c r="AQ1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62493.7926888</v>
      </c>
      <c r="AR136" s="522">
        <f>MAX(Port[[#This Row],[ECL (THB)]]+Port[[#This Row],[ECL_Interest (THB)]], Port[[#This Row],[ECL CBIRC (THB)]])</f>
        <v>62493.7926888</v>
      </c>
    </row>
    <row r="137" spans="1:44">
      <c r="A137" s="2" t="s">
        <v>114</v>
      </c>
      <c r="B137" s="2" t="s">
        <v>60</v>
      </c>
      <c r="C137" s="2" t="s">
        <v>17</v>
      </c>
      <c r="D137" s="2" t="s">
        <v>30</v>
      </c>
      <c r="E137" s="2" t="s">
        <v>19</v>
      </c>
      <c r="F137" s="2" t="s">
        <v>20</v>
      </c>
      <c r="G137" s="2" t="s">
        <v>21</v>
      </c>
      <c r="H137">
        <v>1</v>
      </c>
      <c r="I137" s="2" t="s">
        <v>526</v>
      </c>
      <c r="J137" s="505">
        <v>1.3043899345507868E-2</v>
      </c>
      <c r="K137" s="505">
        <v>0.89986714911151255</v>
      </c>
      <c r="L137" s="3">
        <v>1</v>
      </c>
      <c r="M137" s="3">
        <v>5.2488000000000001</v>
      </c>
      <c r="N137" s="507">
        <v>789968.44</v>
      </c>
      <c r="O137" s="507">
        <v>0</v>
      </c>
      <c r="P137" s="507">
        <v>789968.44</v>
      </c>
      <c r="Q137" s="507">
        <v>820.4</v>
      </c>
      <c r="R137" s="507">
        <v>9272.473004471467</v>
      </c>
      <c r="S137" s="507">
        <v>0</v>
      </c>
      <c r="T137" s="507">
        <v>9272.473004471467</v>
      </c>
      <c r="U137" s="507">
        <v>9.6296718548254798</v>
      </c>
      <c r="V137" s="507">
        <f>Port[[#This Row],[EAD_Drawn (CNY)]]*Port[[#This Row],[CNY -&gt; FCY]]</f>
        <v>789968.44</v>
      </c>
      <c r="W137" s="507">
        <f>Port[[#This Row],[EAD_Undrawn (CNY)]]*Port[[#This Row],[CNY -&gt; FCY]]</f>
        <v>0</v>
      </c>
      <c r="X137" s="507">
        <f>Port[[#This Row],[EAD (CNY)]]*Port[[#This Row],[CNY -&gt; FCY]]</f>
        <v>789968.44</v>
      </c>
      <c r="Y137" s="507">
        <f>Port[[#This Row],[EAD_Interest (CNY)]]*Port[[#This Row],[CNY -&gt; FCY]]</f>
        <v>820.4</v>
      </c>
      <c r="Z137" s="507">
        <f>Port[[#This Row],[ECL_Drawn (CNY)]]*Port[[#This Row],[CNY -&gt; FCY]]</f>
        <v>9272.473004471467</v>
      </c>
      <c r="AA137" s="507">
        <f>Port[[#This Row],[ECL_Undrawn (CNY)]]*Port[[#This Row],[CNY -&gt; FCY]]</f>
        <v>0</v>
      </c>
      <c r="AB137" s="507">
        <f>Port[[#This Row],[ECL (CNY)]]*Port[[#This Row],[CNY -&gt; FCY]]</f>
        <v>9272.473004471467</v>
      </c>
      <c r="AC137" s="507">
        <f>Port[[#This Row],[ECL_Interest (CNY)]]*Port[[#This Row],[CNY -&gt; FCY]]</f>
        <v>9.6296718548254798</v>
      </c>
      <c r="AD137" s="507">
        <f>Port[[#This Row],[EAD_Drawn (CNY)]]*Port[[#This Row],[CNY -&gt; THB]]</f>
        <v>4146386.3478719997</v>
      </c>
      <c r="AE137" s="507">
        <f>Port[[#This Row],[EAD_Undrawn (CNY)]]*Port[[#This Row],[CNY -&gt; THB]]</f>
        <v>0</v>
      </c>
      <c r="AF137" s="507">
        <f>Port[[#This Row],[EAD (CNY)]]*Port[[#This Row],[CNY -&gt; THB]]</f>
        <v>4146386.3478719997</v>
      </c>
      <c r="AG137" s="507">
        <f>Port[[#This Row],[EAD_Interest (CNY)]]*Port[[#This Row],[CNY -&gt; THB]]</f>
        <v>4306.1155200000003</v>
      </c>
      <c r="AH137" s="507">
        <f>Port[[#This Row],[ECL_Drawn (CNY)]]*Port[[#This Row],[CNY -&gt; THB]]</f>
        <v>48669.356305869835</v>
      </c>
      <c r="AI137" s="507">
        <f>Port[[#This Row],[ECL_Undrawn (CNY)]]*Port[[#This Row],[CNY -&gt; THB]]</f>
        <v>0</v>
      </c>
      <c r="AJ137" s="507">
        <f>Port[[#This Row],[ECL (CNY)]]*Port[[#This Row],[CNY -&gt; THB]]</f>
        <v>48669.356305869835</v>
      </c>
      <c r="AK137" s="507">
        <f>Port[[#This Row],[ECL_Interest (CNY)]]*Port[[#This Row],[CNY -&gt; THB]]</f>
        <v>50.544221631607982</v>
      </c>
      <c r="AL137" s="507">
        <f>Port[[#This Row],[EAD (THB)]]*Port[[#This Row],[PD_avg]]</f>
        <v>54085.046169230336</v>
      </c>
      <c r="AM137" s="507">
        <f>Port[[#This Row],[EAD_Interest (THB)]]*Port[[#This Row],[PD_avg]]</f>
        <v>56.168537413009275</v>
      </c>
      <c r="AN137" s="507">
        <f>Port[[#This Row],[EAD (THB)]]*Port[[#This Row],[LGD_avg]]</f>
        <v>3731196.8619744726</v>
      </c>
      <c r="AO137" s="507">
        <f>Port[[#This Row],[EAD_Interest (THB)]]*Port[[#This Row],[LGD_avg]]</f>
        <v>3874.9318967272388</v>
      </c>
      <c r="AP137" s="507">
        <f>Port[[#This Row],[EAD_Drawn (THB)]]+Port[[#This Row],[EAD_Interest (THB)]]</f>
        <v>4150692.4633919997</v>
      </c>
      <c r="AQ1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62195.795218079991</v>
      </c>
      <c r="AR137" s="522">
        <f>MAX(Port[[#This Row],[ECL (THB)]]+Port[[#This Row],[ECL_Interest (THB)]], Port[[#This Row],[ECL CBIRC (THB)]])</f>
        <v>62195.795218079991</v>
      </c>
    </row>
    <row r="138" spans="1:44">
      <c r="A138" s="2" t="s">
        <v>115</v>
      </c>
      <c r="B138" s="2" t="s">
        <v>60</v>
      </c>
      <c r="C138" s="2" t="s">
        <v>17</v>
      </c>
      <c r="D138" s="2" t="s">
        <v>30</v>
      </c>
      <c r="E138" s="2" t="s">
        <v>19</v>
      </c>
      <c r="F138" s="2" t="s">
        <v>20</v>
      </c>
      <c r="G138" s="2" t="s">
        <v>21</v>
      </c>
      <c r="H138">
        <v>1</v>
      </c>
      <c r="I138" s="2" t="s">
        <v>526</v>
      </c>
      <c r="J138" s="505">
        <v>1.3043899345507868E-2</v>
      </c>
      <c r="K138" s="505">
        <v>0.89985004602373964</v>
      </c>
      <c r="L138" s="3">
        <v>1</v>
      </c>
      <c r="M138" s="3">
        <v>5.2488000000000001</v>
      </c>
      <c r="N138" s="507">
        <v>699868.13</v>
      </c>
      <c r="O138" s="507">
        <v>0</v>
      </c>
      <c r="P138" s="507">
        <v>699868.13</v>
      </c>
      <c r="Q138" s="507">
        <v>726.83</v>
      </c>
      <c r="R138" s="507">
        <v>8214.7395672986604</v>
      </c>
      <c r="S138" s="507">
        <v>0</v>
      </c>
      <c r="T138" s="507">
        <v>8214.7395672986604</v>
      </c>
      <c r="U138" s="507">
        <v>8.5312059568988872</v>
      </c>
      <c r="V138" s="507">
        <f>Port[[#This Row],[EAD_Drawn (CNY)]]*Port[[#This Row],[CNY -&gt; FCY]]</f>
        <v>699868.13</v>
      </c>
      <c r="W138" s="507">
        <f>Port[[#This Row],[EAD_Undrawn (CNY)]]*Port[[#This Row],[CNY -&gt; FCY]]</f>
        <v>0</v>
      </c>
      <c r="X138" s="507">
        <f>Port[[#This Row],[EAD (CNY)]]*Port[[#This Row],[CNY -&gt; FCY]]</f>
        <v>699868.13</v>
      </c>
      <c r="Y138" s="507">
        <f>Port[[#This Row],[EAD_Interest (CNY)]]*Port[[#This Row],[CNY -&gt; FCY]]</f>
        <v>726.83</v>
      </c>
      <c r="Z138" s="507">
        <f>Port[[#This Row],[ECL_Drawn (CNY)]]*Port[[#This Row],[CNY -&gt; FCY]]</f>
        <v>8214.7395672986604</v>
      </c>
      <c r="AA138" s="507">
        <f>Port[[#This Row],[ECL_Undrawn (CNY)]]*Port[[#This Row],[CNY -&gt; FCY]]</f>
        <v>0</v>
      </c>
      <c r="AB138" s="507">
        <f>Port[[#This Row],[ECL (CNY)]]*Port[[#This Row],[CNY -&gt; FCY]]</f>
        <v>8214.7395672986604</v>
      </c>
      <c r="AC138" s="507">
        <f>Port[[#This Row],[ECL_Interest (CNY)]]*Port[[#This Row],[CNY -&gt; FCY]]</f>
        <v>8.5312059568988872</v>
      </c>
      <c r="AD138" s="507">
        <f>Port[[#This Row],[EAD_Drawn (CNY)]]*Port[[#This Row],[CNY -&gt; THB]]</f>
        <v>3673467.8407439999</v>
      </c>
      <c r="AE138" s="507">
        <f>Port[[#This Row],[EAD_Undrawn (CNY)]]*Port[[#This Row],[CNY -&gt; THB]]</f>
        <v>0</v>
      </c>
      <c r="AF138" s="507">
        <f>Port[[#This Row],[EAD (CNY)]]*Port[[#This Row],[CNY -&gt; THB]]</f>
        <v>3673467.8407439999</v>
      </c>
      <c r="AG138" s="507">
        <f>Port[[#This Row],[EAD_Interest (CNY)]]*Port[[#This Row],[CNY -&gt; THB]]</f>
        <v>3814.9853040000003</v>
      </c>
      <c r="AH138" s="507">
        <f>Port[[#This Row],[ECL_Drawn (CNY)]]*Port[[#This Row],[CNY -&gt; THB]]</f>
        <v>43117.525040837209</v>
      </c>
      <c r="AI138" s="507">
        <f>Port[[#This Row],[ECL_Undrawn (CNY)]]*Port[[#This Row],[CNY -&gt; THB]]</f>
        <v>0</v>
      </c>
      <c r="AJ138" s="507">
        <f>Port[[#This Row],[ECL (CNY)]]*Port[[#This Row],[CNY -&gt; THB]]</f>
        <v>43117.525040837209</v>
      </c>
      <c r="AK138" s="507">
        <f>Port[[#This Row],[ECL_Interest (CNY)]]*Port[[#This Row],[CNY -&gt; THB]]</f>
        <v>44.778593826570884</v>
      </c>
      <c r="AL138" s="507">
        <f>Port[[#This Row],[EAD (THB)]]*Port[[#This Row],[PD_avg]]</f>
        <v>47916.34476362486</v>
      </c>
      <c r="AM138" s="507">
        <f>Port[[#This Row],[EAD_Interest (THB)]]*Port[[#This Row],[PD_avg]]</f>
        <v>49.76228430996774</v>
      </c>
      <c r="AN138" s="507">
        <f>Port[[#This Row],[EAD (THB)]]*Port[[#This Row],[LGD_avg]]</f>
        <v>3305570.2055602157</v>
      </c>
      <c r="AO138" s="507">
        <f>Port[[#This Row],[EAD_Interest (THB)]]*Port[[#This Row],[LGD_avg]]</f>
        <v>3432.9147013842908</v>
      </c>
      <c r="AP138" s="507">
        <f>Port[[#This Row],[EAD_Drawn (THB)]]+Port[[#This Row],[EAD_Interest (THB)]]</f>
        <v>3677282.8260479998</v>
      </c>
      <c r="AQ1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55102.017611159994</v>
      </c>
      <c r="AR138" s="522">
        <f>MAX(Port[[#This Row],[ECL (THB)]]+Port[[#This Row],[ECL_Interest (THB)]], Port[[#This Row],[ECL CBIRC (THB)]])</f>
        <v>55102.017611159994</v>
      </c>
    </row>
    <row r="139" spans="1:44">
      <c r="A139" s="2" t="s">
        <v>116</v>
      </c>
      <c r="B139" s="2" t="s">
        <v>94</v>
      </c>
      <c r="C139" s="2" t="s">
        <v>17</v>
      </c>
      <c r="D139" s="2" t="s">
        <v>95</v>
      </c>
      <c r="E139" s="2" t="s">
        <v>19</v>
      </c>
      <c r="F139" s="2" t="s">
        <v>20</v>
      </c>
      <c r="G139" s="2" t="s">
        <v>21</v>
      </c>
      <c r="H139">
        <v>1</v>
      </c>
      <c r="I139" s="2" t="s">
        <v>526</v>
      </c>
      <c r="J139" s="505">
        <v>2.0514833509807026E-2</v>
      </c>
      <c r="K139" s="505">
        <v>0.9</v>
      </c>
      <c r="L139" s="3">
        <v>1</v>
      </c>
      <c r="M139" s="3">
        <v>5.2488000000000001</v>
      </c>
      <c r="N139" s="507">
        <v>1948724.79</v>
      </c>
      <c r="O139" s="507">
        <v>0</v>
      </c>
      <c r="P139" s="507">
        <v>1948724.79</v>
      </c>
      <c r="Q139" s="507">
        <v>2031.95</v>
      </c>
      <c r="R139" s="507">
        <v>35979.988160955298</v>
      </c>
      <c r="S139" s="507">
        <v>0</v>
      </c>
      <c r="T139" s="507">
        <v>35979.988160955298</v>
      </c>
      <c r="U139" s="507">
        <v>37.516604355227152</v>
      </c>
      <c r="V139" s="507">
        <f>Port[[#This Row],[EAD_Drawn (CNY)]]*Port[[#This Row],[CNY -&gt; FCY]]</f>
        <v>1948724.79</v>
      </c>
      <c r="W139" s="507">
        <f>Port[[#This Row],[EAD_Undrawn (CNY)]]*Port[[#This Row],[CNY -&gt; FCY]]</f>
        <v>0</v>
      </c>
      <c r="X139" s="507">
        <f>Port[[#This Row],[EAD (CNY)]]*Port[[#This Row],[CNY -&gt; FCY]]</f>
        <v>1948724.79</v>
      </c>
      <c r="Y139" s="507">
        <f>Port[[#This Row],[EAD_Interest (CNY)]]*Port[[#This Row],[CNY -&gt; FCY]]</f>
        <v>2031.95</v>
      </c>
      <c r="Z139" s="507">
        <f>Port[[#This Row],[ECL_Drawn (CNY)]]*Port[[#This Row],[CNY -&gt; FCY]]</f>
        <v>35979.988160955298</v>
      </c>
      <c r="AA139" s="507">
        <f>Port[[#This Row],[ECL_Undrawn (CNY)]]*Port[[#This Row],[CNY -&gt; FCY]]</f>
        <v>0</v>
      </c>
      <c r="AB139" s="507">
        <f>Port[[#This Row],[ECL (CNY)]]*Port[[#This Row],[CNY -&gt; FCY]]</f>
        <v>35979.988160955298</v>
      </c>
      <c r="AC139" s="507">
        <f>Port[[#This Row],[ECL_Interest (CNY)]]*Port[[#This Row],[CNY -&gt; FCY]]</f>
        <v>37.516604355227152</v>
      </c>
      <c r="AD139" s="507">
        <f>Port[[#This Row],[EAD_Drawn (CNY)]]*Port[[#This Row],[CNY -&gt; THB]]</f>
        <v>10228466.677752001</v>
      </c>
      <c r="AE139" s="507">
        <f>Port[[#This Row],[EAD_Undrawn (CNY)]]*Port[[#This Row],[CNY -&gt; THB]]</f>
        <v>0</v>
      </c>
      <c r="AF139" s="507">
        <f>Port[[#This Row],[EAD (CNY)]]*Port[[#This Row],[CNY -&gt; THB]]</f>
        <v>10228466.677752001</v>
      </c>
      <c r="AG139" s="507">
        <f>Port[[#This Row],[EAD_Interest (CNY)]]*Port[[#This Row],[CNY -&gt; THB]]</f>
        <v>10665.29916</v>
      </c>
      <c r="AH139" s="507">
        <f>Port[[#This Row],[ECL_Drawn (CNY)]]*Port[[#This Row],[CNY -&gt; THB]]</f>
        <v>188851.76185922217</v>
      </c>
      <c r="AI139" s="507">
        <f>Port[[#This Row],[ECL_Undrawn (CNY)]]*Port[[#This Row],[CNY -&gt; THB]]</f>
        <v>0</v>
      </c>
      <c r="AJ139" s="507">
        <f>Port[[#This Row],[ECL (CNY)]]*Port[[#This Row],[CNY -&gt; THB]]</f>
        <v>188851.76185922217</v>
      </c>
      <c r="AK139" s="507">
        <f>Port[[#This Row],[ECL_Interest (CNY)]]*Port[[#This Row],[CNY -&gt; THB]]</f>
        <v>196.91715293971629</v>
      </c>
      <c r="AL139" s="507">
        <f>Port[[#This Row],[EAD (THB)]]*Port[[#This Row],[PD_avg]]</f>
        <v>209835.2909546913</v>
      </c>
      <c r="AM139" s="507">
        <f>Port[[#This Row],[EAD_Interest (THB)]]*Port[[#This Row],[PD_avg]]</f>
        <v>218.79683659968472</v>
      </c>
      <c r="AN139" s="507">
        <f>Port[[#This Row],[EAD (THB)]]*Port[[#This Row],[LGD_avg]]</f>
        <v>9205620.0099768005</v>
      </c>
      <c r="AO139" s="507">
        <f>Port[[#This Row],[EAD_Interest (THB)]]*Port[[#This Row],[LGD_avg]]</f>
        <v>9598.769244000001</v>
      </c>
      <c r="AP139" s="507">
        <f>Port[[#This Row],[EAD_Drawn (THB)]]+Port[[#This Row],[EAD_Interest (THB)]]</f>
        <v>10239131.976912001</v>
      </c>
      <c r="AQ1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153427.00016628002</v>
      </c>
      <c r="AR139" s="522">
        <f>MAX(Port[[#This Row],[ECL (THB)]]+Port[[#This Row],[ECL_Interest (THB)]], Port[[#This Row],[ECL CBIRC (THB)]])</f>
        <v>189048.67901216188</v>
      </c>
    </row>
    <row r="140" spans="1:44">
      <c r="A140" s="2" t="s">
        <v>117</v>
      </c>
      <c r="B140" s="2" t="s">
        <v>60</v>
      </c>
      <c r="C140" s="2" t="s">
        <v>17</v>
      </c>
      <c r="D140" s="2" t="s">
        <v>30</v>
      </c>
      <c r="E140" s="2" t="s">
        <v>19</v>
      </c>
      <c r="F140" s="2" t="s">
        <v>20</v>
      </c>
      <c r="G140" s="2" t="s">
        <v>21</v>
      </c>
      <c r="H140">
        <v>1</v>
      </c>
      <c r="I140" s="2" t="s">
        <v>526</v>
      </c>
      <c r="J140" s="505">
        <v>1.3043899345507868E-2</v>
      </c>
      <c r="K140" s="505">
        <v>0.89997874886393614</v>
      </c>
      <c r="L140" s="3">
        <v>1</v>
      </c>
      <c r="M140" s="3">
        <v>5.2488000000000001</v>
      </c>
      <c r="N140" s="507">
        <v>4938465.8</v>
      </c>
      <c r="O140" s="507">
        <v>0</v>
      </c>
      <c r="P140" s="507">
        <v>4938465.8</v>
      </c>
      <c r="Q140" s="507">
        <v>5128.7299999999996</v>
      </c>
      <c r="R140" s="507">
        <v>57973.796803528196</v>
      </c>
      <c r="S140" s="507">
        <v>0</v>
      </c>
      <c r="T140" s="507">
        <v>57973.796803528196</v>
      </c>
      <c r="U140" s="507">
        <v>60.207352429201634</v>
      </c>
      <c r="V140" s="507">
        <f>Port[[#This Row],[EAD_Drawn (CNY)]]*Port[[#This Row],[CNY -&gt; FCY]]</f>
        <v>4938465.8</v>
      </c>
      <c r="W140" s="507">
        <f>Port[[#This Row],[EAD_Undrawn (CNY)]]*Port[[#This Row],[CNY -&gt; FCY]]</f>
        <v>0</v>
      </c>
      <c r="X140" s="507">
        <f>Port[[#This Row],[EAD (CNY)]]*Port[[#This Row],[CNY -&gt; FCY]]</f>
        <v>4938465.8</v>
      </c>
      <c r="Y140" s="507">
        <f>Port[[#This Row],[EAD_Interest (CNY)]]*Port[[#This Row],[CNY -&gt; FCY]]</f>
        <v>5128.7299999999996</v>
      </c>
      <c r="Z140" s="507">
        <f>Port[[#This Row],[ECL_Drawn (CNY)]]*Port[[#This Row],[CNY -&gt; FCY]]</f>
        <v>57973.796803528196</v>
      </c>
      <c r="AA140" s="507">
        <f>Port[[#This Row],[ECL_Undrawn (CNY)]]*Port[[#This Row],[CNY -&gt; FCY]]</f>
        <v>0</v>
      </c>
      <c r="AB140" s="507">
        <f>Port[[#This Row],[ECL (CNY)]]*Port[[#This Row],[CNY -&gt; FCY]]</f>
        <v>57973.796803528196</v>
      </c>
      <c r="AC140" s="507">
        <f>Port[[#This Row],[ECL_Interest (CNY)]]*Port[[#This Row],[CNY -&gt; FCY]]</f>
        <v>60.207352429201634</v>
      </c>
      <c r="AD140" s="507">
        <f>Port[[#This Row],[EAD_Drawn (CNY)]]*Port[[#This Row],[CNY -&gt; THB]]</f>
        <v>25921019.29104</v>
      </c>
      <c r="AE140" s="507">
        <f>Port[[#This Row],[EAD_Undrawn (CNY)]]*Port[[#This Row],[CNY -&gt; THB]]</f>
        <v>0</v>
      </c>
      <c r="AF140" s="507">
        <f>Port[[#This Row],[EAD (CNY)]]*Port[[#This Row],[CNY -&gt; THB]]</f>
        <v>25921019.29104</v>
      </c>
      <c r="AG140" s="507">
        <f>Port[[#This Row],[EAD_Interest (CNY)]]*Port[[#This Row],[CNY -&gt; THB]]</f>
        <v>26919.678023999997</v>
      </c>
      <c r="AH140" s="507">
        <f>Port[[#This Row],[ECL_Drawn (CNY)]]*Port[[#This Row],[CNY -&gt; THB]]</f>
        <v>304292.86466235883</v>
      </c>
      <c r="AI140" s="507">
        <f>Port[[#This Row],[ECL_Undrawn (CNY)]]*Port[[#This Row],[CNY -&gt; THB]]</f>
        <v>0</v>
      </c>
      <c r="AJ140" s="507">
        <f>Port[[#This Row],[ECL (CNY)]]*Port[[#This Row],[CNY -&gt; THB]]</f>
        <v>304292.86466235883</v>
      </c>
      <c r="AK140" s="507">
        <f>Port[[#This Row],[ECL_Interest (CNY)]]*Port[[#This Row],[CNY -&gt; THB]]</f>
        <v>316.01635143039357</v>
      </c>
      <c r="AL140" s="507">
        <f>Port[[#This Row],[EAD (THB)]]*Port[[#This Row],[PD_avg]]</f>
        <v>338111.1665652935</v>
      </c>
      <c r="AM140" s="507">
        <f>Port[[#This Row],[EAD_Interest (THB)]]*Port[[#This Row],[PD_avg]]</f>
        <v>351.13757055853608</v>
      </c>
      <c r="AN140" s="507">
        <f>Port[[#This Row],[EAD (THB)]]*Port[[#This Row],[LGD_avg]]</f>
        <v>23328366.51082813</v>
      </c>
      <c r="AO140" s="507">
        <f>Port[[#This Row],[EAD_Interest (THB)]]*Port[[#This Row],[LGD_avg]]</f>
        <v>24227.138147859514</v>
      </c>
      <c r="AP140" s="507">
        <f>Port[[#This Row],[EAD_Drawn (THB)]]+Port[[#This Row],[EAD_Interest (THB)]]</f>
        <v>25947938.969064001</v>
      </c>
      <c r="AQ1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388815.28936559998</v>
      </c>
      <c r="AR140" s="522">
        <f>MAX(Port[[#This Row],[ECL (THB)]]+Port[[#This Row],[ECL_Interest (THB)]], Port[[#This Row],[ECL CBIRC (THB)]])</f>
        <v>388815.28936559998</v>
      </c>
    </row>
    <row r="141" spans="1:44">
      <c r="A141" s="2" t="s">
        <v>118</v>
      </c>
      <c r="B141" s="2" t="s">
        <v>60</v>
      </c>
      <c r="C141" s="2" t="s">
        <v>17</v>
      </c>
      <c r="D141" s="2" t="s">
        <v>30</v>
      </c>
      <c r="E141" s="2" t="s">
        <v>19</v>
      </c>
      <c r="F141" s="2" t="s">
        <v>20</v>
      </c>
      <c r="G141" s="2" t="s">
        <v>21</v>
      </c>
      <c r="H141">
        <v>1</v>
      </c>
      <c r="I141" s="2" t="s">
        <v>526</v>
      </c>
      <c r="J141" s="505">
        <v>1.3043899345507868E-2</v>
      </c>
      <c r="K141" s="505">
        <v>0.89986499041643631</v>
      </c>
      <c r="L141" s="3">
        <v>1</v>
      </c>
      <c r="M141" s="3">
        <v>5.2488000000000001</v>
      </c>
      <c r="N141" s="507">
        <v>777337.47</v>
      </c>
      <c r="O141" s="507">
        <v>0</v>
      </c>
      <c r="P141" s="507">
        <v>777337.47</v>
      </c>
      <c r="Q141" s="507">
        <v>807.29</v>
      </c>
      <c r="R141" s="507">
        <v>9124.1916133002287</v>
      </c>
      <c r="S141" s="507">
        <v>0</v>
      </c>
      <c r="T141" s="507">
        <v>9124.1916133002287</v>
      </c>
      <c r="U141" s="507">
        <v>9.4757668731717519</v>
      </c>
      <c r="V141" s="507">
        <f>Port[[#This Row],[EAD_Drawn (CNY)]]*Port[[#This Row],[CNY -&gt; FCY]]</f>
        <v>777337.47</v>
      </c>
      <c r="W141" s="507">
        <f>Port[[#This Row],[EAD_Undrawn (CNY)]]*Port[[#This Row],[CNY -&gt; FCY]]</f>
        <v>0</v>
      </c>
      <c r="X141" s="507">
        <f>Port[[#This Row],[EAD (CNY)]]*Port[[#This Row],[CNY -&gt; FCY]]</f>
        <v>777337.47</v>
      </c>
      <c r="Y141" s="507">
        <f>Port[[#This Row],[EAD_Interest (CNY)]]*Port[[#This Row],[CNY -&gt; FCY]]</f>
        <v>807.29</v>
      </c>
      <c r="Z141" s="507">
        <f>Port[[#This Row],[ECL_Drawn (CNY)]]*Port[[#This Row],[CNY -&gt; FCY]]</f>
        <v>9124.1916133002287</v>
      </c>
      <c r="AA141" s="507">
        <f>Port[[#This Row],[ECL_Undrawn (CNY)]]*Port[[#This Row],[CNY -&gt; FCY]]</f>
        <v>0</v>
      </c>
      <c r="AB141" s="507">
        <f>Port[[#This Row],[ECL (CNY)]]*Port[[#This Row],[CNY -&gt; FCY]]</f>
        <v>9124.1916133002287</v>
      </c>
      <c r="AC141" s="507">
        <f>Port[[#This Row],[ECL_Interest (CNY)]]*Port[[#This Row],[CNY -&gt; FCY]]</f>
        <v>9.4757668731717519</v>
      </c>
      <c r="AD141" s="507">
        <f>Port[[#This Row],[EAD_Drawn (CNY)]]*Port[[#This Row],[CNY -&gt; THB]]</f>
        <v>4080088.9125359999</v>
      </c>
      <c r="AE141" s="507">
        <f>Port[[#This Row],[EAD_Undrawn (CNY)]]*Port[[#This Row],[CNY -&gt; THB]]</f>
        <v>0</v>
      </c>
      <c r="AF141" s="507">
        <f>Port[[#This Row],[EAD (CNY)]]*Port[[#This Row],[CNY -&gt; THB]]</f>
        <v>4080088.9125359999</v>
      </c>
      <c r="AG141" s="507">
        <f>Port[[#This Row],[EAD_Interest (CNY)]]*Port[[#This Row],[CNY -&gt; THB]]</f>
        <v>4237.3037519999998</v>
      </c>
      <c r="AH141" s="507">
        <f>Port[[#This Row],[ECL_Drawn (CNY)]]*Port[[#This Row],[CNY -&gt; THB]]</f>
        <v>47891.056939890244</v>
      </c>
      <c r="AI141" s="507">
        <f>Port[[#This Row],[ECL_Undrawn (CNY)]]*Port[[#This Row],[CNY -&gt; THB]]</f>
        <v>0</v>
      </c>
      <c r="AJ141" s="507">
        <f>Port[[#This Row],[ECL (CNY)]]*Port[[#This Row],[CNY -&gt; THB]]</f>
        <v>47891.056939890244</v>
      </c>
      <c r="AK141" s="507">
        <f>Port[[#This Row],[ECL_Interest (CNY)]]*Port[[#This Row],[CNY -&gt; THB]]</f>
        <v>49.736405163903896</v>
      </c>
      <c r="AL141" s="507">
        <f>Port[[#This Row],[EAD (THB)]]*Port[[#This Row],[PD_avg]]</f>
        <v>53220.269095842239</v>
      </c>
      <c r="AM141" s="507">
        <f>Port[[#This Row],[EAD_Interest (THB)]]*Port[[#This Row],[PD_avg]]</f>
        <v>55.270963637430832</v>
      </c>
      <c r="AN141" s="507">
        <f>Port[[#This Row],[EAD (THB)]]*Port[[#This Row],[LGD_avg]]</f>
        <v>3671529.1701774155</v>
      </c>
      <c r="AO141" s="507">
        <f>Port[[#This Row],[EAD_Interest (THB)]]*Port[[#This Row],[LGD_avg]]</f>
        <v>3813.0013001850093</v>
      </c>
      <c r="AP141" s="507">
        <f>Port[[#This Row],[EAD_Drawn (THB)]]+Port[[#This Row],[EAD_Interest (THB)]]</f>
        <v>4084326.2162879999</v>
      </c>
      <c r="AQ1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61201.333688039995</v>
      </c>
      <c r="AR141" s="522">
        <f>MAX(Port[[#This Row],[ECL (THB)]]+Port[[#This Row],[ECL_Interest (THB)]], Port[[#This Row],[ECL CBIRC (THB)]])</f>
        <v>61201.333688039995</v>
      </c>
    </row>
    <row r="142" spans="1:44">
      <c r="A142" s="2" t="s">
        <v>119</v>
      </c>
      <c r="B142" s="2" t="s">
        <v>60</v>
      </c>
      <c r="C142" s="2" t="s">
        <v>17</v>
      </c>
      <c r="D142" s="2" t="s">
        <v>30</v>
      </c>
      <c r="E142" s="2" t="s">
        <v>19</v>
      </c>
      <c r="F142" s="2" t="s">
        <v>20</v>
      </c>
      <c r="G142" s="2" t="s">
        <v>21</v>
      </c>
      <c r="H142">
        <v>1</v>
      </c>
      <c r="I142" s="2" t="s">
        <v>526</v>
      </c>
      <c r="J142" s="505">
        <v>1.3043899345507868E-2</v>
      </c>
      <c r="K142" s="505">
        <v>0.89992497720437314</v>
      </c>
      <c r="L142" s="3">
        <v>1</v>
      </c>
      <c r="M142" s="3">
        <v>5.2488000000000001</v>
      </c>
      <c r="N142" s="507">
        <v>1398881.6</v>
      </c>
      <c r="O142" s="507">
        <v>0</v>
      </c>
      <c r="P142" s="507">
        <v>1398881.6</v>
      </c>
      <c r="Q142" s="507">
        <v>1452.78</v>
      </c>
      <c r="R142" s="507">
        <v>16420.814776756841</v>
      </c>
      <c r="S142" s="507">
        <v>0</v>
      </c>
      <c r="T142" s="507">
        <v>16420.814776756841</v>
      </c>
      <c r="U142" s="507">
        <v>17.053502806368172</v>
      </c>
      <c r="V142" s="507">
        <f>Port[[#This Row],[EAD_Drawn (CNY)]]*Port[[#This Row],[CNY -&gt; FCY]]</f>
        <v>1398881.6</v>
      </c>
      <c r="W142" s="507">
        <f>Port[[#This Row],[EAD_Undrawn (CNY)]]*Port[[#This Row],[CNY -&gt; FCY]]</f>
        <v>0</v>
      </c>
      <c r="X142" s="507">
        <f>Port[[#This Row],[EAD (CNY)]]*Port[[#This Row],[CNY -&gt; FCY]]</f>
        <v>1398881.6</v>
      </c>
      <c r="Y142" s="507">
        <f>Port[[#This Row],[EAD_Interest (CNY)]]*Port[[#This Row],[CNY -&gt; FCY]]</f>
        <v>1452.78</v>
      </c>
      <c r="Z142" s="507">
        <f>Port[[#This Row],[ECL_Drawn (CNY)]]*Port[[#This Row],[CNY -&gt; FCY]]</f>
        <v>16420.814776756841</v>
      </c>
      <c r="AA142" s="507">
        <f>Port[[#This Row],[ECL_Undrawn (CNY)]]*Port[[#This Row],[CNY -&gt; FCY]]</f>
        <v>0</v>
      </c>
      <c r="AB142" s="507">
        <f>Port[[#This Row],[ECL (CNY)]]*Port[[#This Row],[CNY -&gt; FCY]]</f>
        <v>16420.814776756841</v>
      </c>
      <c r="AC142" s="507">
        <f>Port[[#This Row],[ECL_Interest (CNY)]]*Port[[#This Row],[CNY -&gt; FCY]]</f>
        <v>17.053502806368172</v>
      </c>
      <c r="AD142" s="507">
        <f>Port[[#This Row],[EAD_Drawn (CNY)]]*Port[[#This Row],[CNY -&gt; THB]]</f>
        <v>7342449.7420800002</v>
      </c>
      <c r="AE142" s="507">
        <f>Port[[#This Row],[EAD_Undrawn (CNY)]]*Port[[#This Row],[CNY -&gt; THB]]</f>
        <v>0</v>
      </c>
      <c r="AF142" s="507">
        <f>Port[[#This Row],[EAD (CNY)]]*Port[[#This Row],[CNY -&gt; THB]]</f>
        <v>7342449.7420800002</v>
      </c>
      <c r="AG142" s="507">
        <f>Port[[#This Row],[EAD_Interest (CNY)]]*Port[[#This Row],[CNY -&gt; THB]]</f>
        <v>7625.3516639999998</v>
      </c>
      <c r="AH142" s="507">
        <f>Port[[#This Row],[ECL_Drawn (CNY)]]*Port[[#This Row],[CNY -&gt; THB]]</f>
        <v>86189.572600241314</v>
      </c>
      <c r="AI142" s="507">
        <f>Port[[#This Row],[ECL_Undrawn (CNY)]]*Port[[#This Row],[CNY -&gt; THB]]</f>
        <v>0</v>
      </c>
      <c r="AJ142" s="507">
        <f>Port[[#This Row],[ECL (CNY)]]*Port[[#This Row],[CNY -&gt; THB]]</f>
        <v>86189.572600241314</v>
      </c>
      <c r="AK142" s="507">
        <f>Port[[#This Row],[ECL_Interest (CNY)]]*Port[[#This Row],[CNY -&gt; THB]]</f>
        <v>89.510425530065262</v>
      </c>
      <c r="AL142" s="507">
        <f>Port[[#This Row],[EAD (THB)]]*Port[[#This Row],[PD_avg]]</f>
        <v>95774.175385141731</v>
      </c>
      <c r="AM142" s="507">
        <f>Port[[#This Row],[EAD_Interest (THB)]]*Port[[#This Row],[PD_avg]]</f>
        <v>99.464319579316935</v>
      </c>
      <c r="AN142" s="507">
        <f>Port[[#This Row],[EAD (THB)]]*Port[[#This Row],[LGD_avg]]</f>
        <v>6607653.9167655995</v>
      </c>
      <c r="AO142" s="507">
        <f>Port[[#This Row],[EAD_Interest (THB)]]*Port[[#This Row],[LGD_avg]]</f>
        <v>6862.2444224005285</v>
      </c>
      <c r="AP142" s="507">
        <f>Port[[#This Row],[EAD_Drawn (THB)]]+Port[[#This Row],[EAD_Interest (THB)]]</f>
        <v>7350075.0937440004</v>
      </c>
      <c r="AQ1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110136.74613119999</v>
      </c>
      <c r="AR142" s="522">
        <f>MAX(Port[[#This Row],[ECL (THB)]]+Port[[#This Row],[ECL_Interest (THB)]], Port[[#This Row],[ECL CBIRC (THB)]])</f>
        <v>110136.74613119999</v>
      </c>
    </row>
    <row r="143" spans="1:44">
      <c r="A143" s="2" t="s">
        <v>120</v>
      </c>
      <c r="B143" s="2" t="s">
        <v>94</v>
      </c>
      <c r="C143" s="2" t="s">
        <v>17</v>
      </c>
      <c r="D143" s="2" t="s">
        <v>95</v>
      </c>
      <c r="E143" s="2" t="s">
        <v>19</v>
      </c>
      <c r="F143" s="2" t="s">
        <v>20</v>
      </c>
      <c r="G143" s="2" t="s">
        <v>21</v>
      </c>
      <c r="H143">
        <v>1</v>
      </c>
      <c r="I143" s="2" t="s">
        <v>526</v>
      </c>
      <c r="J143" s="505">
        <v>2.0514833509807026E-2</v>
      </c>
      <c r="K143" s="505">
        <v>0.90000000000000013</v>
      </c>
      <c r="L143" s="3">
        <v>1</v>
      </c>
      <c r="M143" s="3">
        <v>5.2488000000000001</v>
      </c>
      <c r="N143" s="507">
        <v>1653245.23</v>
      </c>
      <c r="O143" s="507">
        <v>0</v>
      </c>
      <c r="P143" s="507">
        <v>1653245.23</v>
      </c>
      <c r="Q143" s="507">
        <v>1723.85</v>
      </c>
      <c r="R143" s="507">
        <v>30524.445579899366</v>
      </c>
      <c r="S143" s="507">
        <v>0</v>
      </c>
      <c r="T143" s="507">
        <v>30524.445579899366</v>
      </c>
      <c r="U143" s="507">
        <v>31.828046171292755</v>
      </c>
      <c r="V143" s="507">
        <f>Port[[#This Row],[EAD_Drawn (CNY)]]*Port[[#This Row],[CNY -&gt; FCY]]</f>
        <v>1653245.23</v>
      </c>
      <c r="W143" s="507">
        <f>Port[[#This Row],[EAD_Undrawn (CNY)]]*Port[[#This Row],[CNY -&gt; FCY]]</f>
        <v>0</v>
      </c>
      <c r="X143" s="507">
        <f>Port[[#This Row],[EAD (CNY)]]*Port[[#This Row],[CNY -&gt; FCY]]</f>
        <v>1653245.23</v>
      </c>
      <c r="Y143" s="507">
        <f>Port[[#This Row],[EAD_Interest (CNY)]]*Port[[#This Row],[CNY -&gt; FCY]]</f>
        <v>1723.85</v>
      </c>
      <c r="Z143" s="507">
        <f>Port[[#This Row],[ECL_Drawn (CNY)]]*Port[[#This Row],[CNY -&gt; FCY]]</f>
        <v>30524.445579899366</v>
      </c>
      <c r="AA143" s="507">
        <f>Port[[#This Row],[ECL_Undrawn (CNY)]]*Port[[#This Row],[CNY -&gt; FCY]]</f>
        <v>0</v>
      </c>
      <c r="AB143" s="507">
        <f>Port[[#This Row],[ECL (CNY)]]*Port[[#This Row],[CNY -&gt; FCY]]</f>
        <v>30524.445579899366</v>
      </c>
      <c r="AC143" s="507">
        <f>Port[[#This Row],[ECL_Interest (CNY)]]*Port[[#This Row],[CNY -&gt; FCY]]</f>
        <v>31.828046171292755</v>
      </c>
      <c r="AD143" s="507">
        <f>Port[[#This Row],[EAD_Drawn (CNY)]]*Port[[#This Row],[CNY -&gt; THB]]</f>
        <v>8677553.5632240009</v>
      </c>
      <c r="AE143" s="507">
        <f>Port[[#This Row],[EAD_Undrawn (CNY)]]*Port[[#This Row],[CNY -&gt; THB]]</f>
        <v>0</v>
      </c>
      <c r="AF143" s="507">
        <f>Port[[#This Row],[EAD (CNY)]]*Port[[#This Row],[CNY -&gt; THB]]</f>
        <v>8677553.5632240009</v>
      </c>
      <c r="AG143" s="507">
        <f>Port[[#This Row],[EAD_Interest (CNY)]]*Port[[#This Row],[CNY -&gt; THB]]</f>
        <v>9048.1438799999996</v>
      </c>
      <c r="AH143" s="507">
        <f>Port[[#This Row],[ECL_Drawn (CNY)]]*Port[[#This Row],[CNY -&gt; THB]]</f>
        <v>160216.70995977579</v>
      </c>
      <c r="AI143" s="507">
        <f>Port[[#This Row],[ECL_Undrawn (CNY)]]*Port[[#This Row],[CNY -&gt; THB]]</f>
        <v>0</v>
      </c>
      <c r="AJ143" s="507">
        <f>Port[[#This Row],[ECL (CNY)]]*Port[[#This Row],[CNY -&gt; THB]]</f>
        <v>160216.70995977579</v>
      </c>
      <c r="AK143" s="507">
        <f>Port[[#This Row],[ECL_Interest (CNY)]]*Port[[#This Row],[CNY -&gt; THB]]</f>
        <v>167.05904874388142</v>
      </c>
      <c r="AL143" s="507">
        <f>Port[[#This Row],[EAD (THB)]]*Port[[#This Row],[PD_avg]]</f>
        <v>178018.56662197309</v>
      </c>
      <c r="AM143" s="507">
        <f>Port[[#This Row],[EAD_Interest (THB)]]*Port[[#This Row],[PD_avg]]</f>
        <v>185.62116527097936</v>
      </c>
      <c r="AN143" s="507">
        <f>Port[[#This Row],[EAD (THB)]]*Port[[#This Row],[LGD_avg]]</f>
        <v>7809798.2069016015</v>
      </c>
      <c r="AO143" s="507">
        <f>Port[[#This Row],[EAD_Interest (THB)]]*Port[[#This Row],[LGD_avg]]</f>
        <v>8143.3294920000008</v>
      </c>
      <c r="AP143" s="507">
        <f>Port[[#This Row],[EAD_Drawn (THB)]]+Port[[#This Row],[EAD_Interest (THB)]]</f>
        <v>8686601.7071040012</v>
      </c>
      <c r="AQ1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130163.30344836001</v>
      </c>
      <c r="AR143" s="522">
        <f>MAX(Port[[#This Row],[ECL (THB)]]+Port[[#This Row],[ECL_Interest (THB)]], Port[[#This Row],[ECL CBIRC (THB)]])</f>
        <v>160383.76900851968</v>
      </c>
    </row>
    <row r="144" spans="1:44">
      <c r="A144" s="2" t="s">
        <v>121</v>
      </c>
      <c r="B144" s="2" t="s">
        <v>94</v>
      </c>
      <c r="C144" s="2" t="s">
        <v>17</v>
      </c>
      <c r="D144" s="2" t="s">
        <v>95</v>
      </c>
      <c r="E144" s="2" t="s">
        <v>19</v>
      </c>
      <c r="F144" s="2" t="s">
        <v>20</v>
      </c>
      <c r="G144" s="2" t="s">
        <v>21</v>
      </c>
      <c r="H144">
        <v>1</v>
      </c>
      <c r="I144" s="2" t="s">
        <v>526</v>
      </c>
      <c r="J144" s="505">
        <v>2.0514833509807026E-2</v>
      </c>
      <c r="K144" s="505">
        <v>0.9</v>
      </c>
      <c r="L144" s="3">
        <v>1</v>
      </c>
      <c r="M144" s="3">
        <v>5.2488000000000001</v>
      </c>
      <c r="N144" s="507">
        <v>82744.009999999995</v>
      </c>
      <c r="O144" s="507">
        <v>0</v>
      </c>
      <c r="P144" s="507">
        <v>82744.009999999995</v>
      </c>
      <c r="Q144" s="507">
        <v>86.28</v>
      </c>
      <c r="R144" s="507">
        <v>1527.731630175427</v>
      </c>
      <c r="S144" s="507">
        <v>0</v>
      </c>
      <c r="T144" s="507">
        <v>1527.731630175427</v>
      </c>
      <c r="U144" s="507">
        <v>1.5930178517035356</v>
      </c>
      <c r="V144" s="507">
        <f>Port[[#This Row],[EAD_Drawn (CNY)]]*Port[[#This Row],[CNY -&gt; FCY]]</f>
        <v>82744.009999999995</v>
      </c>
      <c r="W144" s="507">
        <f>Port[[#This Row],[EAD_Undrawn (CNY)]]*Port[[#This Row],[CNY -&gt; FCY]]</f>
        <v>0</v>
      </c>
      <c r="X144" s="507">
        <f>Port[[#This Row],[EAD (CNY)]]*Port[[#This Row],[CNY -&gt; FCY]]</f>
        <v>82744.009999999995</v>
      </c>
      <c r="Y144" s="507">
        <f>Port[[#This Row],[EAD_Interest (CNY)]]*Port[[#This Row],[CNY -&gt; FCY]]</f>
        <v>86.28</v>
      </c>
      <c r="Z144" s="507">
        <f>Port[[#This Row],[ECL_Drawn (CNY)]]*Port[[#This Row],[CNY -&gt; FCY]]</f>
        <v>1527.731630175427</v>
      </c>
      <c r="AA144" s="507">
        <f>Port[[#This Row],[ECL_Undrawn (CNY)]]*Port[[#This Row],[CNY -&gt; FCY]]</f>
        <v>0</v>
      </c>
      <c r="AB144" s="507">
        <f>Port[[#This Row],[ECL (CNY)]]*Port[[#This Row],[CNY -&gt; FCY]]</f>
        <v>1527.731630175427</v>
      </c>
      <c r="AC144" s="507">
        <f>Port[[#This Row],[ECL_Interest (CNY)]]*Port[[#This Row],[CNY -&gt; FCY]]</f>
        <v>1.5930178517035356</v>
      </c>
      <c r="AD144" s="507">
        <f>Port[[#This Row],[EAD_Drawn (CNY)]]*Port[[#This Row],[CNY -&gt; THB]]</f>
        <v>434306.75968799996</v>
      </c>
      <c r="AE144" s="507">
        <f>Port[[#This Row],[EAD_Undrawn (CNY)]]*Port[[#This Row],[CNY -&gt; THB]]</f>
        <v>0</v>
      </c>
      <c r="AF144" s="507">
        <f>Port[[#This Row],[EAD (CNY)]]*Port[[#This Row],[CNY -&gt; THB]]</f>
        <v>434306.75968799996</v>
      </c>
      <c r="AG144" s="507">
        <f>Port[[#This Row],[EAD_Interest (CNY)]]*Port[[#This Row],[CNY -&gt; THB]]</f>
        <v>452.86646400000001</v>
      </c>
      <c r="AH144" s="507">
        <f>Port[[#This Row],[ECL_Drawn (CNY)]]*Port[[#This Row],[CNY -&gt; THB]]</f>
        <v>8018.7577804647817</v>
      </c>
      <c r="AI144" s="507">
        <f>Port[[#This Row],[ECL_Undrawn (CNY)]]*Port[[#This Row],[CNY -&gt; THB]]</f>
        <v>0</v>
      </c>
      <c r="AJ144" s="507">
        <f>Port[[#This Row],[ECL (CNY)]]*Port[[#This Row],[CNY -&gt; THB]]</f>
        <v>8018.7577804647817</v>
      </c>
      <c r="AK144" s="507">
        <f>Port[[#This Row],[ECL_Interest (CNY)]]*Port[[#This Row],[CNY -&gt; THB]]</f>
        <v>8.361432100021517</v>
      </c>
      <c r="AL144" s="507">
        <f>Port[[#This Row],[EAD (THB)]]*Port[[#This Row],[PD_avg]]</f>
        <v>8909.7308671830888</v>
      </c>
      <c r="AM144" s="507">
        <f>Port[[#This Row],[EAD_Interest (THB)]]*Port[[#This Row],[PD_avg]]</f>
        <v>9.2904801111350181</v>
      </c>
      <c r="AN144" s="507">
        <f>Port[[#This Row],[EAD (THB)]]*Port[[#This Row],[LGD_avg]]</f>
        <v>390876.08371919999</v>
      </c>
      <c r="AO144" s="507">
        <f>Port[[#This Row],[EAD_Interest (THB)]]*Port[[#This Row],[LGD_avg]]</f>
        <v>407.57981760000001</v>
      </c>
      <c r="AP144" s="507">
        <f>Port[[#This Row],[EAD_Drawn (THB)]]+Port[[#This Row],[EAD_Interest (THB)]]</f>
        <v>434759.62615199998</v>
      </c>
      <c r="AQ1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6514.601395319999</v>
      </c>
      <c r="AR144" s="522">
        <f>MAX(Port[[#This Row],[ECL (THB)]]+Port[[#This Row],[ECL_Interest (THB)]], Port[[#This Row],[ECL CBIRC (THB)]])</f>
        <v>8027.1192125648031</v>
      </c>
    </row>
    <row r="145" spans="1:44">
      <c r="A145" s="2" t="s">
        <v>122</v>
      </c>
      <c r="B145" s="2" t="s">
        <v>94</v>
      </c>
      <c r="C145" s="2" t="s">
        <v>17</v>
      </c>
      <c r="D145" s="2" t="s">
        <v>95</v>
      </c>
      <c r="E145" s="2" t="s">
        <v>19</v>
      </c>
      <c r="F145" s="2" t="s">
        <v>20</v>
      </c>
      <c r="G145" s="2" t="s">
        <v>21</v>
      </c>
      <c r="H145">
        <v>1</v>
      </c>
      <c r="I145" s="2" t="s">
        <v>526</v>
      </c>
      <c r="J145" s="505">
        <v>2.0514833509807026E-2</v>
      </c>
      <c r="K145" s="505">
        <v>0.89999999999999991</v>
      </c>
      <c r="L145" s="3">
        <v>1</v>
      </c>
      <c r="M145" s="3">
        <v>5.2488000000000001</v>
      </c>
      <c r="N145" s="507">
        <v>899746.32</v>
      </c>
      <c r="O145" s="507">
        <v>0</v>
      </c>
      <c r="P145" s="507">
        <v>899746.32</v>
      </c>
      <c r="Q145" s="507">
        <v>938.17</v>
      </c>
      <c r="R145" s="507">
        <v>16612.331360275399</v>
      </c>
      <c r="S145" s="507">
        <v>0</v>
      </c>
      <c r="T145" s="507">
        <v>16612.331360275399</v>
      </c>
      <c r="U145" s="507">
        <v>17.32176121850609</v>
      </c>
      <c r="V145" s="507">
        <f>Port[[#This Row],[EAD_Drawn (CNY)]]*Port[[#This Row],[CNY -&gt; FCY]]</f>
        <v>899746.32</v>
      </c>
      <c r="W145" s="507">
        <f>Port[[#This Row],[EAD_Undrawn (CNY)]]*Port[[#This Row],[CNY -&gt; FCY]]</f>
        <v>0</v>
      </c>
      <c r="X145" s="507">
        <f>Port[[#This Row],[EAD (CNY)]]*Port[[#This Row],[CNY -&gt; FCY]]</f>
        <v>899746.32</v>
      </c>
      <c r="Y145" s="507">
        <f>Port[[#This Row],[EAD_Interest (CNY)]]*Port[[#This Row],[CNY -&gt; FCY]]</f>
        <v>938.17</v>
      </c>
      <c r="Z145" s="507">
        <f>Port[[#This Row],[ECL_Drawn (CNY)]]*Port[[#This Row],[CNY -&gt; FCY]]</f>
        <v>16612.331360275399</v>
      </c>
      <c r="AA145" s="507">
        <f>Port[[#This Row],[ECL_Undrawn (CNY)]]*Port[[#This Row],[CNY -&gt; FCY]]</f>
        <v>0</v>
      </c>
      <c r="AB145" s="507">
        <f>Port[[#This Row],[ECL (CNY)]]*Port[[#This Row],[CNY -&gt; FCY]]</f>
        <v>16612.331360275399</v>
      </c>
      <c r="AC145" s="507">
        <f>Port[[#This Row],[ECL_Interest (CNY)]]*Port[[#This Row],[CNY -&gt; FCY]]</f>
        <v>17.32176121850609</v>
      </c>
      <c r="AD145" s="507">
        <f>Port[[#This Row],[EAD_Drawn (CNY)]]*Port[[#This Row],[CNY -&gt; THB]]</f>
        <v>4722588.4844159996</v>
      </c>
      <c r="AE145" s="507">
        <f>Port[[#This Row],[EAD_Undrawn (CNY)]]*Port[[#This Row],[CNY -&gt; THB]]</f>
        <v>0</v>
      </c>
      <c r="AF145" s="507">
        <f>Port[[#This Row],[EAD (CNY)]]*Port[[#This Row],[CNY -&gt; THB]]</f>
        <v>4722588.4844159996</v>
      </c>
      <c r="AG145" s="507">
        <f>Port[[#This Row],[EAD_Interest (CNY)]]*Port[[#This Row],[CNY -&gt; THB]]</f>
        <v>4924.2666959999997</v>
      </c>
      <c r="AH145" s="507">
        <f>Port[[#This Row],[ECL_Drawn (CNY)]]*Port[[#This Row],[CNY -&gt; THB]]</f>
        <v>87194.804843813516</v>
      </c>
      <c r="AI145" s="507">
        <f>Port[[#This Row],[ECL_Undrawn (CNY)]]*Port[[#This Row],[CNY -&gt; THB]]</f>
        <v>0</v>
      </c>
      <c r="AJ145" s="507">
        <f>Port[[#This Row],[ECL (CNY)]]*Port[[#This Row],[CNY -&gt; THB]]</f>
        <v>87194.804843813516</v>
      </c>
      <c r="AK145" s="507">
        <f>Port[[#This Row],[ECL_Interest (CNY)]]*Port[[#This Row],[CNY -&gt; THB]]</f>
        <v>90.91846028369477</v>
      </c>
      <c r="AL145" s="507">
        <f>Port[[#This Row],[EAD (THB)]]*Port[[#This Row],[PD_avg]]</f>
        <v>96883.11649312613</v>
      </c>
      <c r="AM145" s="507">
        <f>Port[[#This Row],[EAD_Interest (THB)]]*Port[[#This Row],[PD_avg]]</f>
        <v>101.02051142632752</v>
      </c>
      <c r="AN145" s="507">
        <f>Port[[#This Row],[EAD (THB)]]*Port[[#This Row],[LGD_avg]]</f>
        <v>4250329.6359743988</v>
      </c>
      <c r="AO145" s="507">
        <f>Port[[#This Row],[EAD_Interest (THB)]]*Port[[#This Row],[LGD_avg]]</f>
        <v>4431.8400263999993</v>
      </c>
      <c r="AP145" s="507">
        <f>Port[[#This Row],[EAD_Drawn (THB)]]+Port[[#This Row],[EAD_Interest (THB)]]</f>
        <v>4727512.7511119992</v>
      </c>
      <c r="AQ1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70838.827266239998</v>
      </c>
      <c r="AR145" s="522">
        <f>MAX(Port[[#This Row],[ECL (THB)]]+Port[[#This Row],[ECL_Interest (THB)]], Port[[#This Row],[ECL CBIRC (THB)]])</f>
        <v>87285.723304097206</v>
      </c>
    </row>
    <row r="146" spans="1:44">
      <c r="A146" s="2" t="s">
        <v>123</v>
      </c>
      <c r="B146" s="2" t="s">
        <v>94</v>
      </c>
      <c r="C146" s="2" t="s">
        <v>17</v>
      </c>
      <c r="D146" s="2" t="s">
        <v>95</v>
      </c>
      <c r="E146" s="2" t="s">
        <v>19</v>
      </c>
      <c r="F146" s="2" t="s">
        <v>20</v>
      </c>
      <c r="G146" s="2" t="s">
        <v>21</v>
      </c>
      <c r="H146">
        <v>1</v>
      </c>
      <c r="I146" s="2" t="s">
        <v>526</v>
      </c>
      <c r="J146" s="505">
        <v>2.0514833509807026E-2</v>
      </c>
      <c r="K146" s="505">
        <v>0.89999999999999991</v>
      </c>
      <c r="L146" s="3">
        <v>1</v>
      </c>
      <c r="M146" s="3">
        <v>5.2488000000000001</v>
      </c>
      <c r="N146" s="507">
        <v>1617906.71</v>
      </c>
      <c r="O146" s="507">
        <v>0</v>
      </c>
      <c r="P146" s="507">
        <v>1617906.71</v>
      </c>
      <c r="Q146" s="507">
        <v>1687</v>
      </c>
      <c r="R146" s="507">
        <v>29871.978111044671</v>
      </c>
      <c r="S146" s="507">
        <v>0</v>
      </c>
      <c r="T146" s="507">
        <v>29871.978111044671</v>
      </c>
      <c r="U146" s="507">
        <v>31.147671717940014</v>
      </c>
      <c r="V146" s="507">
        <f>Port[[#This Row],[EAD_Drawn (CNY)]]*Port[[#This Row],[CNY -&gt; FCY]]</f>
        <v>1617906.71</v>
      </c>
      <c r="W146" s="507">
        <f>Port[[#This Row],[EAD_Undrawn (CNY)]]*Port[[#This Row],[CNY -&gt; FCY]]</f>
        <v>0</v>
      </c>
      <c r="X146" s="507">
        <f>Port[[#This Row],[EAD (CNY)]]*Port[[#This Row],[CNY -&gt; FCY]]</f>
        <v>1617906.71</v>
      </c>
      <c r="Y146" s="507">
        <f>Port[[#This Row],[EAD_Interest (CNY)]]*Port[[#This Row],[CNY -&gt; FCY]]</f>
        <v>1687</v>
      </c>
      <c r="Z146" s="507">
        <f>Port[[#This Row],[ECL_Drawn (CNY)]]*Port[[#This Row],[CNY -&gt; FCY]]</f>
        <v>29871.978111044671</v>
      </c>
      <c r="AA146" s="507">
        <f>Port[[#This Row],[ECL_Undrawn (CNY)]]*Port[[#This Row],[CNY -&gt; FCY]]</f>
        <v>0</v>
      </c>
      <c r="AB146" s="507">
        <f>Port[[#This Row],[ECL (CNY)]]*Port[[#This Row],[CNY -&gt; FCY]]</f>
        <v>29871.978111044671</v>
      </c>
      <c r="AC146" s="507">
        <f>Port[[#This Row],[ECL_Interest (CNY)]]*Port[[#This Row],[CNY -&gt; FCY]]</f>
        <v>31.147671717940014</v>
      </c>
      <c r="AD146" s="507">
        <f>Port[[#This Row],[EAD_Drawn (CNY)]]*Port[[#This Row],[CNY -&gt; THB]]</f>
        <v>8492068.7394479997</v>
      </c>
      <c r="AE146" s="507">
        <f>Port[[#This Row],[EAD_Undrawn (CNY)]]*Port[[#This Row],[CNY -&gt; THB]]</f>
        <v>0</v>
      </c>
      <c r="AF146" s="507">
        <f>Port[[#This Row],[EAD (CNY)]]*Port[[#This Row],[CNY -&gt; THB]]</f>
        <v>8492068.7394479997</v>
      </c>
      <c r="AG146" s="507">
        <f>Port[[#This Row],[EAD_Interest (CNY)]]*Port[[#This Row],[CNY -&gt; THB]]</f>
        <v>8854.7255999999998</v>
      </c>
      <c r="AH146" s="507">
        <f>Port[[#This Row],[ECL_Drawn (CNY)]]*Port[[#This Row],[CNY -&gt; THB]]</f>
        <v>156792.03870925127</v>
      </c>
      <c r="AI146" s="507">
        <f>Port[[#This Row],[ECL_Undrawn (CNY)]]*Port[[#This Row],[CNY -&gt; THB]]</f>
        <v>0</v>
      </c>
      <c r="AJ146" s="507">
        <f>Port[[#This Row],[ECL (CNY)]]*Port[[#This Row],[CNY -&gt; THB]]</f>
        <v>156792.03870925127</v>
      </c>
      <c r="AK146" s="507">
        <f>Port[[#This Row],[ECL_Interest (CNY)]]*Port[[#This Row],[CNY -&gt; THB]]</f>
        <v>163.48789931312356</v>
      </c>
      <c r="AL146" s="507">
        <f>Port[[#This Row],[EAD (THB)]]*Port[[#This Row],[PD_avg]]</f>
        <v>174213.37634361253</v>
      </c>
      <c r="AM146" s="507">
        <f>Port[[#This Row],[EAD_Interest (THB)]]*Port[[#This Row],[PD_avg]]</f>
        <v>181.65322145902613</v>
      </c>
      <c r="AN146" s="507">
        <f>Port[[#This Row],[EAD (THB)]]*Port[[#This Row],[LGD_avg]]</f>
        <v>7642861.8655031994</v>
      </c>
      <c r="AO146" s="507">
        <f>Port[[#This Row],[EAD_Interest (THB)]]*Port[[#This Row],[LGD_avg]]</f>
        <v>7969.2530399999987</v>
      </c>
      <c r="AP146" s="507">
        <f>Port[[#This Row],[EAD_Drawn (THB)]]+Port[[#This Row],[EAD_Interest (THB)]]</f>
        <v>8500923.4650480002</v>
      </c>
      <c r="AQ1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127381.03109172</v>
      </c>
      <c r="AR146" s="522">
        <f>MAX(Port[[#This Row],[ECL (THB)]]+Port[[#This Row],[ECL_Interest (THB)]], Port[[#This Row],[ECL CBIRC (THB)]])</f>
        <v>156955.5266085644</v>
      </c>
    </row>
    <row r="147" spans="1:44">
      <c r="A147" s="2" t="s">
        <v>125</v>
      </c>
      <c r="B147" s="2" t="s">
        <v>124</v>
      </c>
      <c r="C147" s="2" t="s">
        <v>17</v>
      </c>
      <c r="D147" s="2" t="s">
        <v>25</v>
      </c>
      <c r="E147" s="2" t="s">
        <v>19</v>
      </c>
      <c r="F147" s="2" t="s">
        <v>20</v>
      </c>
      <c r="G147" s="2" t="s">
        <v>21</v>
      </c>
      <c r="H147">
        <v>1</v>
      </c>
      <c r="I147" s="2" t="s">
        <v>526</v>
      </c>
      <c r="J147" s="505">
        <v>1.3043899345507868E-2</v>
      </c>
      <c r="K147" s="505">
        <v>0.9</v>
      </c>
      <c r="L147" s="3">
        <v>1</v>
      </c>
      <c r="M147" s="3">
        <v>5.2488000000000001</v>
      </c>
      <c r="N147" s="507">
        <v>148883.38</v>
      </c>
      <c r="O147" s="507">
        <v>0</v>
      </c>
      <c r="P147" s="507">
        <v>148883.38</v>
      </c>
      <c r="Q147" s="507">
        <v>1013.65</v>
      </c>
      <c r="R147" s="507">
        <v>1747.8178406450993</v>
      </c>
      <c r="S147" s="507">
        <v>0</v>
      </c>
      <c r="T147" s="507">
        <v>1747.8178406450993</v>
      </c>
      <c r="U147" s="507">
        <v>11.899753714416645</v>
      </c>
      <c r="V147" s="507">
        <f>Port[[#This Row],[EAD_Drawn (CNY)]]*Port[[#This Row],[CNY -&gt; FCY]]</f>
        <v>148883.38</v>
      </c>
      <c r="W147" s="507">
        <f>Port[[#This Row],[EAD_Undrawn (CNY)]]*Port[[#This Row],[CNY -&gt; FCY]]</f>
        <v>0</v>
      </c>
      <c r="X147" s="507">
        <f>Port[[#This Row],[EAD (CNY)]]*Port[[#This Row],[CNY -&gt; FCY]]</f>
        <v>148883.38</v>
      </c>
      <c r="Y147" s="507">
        <f>Port[[#This Row],[EAD_Interest (CNY)]]*Port[[#This Row],[CNY -&gt; FCY]]</f>
        <v>1013.65</v>
      </c>
      <c r="Z147" s="507">
        <f>Port[[#This Row],[ECL_Drawn (CNY)]]*Port[[#This Row],[CNY -&gt; FCY]]</f>
        <v>1747.8178406450993</v>
      </c>
      <c r="AA147" s="507">
        <f>Port[[#This Row],[ECL_Undrawn (CNY)]]*Port[[#This Row],[CNY -&gt; FCY]]</f>
        <v>0</v>
      </c>
      <c r="AB147" s="507">
        <f>Port[[#This Row],[ECL (CNY)]]*Port[[#This Row],[CNY -&gt; FCY]]</f>
        <v>1747.8178406450993</v>
      </c>
      <c r="AC147" s="507">
        <f>Port[[#This Row],[ECL_Interest (CNY)]]*Port[[#This Row],[CNY -&gt; FCY]]</f>
        <v>11.899753714416645</v>
      </c>
      <c r="AD147" s="507">
        <f>Port[[#This Row],[EAD_Drawn (CNY)]]*Port[[#This Row],[CNY -&gt; THB]]</f>
        <v>781459.084944</v>
      </c>
      <c r="AE147" s="507">
        <f>Port[[#This Row],[EAD_Undrawn (CNY)]]*Port[[#This Row],[CNY -&gt; THB]]</f>
        <v>0</v>
      </c>
      <c r="AF147" s="507">
        <f>Port[[#This Row],[EAD (CNY)]]*Port[[#This Row],[CNY -&gt; THB]]</f>
        <v>781459.084944</v>
      </c>
      <c r="AG147" s="507">
        <f>Port[[#This Row],[EAD_Interest (CNY)]]*Port[[#This Row],[CNY -&gt; THB]]</f>
        <v>5320.4461199999996</v>
      </c>
      <c r="AH147" s="507">
        <f>Port[[#This Row],[ECL_Drawn (CNY)]]*Port[[#This Row],[CNY -&gt; THB]]</f>
        <v>9173.9462819779983</v>
      </c>
      <c r="AI147" s="507">
        <f>Port[[#This Row],[ECL_Undrawn (CNY)]]*Port[[#This Row],[CNY -&gt; THB]]</f>
        <v>0</v>
      </c>
      <c r="AJ147" s="507">
        <f>Port[[#This Row],[ECL (CNY)]]*Port[[#This Row],[CNY -&gt; THB]]</f>
        <v>9173.9462819779983</v>
      </c>
      <c r="AK147" s="507">
        <f>Port[[#This Row],[ECL_Interest (CNY)]]*Port[[#This Row],[CNY -&gt; THB]]</f>
        <v>62.459427296230089</v>
      </c>
      <c r="AL147" s="507">
        <f>Port[[#This Row],[EAD (THB)]]*Port[[#This Row],[PD_avg]]</f>
        <v>10193.273646642219</v>
      </c>
      <c r="AM147" s="507">
        <f>Port[[#This Row],[EAD_Interest (THB)]]*Port[[#This Row],[PD_avg]]</f>
        <v>69.399363662477867</v>
      </c>
      <c r="AN147" s="507">
        <f>Port[[#This Row],[EAD (THB)]]*Port[[#This Row],[LGD_avg]]</f>
        <v>703313.17644960003</v>
      </c>
      <c r="AO147" s="507">
        <f>Port[[#This Row],[EAD_Interest (THB)]]*Port[[#This Row],[LGD_avg]]</f>
        <v>4788.4015079999999</v>
      </c>
      <c r="AP147" s="507">
        <f>Port[[#This Row],[EAD_Drawn (THB)]]+Port[[#This Row],[EAD_Interest (THB)]]</f>
        <v>786779.53106399998</v>
      </c>
      <c r="AQ1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11721.886274159999</v>
      </c>
      <c r="AR147" s="522">
        <f>MAX(Port[[#This Row],[ECL (THB)]]+Port[[#This Row],[ECL_Interest (THB)]], Port[[#This Row],[ECL CBIRC (THB)]])</f>
        <v>11721.886274159999</v>
      </c>
    </row>
    <row r="148" spans="1:44">
      <c r="A148" s="2" t="s">
        <v>126</v>
      </c>
      <c r="B148" s="2" t="s">
        <v>124</v>
      </c>
      <c r="C148" s="2" t="s">
        <v>17</v>
      </c>
      <c r="D148" s="2" t="s">
        <v>25</v>
      </c>
      <c r="E148" s="2" t="s">
        <v>19</v>
      </c>
      <c r="F148" s="2" t="s">
        <v>20</v>
      </c>
      <c r="G148" s="2" t="s">
        <v>21</v>
      </c>
      <c r="H148">
        <v>1</v>
      </c>
      <c r="I148" s="2" t="s">
        <v>526</v>
      </c>
      <c r="J148" s="505">
        <v>1.3043899345507868E-2</v>
      </c>
      <c r="K148" s="505">
        <v>0.9</v>
      </c>
      <c r="L148" s="3">
        <v>1</v>
      </c>
      <c r="M148" s="3">
        <v>5.2488000000000001</v>
      </c>
      <c r="N148" s="507">
        <v>285359.77</v>
      </c>
      <c r="O148" s="507">
        <v>0</v>
      </c>
      <c r="P148" s="507">
        <v>285359.77</v>
      </c>
      <c r="Q148" s="507">
        <v>1942.82</v>
      </c>
      <c r="R148" s="507">
        <v>3349.9837054235486</v>
      </c>
      <c r="S148" s="507">
        <v>0</v>
      </c>
      <c r="T148" s="507">
        <v>3349.9837054235486</v>
      </c>
      <c r="U148" s="507">
        <v>22.807753673795638</v>
      </c>
      <c r="V148" s="507">
        <f>Port[[#This Row],[EAD_Drawn (CNY)]]*Port[[#This Row],[CNY -&gt; FCY]]</f>
        <v>285359.77</v>
      </c>
      <c r="W148" s="507">
        <f>Port[[#This Row],[EAD_Undrawn (CNY)]]*Port[[#This Row],[CNY -&gt; FCY]]</f>
        <v>0</v>
      </c>
      <c r="X148" s="507">
        <f>Port[[#This Row],[EAD (CNY)]]*Port[[#This Row],[CNY -&gt; FCY]]</f>
        <v>285359.77</v>
      </c>
      <c r="Y148" s="507">
        <f>Port[[#This Row],[EAD_Interest (CNY)]]*Port[[#This Row],[CNY -&gt; FCY]]</f>
        <v>1942.82</v>
      </c>
      <c r="Z148" s="507">
        <f>Port[[#This Row],[ECL_Drawn (CNY)]]*Port[[#This Row],[CNY -&gt; FCY]]</f>
        <v>3349.9837054235486</v>
      </c>
      <c r="AA148" s="507">
        <f>Port[[#This Row],[ECL_Undrawn (CNY)]]*Port[[#This Row],[CNY -&gt; FCY]]</f>
        <v>0</v>
      </c>
      <c r="AB148" s="507">
        <f>Port[[#This Row],[ECL (CNY)]]*Port[[#This Row],[CNY -&gt; FCY]]</f>
        <v>3349.9837054235486</v>
      </c>
      <c r="AC148" s="507">
        <f>Port[[#This Row],[ECL_Interest (CNY)]]*Port[[#This Row],[CNY -&gt; FCY]]</f>
        <v>22.807753673795638</v>
      </c>
      <c r="AD148" s="507">
        <f>Port[[#This Row],[EAD_Drawn (CNY)]]*Port[[#This Row],[CNY -&gt; THB]]</f>
        <v>1497796.3607760002</v>
      </c>
      <c r="AE148" s="507">
        <f>Port[[#This Row],[EAD_Undrawn (CNY)]]*Port[[#This Row],[CNY -&gt; THB]]</f>
        <v>0</v>
      </c>
      <c r="AF148" s="507">
        <f>Port[[#This Row],[EAD (CNY)]]*Port[[#This Row],[CNY -&gt; THB]]</f>
        <v>1497796.3607760002</v>
      </c>
      <c r="AG148" s="507">
        <f>Port[[#This Row],[EAD_Interest (CNY)]]*Port[[#This Row],[CNY -&gt; THB]]</f>
        <v>10197.473615999999</v>
      </c>
      <c r="AH148" s="507">
        <f>Port[[#This Row],[ECL_Drawn (CNY)]]*Port[[#This Row],[CNY -&gt; THB]]</f>
        <v>17583.394473027121</v>
      </c>
      <c r="AI148" s="507">
        <f>Port[[#This Row],[ECL_Undrawn (CNY)]]*Port[[#This Row],[CNY -&gt; THB]]</f>
        <v>0</v>
      </c>
      <c r="AJ148" s="507">
        <f>Port[[#This Row],[ECL (CNY)]]*Port[[#This Row],[CNY -&gt; THB]]</f>
        <v>17583.394473027121</v>
      </c>
      <c r="AK148" s="507">
        <f>Port[[#This Row],[ECL_Interest (CNY)]]*Port[[#This Row],[CNY -&gt; THB]]</f>
        <v>119.71333748301855</v>
      </c>
      <c r="AL148" s="507">
        <f>Port[[#This Row],[EAD (THB)]]*Port[[#This Row],[PD_avg]]</f>
        <v>19537.104970030137</v>
      </c>
      <c r="AM148" s="507">
        <f>Port[[#This Row],[EAD_Interest (THB)]]*Port[[#This Row],[PD_avg]]</f>
        <v>133.01481942557615</v>
      </c>
      <c r="AN148" s="507">
        <f>Port[[#This Row],[EAD (THB)]]*Port[[#This Row],[LGD_avg]]</f>
        <v>1348016.7246984001</v>
      </c>
      <c r="AO148" s="507">
        <f>Port[[#This Row],[EAD_Interest (THB)]]*Port[[#This Row],[LGD_avg]]</f>
        <v>9177.7262544000005</v>
      </c>
      <c r="AP148" s="507">
        <f>Port[[#This Row],[EAD_Drawn (THB)]]+Port[[#This Row],[EAD_Interest (THB)]]</f>
        <v>1507993.8343920002</v>
      </c>
      <c r="AQ1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22466.945411640001</v>
      </c>
      <c r="AR148" s="522">
        <f>MAX(Port[[#This Row],[ECL (THB)]]+Port[[#This Row],[ECL_Interest (THB)]], Port[[#This Row],[ECL CBIRC (THB)]])</f>
        <v>22466.945411640001</v>
      </c>
    </row>
    <row r="149" spans="1:44">
      <c r="A149" s="2" t="s">
        <v>127</v>
      </c>
      <c r="B149" s="2" t="s">
        <v>124</v>
      </c>
      <c r="C149" s="2" t="s">
        <v>17</v>
      </c>
      <c r="D149" s="2" t="s">
        <v>25</v>
      </c>
      <c r="E149" s="2" t="s">
        <v>19</v>
      </c>
      <c r="F149" s="2" t="s">
        <v>20</v>
      </c>
      <c r="G149" s="2" t="s">
        <v>21</v>
      </c>
      <c r="H149">
        <v>1</v>
      </c>
      <c r="I149" s="2" t="s">
        <v>526</v>
      </c>
      <c r="J149" s="505">
        <v>1.3043899345507868E-2</v>
      </c>
      <c r="K149" s="505">
        <v>0.89999999999999991</v>
      </c>
      <c r="L149" s="3">
        <v>1</v>
      </c>
      <c r="M149" s="3">
        <v>5.2488000000000001</v>
      </c>
      <c r="N149" s="507">
        <v>297766.74</v>
      </c>
      <c r="O149" s="507">
        <v>0</v>
      </c>
      <c r="P149" s="507">
        <v>297766.74</v>
      </c>
      <c r="Q149" s="507">
        <v>612.9</v>
      </c>
      <c r="R149" s="507">
        <v>3495.6354465000104</v>
      </c>
      <c r="S149" s="507">
        <v>0</v>
      </c>
      <c r="T149" s="507">
        <v>3495.6354465000104</v>
      </c>
      <c r="U149" s="507">
        <v>7.1951453179755962</v>
      </c>
      <c r="V149" s="507">
        <f>Port[[#This Row],[EAD_Drawn (CNY)]]*Port[[#This Row],[CNY -&gt; FCY]]</f>
        <v>297766.74</v>
      </c>
      <c r="W149" s="507">
        <f>Port[[#This Row],[EAD_Undrawn (CNY)]]*Port[[#This Row],[CNY -&gt; FCY]]</f>
        <v>0</v>
      </c>
      <c r="X149" s="507">
        <f>Port[[#This Row],[EAD (CNY)]]*Port[[#This Row],[CNY -&gt; FCY]]</f>
        <v>297766.74</v>
      </c>
      <c r="Y149" s="507">
        <f>Port[[#This Row],[EAD_Interest (CNY)]]*Port[[#This Row],[CNY -&gt; FCY]]</f>
        <v>612.9</v>
      </c>
      <c r="Z149" s="507">
        <f>Port[[#This Row],[ECL_Drawn (CNY)]]*Port[[#This Row],[CNY -&gt; FCY]]</f>
        <v>3495.6354465000104</v>
      </c>
      <c r="AA149" s="507">
        <f>Port[[#This Row],[ECL_Undrawn (CNY)]]*Port[[#This Row],[CNY -&gt; FCY]]</f>
        <v>0</v>
      </c>
      <c r="AB149" s="507">
        <f>Port[[#This Row],[ECL (CNY)]]*Port[[#This Row],[CNY -&gt; FCY]]</f>
        <v>3495.6354465000104</v>
      </c>
      <c r="AC149" s="507">
        <f>Port[[#This Row],[ECL_Interest (CNY)]]*Port[[#This Row],[CNY -&gt; FCY]]</f>
        <v>7.1951453179755962</v>
      </c>
      <c r="AD149" s="507">
        <f>Port[[#This Row],[EAD_Drawn (CNY)]]*Port[[#This Row],[CNY -&gt; THB]]</f>
        <v>1562918.064912</v>
      </c>
      <c r="AE149" s="507">
        <f>Port[[#This Row],[EAD_Undrawn (CNY)]]*Port[[#This Row],[CNY -&gt; THB]]</f>
        <v>0</v>
      </c>
      <c r="AF149" s="507">
        <f>Port[[#This Row],[EAD (CNY)]]*Port[[#This Row],[CNY -&gt; THB]]</f>
        <v>1562918.064912</v>
      </c>
      <c r="AG149" s="507">
        <f>Port[[#This Row],[EAD_Interest (CNY)]]*Port[[#This Row],[CNY -&gt; THB]]</f>
        <v>3216.9895200000001</v>
      </c>
      <c r="AH149" s="507">
        <f>Port[[#This Row],[ECL_Drawn (CNY)]]*Port[[#This Row],[CNY -&gt; THB]]</f>
        <v>18347.891331589257</v>
      </c>
      <c r="AI149" s="507">
        <f>Port[[#This Row],[ECL_Undrawn (CNY)]]*Port[[#This Row],[CNY -&gt; THB]]</f>
        <v>0</v>
      </c>
      <c r="AJ149" s="507">
        <f>Port[[#This Row],[ECL (CNY)]]*Port[[#This Row],[CNY -&gt; THB]]</f>
        <v>18347.891331589257</v>
      </c>
      <c r="AK149" s="507">
        <f>Port[[#This Row],[ECL_Interest (CNY)]]*Port[[#This Row],[CNY -&gt; THB]]</f>
        <v>37.76587874499031</v>
      </c>
      <c r="AL149" s="507">
        <f>Port[[#This Row],[EAD (THB)]]*Port[[#This Row],[PD_avg]]</f>
        <v>20386.545923988062</v>
      </c>
      <c r="AM149" s="507">
        <f>Port[[#This Row],[EAD_Interest (THB)]]*Port[[#This Row],[PD_avg]]</f>
        <v>41.962087494433675</v>
      </c>
      <c r="AN149" s="507">
        <f>Port[[#This Row],[EAD (THB)]]*Port[[#This Row],[LGD_avg]]</f>
        <v>1406626.2584207999</v>
      </c>
      <c r="AO149" s="507">
        <f>Port[[#This Row],[EAD_Interest (THB)]]*Port[[#This Row],[LGD_avg]]</f>
        <v>2895.2905679999999</v>
      </c>
      <c r="AP149" s="507">
        <f>Port[[#This Row],[EAD_Drawn (THB)]]+Port[[#This Row],[EAD_Interest (THB)]]</f>
        <v>1566135.054432</v>
      </c>
      <c r="AQ1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23443.770973679999</v>
      </c>
      <c r="AR149" s="522">
        <f>MAX(Port[[#This Row],[ECL (THB)]]+Port[[#This Row],[ECL_Interest (THB)]], Port[[#This Row],[ECL CBIRC (THB)]])</f>
        <v>23443.770973679999</v>
      </c>
    </row>
    <row r="150" spans="1:44">
      <c r="A150" s="2" t="s">
        <v>128</v>
      </c>
      <c r="B150" s="2" t="s">
        <v>124</v>
      </c>
      <c r="C150" s="2" t="s">
        <v>17</v>
      </c>
      <c r="D150" s="2" t="s">
        <v>25</v>
      </c>
      <c r="E150" s="2" t="s">
        <v>19</v>
      </c>
      <c r="F150" s="2" t="s">
        <v>20</v>
      </c>
      <c r="G150" s="2" t="s">
        <v>21</v>
      </c>
      <c r="H150">
        <v>1</v>
      </c>
      <c r="I150" s="2" t="s">
        <v>526</v>
      </c>
      <c r="J150" s="505">
        <v>1.3043899345507868E-2</v>
      </c>
      <c r="K150" s="505">
        <v>0.9</v>
      </c>
      <c r="L150" s="3">
        <v>1</v>
      </c>
      <c r="M150" s="3">
        <v>5.2488000000000001</v>
      </c>
      <c r="N150" s="507">
        <v>173697.25</v>
      </c>
      <c r="O150" s="507">
        <v>0</v>
      </c>
      <c r="P150" s="507">
        <v>173697.25</v>
      </c>
      <c r="Q150" s="507">
        <v>2035.15</v>
      </c>
      <c r="R150" s="507">
        <v>2039.1205010323652</v>
      </c>
      <c r="S150" s="507">
        <v>0</v>
      </c>
      <c r="T150" s="507">
        <v>2039.1205010323652</v>
      </c>
      <c r="U150" s="507">
        <v>23.891662577709308</v>
      </c>
      <c r="V150" s="507">
        <f>Port[[#This Row],[EAD_Drawn (CNY)]]*Port[[#This Row],[CNY -&gt; FCY]]</f>
        <v>173697.25</v>
      </c>
      <c r="W150" s="507">
        <f>Port[[#This Row],[EAD_Undrawn (CNY)]]*Port[[#This Row],[CNY -&gt; FCY]]</f>
        <v>0</v>
      </c>
      <c r="X150" s="507">
        <f>Port[[#This Row],[EAD (CNY)]]*Port[[#This Row],[CNY -&gt; FCY]]</f>
        <v>173697.25</v>
      </c>
      <c r="Y150" s="507">
        <f>Port[[#This Row],[EAD_Interest (CNY)]]*Port[[#This Row],[CNY -&gt; FCY]]</f>
        <v>2035.15</v>
      </c>
      <c r="Z150" s="507">
        <f>Port[[#This Row],[ECL_Drawn (CNY)]]*Port[[#This Row],[CNY -&gt; FCY]]</f>
        <v>2039.1205010323652</v>
      </c>
      <c r="AA150" s="507">
        <f>Port[[#This Row],[ECL_Undrawn (CNY)]]*Port[[#This Row],[CNY -&gt; FCY]]</f>
        <v>0</v>
      </c>
      <c r="AB150" s="507">
        <f>Port[[#This Row],[ECL (CNY)]]*Port[[#This Row],[CNY -&gt; FCY]]</f>
        <v>2039.1205010323652</v>
      </c>
      <c r="AC150" s="507">
        <f>Port[[#This Row],[ECL_Interest (CNY)]]*Port[[#This Row],[CNY -&gt; FCY]]</f>
        <v>23.891662577709308</v>
      </c>
      <c r="AD150" s="507">
        <f>Port[[#This Row],[EAD_Drawn (CNY)]]*Port[[#This Row],[CNY -&gt; THB]]</f>
        <v>911702.12580000004</v>
      </c>
      <c r="AE150" s="507">
        <f>Port[[#This Row],[EAD_Undrawn (CNY)]]*Port[[#This Row],[CNY -&gt; THB]]</f>
        <v>0</v>
      </c>
      <c r="AF150" s="507">
        <f>Port[[#This Row],[EAD (CNY)]]*Port[[#This Row],[CNY -&gt; THB]]</f>
        <v>911702.12580000004</v>
      </c>
      <c r="AG150" s="507">
        <f>Port[[#This Row],[EAD_Interest (CNY)]]*Port[[#This Row],[CNY -&gt; THB]]</f>
        <v>10682.09532</v>
      </c>
      <c r="AH150" s="507">
        <f>Port[[#This Row],[ECL_Drawn (CNY)]]*Port[[#This Row],[CNY -&gt; THB]]</f>
        <v>10702.935685818678</v>
      </c>
      <c r="AI150" s="507">
        <f>Port[[#This Row],[ECL_Undrawn (CNY)]]*Port[[#This Row],[CNY -&gt; THB]]</f>
        <v>0</v>
      </c>
      <c r="AJ150" s="507">
        <f>Port[[#This Row],[ECL (CNY)]]*Port[[#This Row],[CNY -&gt; THB]]</f>
        <v>10702.935685818678</v>
      </c>
      <c r="AK150" s="507">
        <f>Port[[#This Row],[ECL_Interest (CNY)]]*Port[[#This Row],[CNY -&gt; THB]]</f>
        <v>125.40255853788062</v>
      </c>
      <c r="AL150" s="507">
        <f>Port[[#This Row],[EAD (THB)]]*Port[[#This Row],[PD_avg]]</f>
        <v>11892.150762020752</v>
      </c>
      <c r="AM150" s="507">
        <f>Port[[#This Row],[EAD_Interest (THB)]]*Port[[#This Row],[PD_avg]]</f>
        <v>139.33617615320065</v>
      </c>
      <c r="AN150" s="507">
        <f>Port[[#This Row],[EAD (THB)]]*Port[[#This Row],[LGD_avg]]</f>
        <v>820531.9132200001</v>
      </c>
      <c r="AO150" s="507">
        <f>Port[[#This Row],[EAD_Interest (THB)]]*Port[[#This Row],[LGD_avg]]</f>
        <v>9613.8857880000014</v>
      </c>
      <c r="AP150" s="507">
        <f>Port[[#This Row],[EAD_Drawn (THB)]]+Port[[#This Row],[EAD_Interest (THB)]]</f>
        <v>922384.22112</v>
      </c>
      <c r="AQ1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13675.531886999999</v>
      </c>
      <c r="AR150" s="522">
        <f>MAX(Port[[#This Row],[ECL (THB)]]+Port[[#This Row],[ECL_Interest (THB)]], Port[[#This Row],[ECL CBIRC (THB)]])</f>
        <v>13675.531886999999</v>
      </c>
    </row>
    <row r="151" spans="1:44">
      <c r="A151" s="2" t="s">
        <v>129</v>
      </c>
      <c r="B151" s="2" t="s">
        <v>124</v>
      </c>
      <c r="C151" s="2" t="s">
        <v>17</v>
      </c>
      <c r="D151" s="2" t="s">
        <v>25</v>
      </c>
      <c r="E151" s="2" t="s">
        <v>19</v>
      </c>
      <c r="F151" s="2" t="s">
        <v>20</v>
      </c>
      <c r="G151" s="2" t="s">
        <v>21</v>
      </c>
      <c r="H151">
        <v>1</v>
      </c>
      <c r="I151" s="2" t="s">
        <v>526</v>
      </c>
      <c r="J151" s="505">
        <v>1.3043899345507868E-2</v>
      </c>
      <c r="K151" s="505">
        <v>0.90000000000000024</v>
      </c>
      <c r="L151" s="3">
        <v>1</v>
      </c>
      <c r="M151" s="3">
        <v>5.2488000000000001</v>
      </c>
      <c r="N151" s="507">
        <v>1091811.42</v>
      </c>
      <c r="O151" s="507">
        <v>0</v>
      </c>
      <c r="P151" s="507">
        <v>1091811.42</v>
      </c>
      <c r="Q151" s="507">
        <v>12792.39</v>
      </c>
      <c r="R151" s="507">
        <v>12817.330440080415</v>
      </c>
      <c r="S151" s="507">
        <v>0</v>
      </c>
      <c r="T151" s="507">
        <v>12817.330440080415</v>
      </c>
      <c r="U151" s="507">
        <v>150.17638279363325</v>
      </c>
      <c r="V151" s="507">
        <f>Port[[#This Row],[EAD_Drawn (CNY)]]*Port[[#This Row],[CNY -&gt; FCY]]</f>
        <v>1091811.42</v>
      </c>
      <c r="W151" s="507">
        <f>Port[[#This Row],[EAD_Undrawn (CNY)]]*Port[[#This Row],[CNY -&gt; FCY]]</f>
        <v>0</v>
      </c>
      <c r="X151" s="507">
        <f>Port[[#This Row],[EAD (CNY)]]*Port[[#This Row],[CNY -&gt; FCY]]</f>
        <v>1091811.42</v>
      </c>
      <c r="Y151" s="507">
        <f>Port[[#This Row],[EAD_Interest (CNY)]]*Port[[#This Row],[CNY -&gt; FCY]]</f>
        <v>12792.39</v>
      </c>
      <c r="Z151" s="507">
        <f>Port[[#This Row],[ECL_Drawn (CNY)]]*Port[[#This Row],[CNY -&gt; FCY]]</f>
        <v>12817.330440080415</v>
      </c>
      <c r="AA151" s="507">
        <f>Port[[#This Row],[ECL_Undrawn (CNY)]]*Port[[#This Row],[CNY -&gt; FCY]]</f>
        <v>0</v>
      </c>
      <c r="AB151" s="507">
        <f>Port[[#This Row],[ECL (CNY)]]*Port[[#This Row],[CNY -&gt; FCY]]</f>
        <v>12817.330440080415</v>
      </c>
      <c r="AC151" s="507">
        <f>Port[[#This Row],[ECL_Interest (CNY)]]*Port[[#This Row],[CNY -&gt; FCY]]</f>
        <v>150.17638279363325</v>
      </c>
      <c r="AD151" s="507">
        <f>Port[[#This Row],[EAD_Drawn (CNY)]]*Port[[#This Row],[CNY -&gt; THB]]</f>
        <v>5730699.7812959999</v>
      </c>
      <c r="AE151" s="507">
        <f>Port[[#This Row],[EAD_Undrawn (CNY)]]*Port[[#This Row],[CNY -&gt; THB]]</f>
        <v>0</v>
      </c>
      <c r="AF151" s="507">
        <f>Port[[#This Row],[EAD (CNY)]]*Port[[#This Row],[CNY -&gt; THB]]</f>
        <v>5730699.7812959999</v>
      </c>
      <c r="AG151" s="507">
        <f>Port[[#This Row],[EAD_Interest (CNY)]]*Port[[#This Row],[CNY -&gt; THB]]</f>
        <v>67144.696631999992</v>
      </c>
      <c r="AH151" s="507">
        <f>Port[[#This Row],[ECL_Drawn (CNY)]]*Port[[#This Row],[CNY -&gt; THB]]</f>
        <v>67275.604013894088</v>
      </c>
      <c r="AI151" s="507">
        <f>Port[[#This Row],[ECL_Undrawn (CNY)]]*Port[[#This Row],[CNY -&gt; THB]]</f>
        <v>0</v>
      </c>
      <c r="AJ151" s="507">
        <f>Port[[#This Row],[ECL (CNY)]]*Port[[#This Row],[CNY -&gt; THB]]</f>
        <v>67275.604013894088</v>
      </c>
      <c r="AK151" s="507">
        <f>Port[[#This Row],[ECL_Interest (CNY)]]*Port[[#This Row],[CNY -&gt; THB]]</f>
        <v>788.24579800722222</v>
      </c>
      <c r="AL151" s="507">
        <f>Port[[#This Row],[EAD (THB)]]*Port[[#This Row],[PD_avg]]</f>
        <v>74750.671126548972</v>
      </c>
      <c r="AM151" s="507">
        <f>Port[[#This Row],[EAD_Interest (THB)]]*Port[[#This Row],[PD_avg]]</f>
        <v>875.82866445246907</v>
      </c>
      <c r="AN151" s="507">
        <f>Port[[#This Row],[EAD (THB)]]*Port[[#This Row],[LGD_avg]]</f>
        <v>5157629.8031664016</v>
      </c>
      <c r="AO151" s="507">
        <f>Port[[#This Row],[EAD_Interest (THB)]]*Port[[#This Row],[LGD_avg]]</f>
        <v>60430.226968800009</v>
      </c>
      <c r="AP151" s="507">
        <f>Port[[#This Row],[EAD_Drawn (THB)]]+Port[[#This Row],[EAD_Interest (THB)]]</f>
        <v>5797844.4779279996</v>
      </c>
      <c r="AQ1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85960.496719439994</v>
      </c>
      <c r="AR151" s="522">
        <f>MAX(Port[[#This Row],[ECL (THB)]]+Port[[#This Row],[ECL_Interest (THB)]], Port[[#This Row],[ECL CBIRC (THB)]])</f>
        <v>85960.496719439994</v>
      </c>
    </row>
    <row r="152" spans="1:44">
      <c r="A152" s="2" t="s">
        <v>130</v>
      </c>
      <c r="B152" s="2" t="s">
        <v>131</v>
      </c>
      <c r="C152" s="2" t="s">
        <v>17</v>
      </c>
      <c r="D152" s="2" t="s">
        <v>25</v>
      </c>
      <c r="E152" s="2" t="s">
        <v>19</v>
      </c>
      <c r="F152" s="2" t="s">
        <v>20</v>
      </c>
      <c r="G152" s="2" t="s">
        <v>21</v>
      </c>
      <c r="H152">
        <v>1</v>
      </c>
      <c r="I152" s="2" t="s">
        <v>526</v>
      </c>
      <c r="J152" s="505">
        <v>5.2260409683794924E-3</v>
      </c>
      <c r="K152" s="505">
        <v>0.89999999999999991</v>
      </c>
      <c r="L152" s="3">
        <v>1</v>
      </c>
      <c r="M152" s="3">
        <v>5.2488000000000001</v>
      </c>
      <c r="N152" s="507">
        <v>31080332.399999999</v>
      </c>
      <c r="O152" s="507">
        <v>0</v>
      </c>
      <c r="P152" s="507">
        <v>31080332.399999999</v>
      </c>
      <c r="Q152" s="507">
        <v>136753.46</v>
      </c>
      <c r="R152" s="507">
        <v>146184.38138992726</v>
      </c>
      <c r="S152" s="507">
        <v>0</v>
      </c>
      <c r="T152" s="507">
        <v>146184.38138992726</v>
      </c>
      <c r="U152" s="507">
        <v>643.21126607488156</v>
      </c>
      <c r="V152" s="507">
        <f>Port[[#This Row],[EAD_Drawn (CNY)]]*Port[[#This Row],[CNY -&gt; FCY]]</f>
        <v>31080332.399999999</v>
      </c>
      <c r="W152" s="507">
        <f>Port[[#This Row],[EAD_Undrawn (CNY)]]*Port[[#This Row],[CNY -&gt; FCY]]</f>
        <v>0</v>
      </c>
      <c r="X152" s="507">
        <f>Port[[#This Row],[EAD (CNY)]]*Port[[#This Row],[CNY -&gt; FCY]]</f>
        <v>31080332.399999999</v>
      </c>
      <c r="Y152" s="507">
        <f>Port[[#This Row],[EAD_Interest (CNY)]]*Port[[#This Row],[CNY -&gt; FCY]]</f>
        <v>136753.46</v>
      </c>
      <c r="Z152" s="507">
        <f>Port[[#This Row],[ECL_Drawn (CNY)]]*Port[[#This Row],[CNY -&gt; FCY]]</f>
        <v>146184.38138992726</v>
      </c>
      <c r="AA152" s="507">
        <f>Port[[#This Row],[ECL_Undrawn (CNY)]]*Port[[#This Row],[CNY -&gt; FCY]]</f>
        <v>0</v>
      </c>
      <c r="AB152" s="507">
        <f>Port[[#This Row],[ECL (CNY)]]*Port[[#This Row],[CNY -&gt; FCY]]</f>
        <v>146184.38138992726</v>
      </c>
      <c r="AC152" s="507">
        <f>Port[[#This Row],[ECL_Interest (CNY)]]*Port[[#This Row],[CNY -&gt; FCY]]</f>
        <v>643.21126607488156</v>
      </c>
      <c r="AD152" s="507">
        <f>Port[[#This Row],[EAD_Drawn (CNY)]]*Port[[#This Row],[CNY -&gt; THB]]</f>
        <v>163134448.70111999</v>
      </c>
      <c r="AE152" s="507">
        <f>Port[[#This Row],[EAD_Undrawn (CNY)]]*Port[[#This Row],[CNY -&gt; THB]]</f>
        <v>0</v>
      </c>
      <c r="AF152" s="507">
        <f>Port[[#This Row],[EAD (CNY)]]*Port[[#This Row],[CNY -&gt; THB]]</f>
        <v>163134448.70111999</v>
      </c>
      <c r="AG152" s="507">
        <f>Port[[#This Row],[EAD_Interest (CNY)]]*Port[[#This Row],[CNY -&gt; THB]]</f>
        <v>717791.56084799999</v>
      </c>
      <c r="AH152" s="507">
        <f>Port[[#This Row],[ECL_Drawn (CNY)]]*Port[[#This Row],[CNY -&gt; THB]]</f>
        <v>767292.58103945025</v>
      </c>
      <c r="AI152" s="507">
        <f>Port[[#This Row],[ECL_Undrawn (CNY)]]*Port[[#This Row],[CNY -&gt; THB]]</f>
        <v>0</v>
      </c>
      <c r="AJ152" s="507">
        <f>Port[[#This Row],[ECL (CNY)]]*Port[[#This Row],[CNY -&gt; THB]]</f>
        <v>767292.58103945025</v>
      </c>
      <c r="AK152" s="507">
        <f>Port[[#This Row],[ECL_Interest (CNY)]]*Port[[#This Row],[CNY -&gt; THB]]</f>
        <v>3376.0872933738383</v>
      </c>
      <c r="AL152" s="507">
        <f>Port[[#This Row],[EAD (THB)]]*Port[[#This Row],[PD_avg]]</f>
        <v>852547.31226605573</v>
      </c>
      <c r="AM152" s="507">
        <f>Port[[#This Row],[EAD_Interest (THB)]]*Port[[#This Row],[PD_avg]]</f>
        <v>3751.2081037487092</v>
      </c>
      <c r="AN152" s="507">
        <f>Port[[#This Row],[EAD (THB)]]*Port[[#This Row],[LGD_avg]]</f>
        <v>146821003.83100799</v>
      </c>
      <c r="AO152" s="507">
        <f>Port[[#This Row],[EAD_Interest (THB)]]*Port[[#This Row],[LGD_avg]]</f>
        <v>646012.40476319997</v>
      </c>
      <c r="AP152" s="507">
        <f>Port[[#This Row],[EAD_Drawn (THB)]]+Port[[#This Row],[EAD_Interest (THB)]]</f>
        <v>163852240.26196799</v>
      </c>
      <c r="AQ1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2447016.7305167997</v>
      </c>
      <c r="AR152" s="522">
        <f>MAX(Port[[#This Row],[ECL (THB)]]+Port[[#This Row],[ECL_Interest (THB)]], Port[[#This Row],[ECL CBIRC (THB)]])</f>
        <v>2447016.7305167997</v>
      </c>
    </row>
    <row r="153" spans="1:44">
      <c r="A153" s="2" t="s">
        <v>132</v>
      </c>
      <c r="B153" s="2" t="s">
        <v>131</v>
      </c>
      <c r="C153" s="2" t="s">
        <v>17</v>
      </c>
      <c r="D153" s="2" t="s">
        <v>25</v>
      </c>
      <c r="E153" s="2" t="s">
        <v>19</v>
      </c>
      <c r="F153" s="2" t="s">
        <v>20</v>
      </c>
      <c r="G153" s="2" t="s">
        <v>21</v>
      </c>
      <c r="H153">
        <v>1</v>
      </c>
      <c r="I153" s="2" t="s">
        <v>526</v>
      </c>
      <c r="J153" s="505">
        <v>5.2260409683794924E-3</v>
      </c>
      <c r="K153" s="505">
        <v>0.89999999999999991</v>
      </c>
      <c r="L153" s="3">
        <v>1</v>
      </c>
      <c r="M153" s="3">
        <v>5.2488000000000001</v>
      </c>
      <c r="N153" s="507">
        <v>62419667.600000001</v>
      </c>
      <c r="O153" s="507">
        <v>0</v>
      </c>
      <c r="P153" s="507">
        <v>62419667.600000001</v>
      </c>
      <c r="Q153" s="507">
        <v>274646.53999999998</v>
      </c>
      <c r="R153" s="507">
        <v>293586.966099207</v>
      </c>
      <c r="S153" s="507">
        <v>0</v>
      </c>
      <c r="T153" s="507">
        <v>293586.966099207</v>
      </c>
      <c r="U153" s="507">
        <v>1291.7826628773091</v>
      </c>
      <c r="V153" s="507">
        <f>Port[[#This Row],[EAD_Drawn (CNY)]]*Port[[#This Row],[CNY -&gt; FCY]]</f>
        <v>62419667.600000001</v>
      </c>
      <c r="W153" s="507">
        <f>Port[[#This Row],[EAD_Undrawn (CNY)]]*Port[[#This Row],[CNY -&gt; FCY]]</f>
        <v>0</v>
      </c>
      <c r="X153" s="507">
        <f>Port[[#This Row],[EAD (CNY)]]*Port[[#This Row],[CNY -&gt; FCY]]</f>
        <v>62419667.600000001</v>
      </c>
      <c r="Y153" s="507">
        <f>Port[[#This Row],[EAD_Interest (CNY)]]*Port[[#This Row],[CNY -&gt; FCY]]</f>
        <v>274646.53999999998</v>
      </c>
      <c r="Z153" s="507">
        <f>Port[[#This Row],[ECL_Drawn (CNY)]]*Port[[#This Row],[CNY -&gt; FCY]]</f>
        <v>293586.966099207</v>
      </c>
      <c r="AA153" s="507">
        <f>Port[[#This Row],[ECL_Undrawn (CNY)]]*Port[[#This Row],[CNY -&gt; FCY]]</f>
        <v>0</v>
      </c>
      <c r="AB153" s="507">
        <f>Port[[#This Row],[ECL (CNY)]]*Port[[#This Row],[CNY -&gt; FCY]]</f>
        <v>293586.966099207</v>
      </c>
      <c r="AC153" s="507">
        <f>Port[[#This Row],[ECL_Interest (CNY)]]*Port[[#This Row],[CNY -&gt; FCY]]</f>
        <v>1291.7826628773091</v>
      </c>
      <c r="AD153" s="507">
        <f>Port[[#This Row],[EAD_Drawn (CNY)]]*Port[[#This Row],[CNY -&gt; THB]]</f>
        <v>327628351.29888004</v>
      </c>
      <c r="AE153" s="507">
        <f>Port[[#This Row],[EAD_Undrawn (CNY)]]*Port[[#This Row],[CNY -&gt; THB]]</f>
        <v>0</v>
      </c>
      <c r="AF153" s="507">
        <f>Port[[#This Row],[EAD (CNY)]]*Port[[#This Row],[CNY -&gt; THB]]</f>
        <v>327628351.29888004</v>
      </c>
      <c r="AG153" s="507">
        <f>Port[[#This Row],[EAD_Interest (CNY)]]*Port[[#This Row],[CNY -&gt; THB]]</f>
        <v>1441564.7591519998</v>
      </c>
      <c r="AH153" s="507">
        <f>Port[[#This Row],[ECL_Drawn (CNY)]]*Port[[#This Row],[CNY -&gt; THB]]</f>
        <v>1540979.2676615177</v>
      </c>
      <c r="AI153" s="507">
        <f>Port[[#This Row],[ECL_Undrawn (CNY)]]*Port[[#This Row],[CNY -&gt; THB]]</f>
        <v>0</v>
      </c>
      <c r="AJ153" s="507">
        <f>Port[[#This Row],[ECL (CNY)]]*Port[[#This Row],[CNY -&gt; THB]]</f>
        <v>1540979.2676615177</v>
      </c>
      <c r="AK153" s="507">
        <f>Port[[#This Row],[ECL_Interest (CNY)]]*Port[[#This Row],[CNY -&gt; THB]]</f>
        <v>6780.3088409104203</v>
      </c>
      <c r="AL153" s="507">
        <f>Port[[#This Row],[EAD (THB)]]*Port[[#This Row],[PD_avg]]</f>
        <v>1712199.1862905757</v>
      </c>
      <c r="AM153" s="507">
        <f>Port[[#This Row],[EAD_Interest (THB)]]*Port[[#This Row],[PD_avg]]</f>
        <v>7533.6764899004665</v>
      </c>
      <c r="AN153" s="507">
        <f>Port[[#This Row],[EAD (THB)]]*Port[[#This Row],[LGD_avg]]</f>
        <v>294865516.16899198</v>
      </c>
      <c r="AO153" s="507">
        <f>Port[[#This Row],[EAD_Interest (THB)]]*Port[[#This Row],[LGD_avg]]</f>
        <v>1297408.2832367998</v>
      </c>
      <c r="AP153" s="507">
        <f>Port[[#This Row],[EAD_Drawn (THB)]]+Port[[#This Row],[EAD_Interest (THB)]]</f>
        <v>329069916.05803204</v>
      </c>
      <c r="AQ1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4914425.2694832003</v>
      </c>
      <c r="AR153" s="522">
        <f>MAX(Port[[#This Row],[ECL (THB)]]+Port[[#This Row],[ECL_Interest (THB)]], Port[[#This Row],[ECL CBIRC (THB)]])</f>
        <v>4914425.2694832003</v>
      </c>
    </row>
    <row r="154" spans="1:44">
      <c r="A154" s="2" t="s">
        <v>134</v>
      </c>
      <c r="B154" s="2" t="s">
        <v>135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>
        <v>1</v>
      </c>
      <c r="I154" s="2" t="s">
        <v>526</v>
      </c>
      <c r="J154" s="505">
        <v>2.0514833509807026E-2</v>
      </c>
      <c r="K154" s="505">
        <v>0.9</v>
      </c>
      <c r="L154" s="3">
        <v>1</v>
      </c>
      <c r="M154" s="3">
        <v>5.2488000000000001</v>
      </c>
      <c r="N154" s="507">
        <v>97000000</v>
      </c>
      <c r="O154" s="507">
        <v>0</v>
      </c>
      <c r="P154" s="507">
        <v>97000000</v>
      </c>
      <c r="Q154" s="507">
        <v>84875</v>
      </c>
      <c r="R154" s="507">
        <v>1790944.9654061534</v>
      </c>
      <c r="S154" s="507">
        <v>0</v>
      </c>
      <c r="T154" s="507">
        <v>1790944.9654061534</v>
      </c>
      <c r="U154" s="507">
        <v>1567.0768447303844</v>
      </c>
      <c r="V154" s="507">
        <f>Port[[#This Row],[EAD_Drawn (CNY)]]*Port[[#This Row],[CNY -&gt; FCY]]</f>
        <v>97000000</v>
      </c>
      <c r="W154" s="507">
        <f>Port[[#This Row],[EAD_Undrawn (CNY)]]*Port[[#This Row],[CNY -&gt; FCY]]</f>
        <v>0</v>
      </c>
      <c r="X154" s="507">
        <f>Port[[#This Row],[EAD (CNY)]]*Port[[#This Row],[CNY -&gt; FCY]]</f>
        <v>97000000</v>
      </c>
      <c r="Y154" s="507">
        <f>Port[[#This Row],[EAD_Interest (CNY)]]*Port[[#This Row],[CNY -&gt; FCY]]</f>
        <v>84875</v>
      </c>
      <c r="Z154" s="507">
        <f>Port[[#This Row],[ECL_Drawn (CNY)]]*Port[[#This Row],[CNY -&gt; FCY]]</f>
        <v>1790944.9654061534</v>
      </c>
      <c r="AA154" s="507">
        <f>Port[[#This Row],[ECL_Undrawn (CNY)]]*Port[[#This Row],[CNY -&gt; FCY]]</f>
        <v>0</v>
      </c>
      <c r="AB154" s="507">
        <f>Port[[#This Row],[ECL (CNY)]]*Port[[#This Row],[CNY -&gt; FCY]]</f>
        <v>1790944.9654061534</v>
      </c>
      <c r="AC154" s="507">
        <f>Port[[#This Row],[ECL_Interest (CNY)]]*Port[[#This Row],[CNY -&gt; FCY]]</f>
        <v>1567.0768447303844</v>
      </c>
      <c r="AD154" s="507">
        <f>Port[[#This Row],[EAD_Drawn (CNY)]]*Port[[#This Row],[CNY -&gt; THB]]</f>
        <v>509133600</v>
      </c>
      <c r="AE154" s="507">
        <f>Port[[#This Row],[EAD_Undrawn (CNY)]]*Port[[#This Row],[CNY -&gt; THB]]</f>
        <v>0</v>
      </c>
      <c r="AF154" s="507">
        <f>Port[[#This Row],[EAD (CNY)]]*Port[[#This Row],[CNY -&gt; THB]]</f>
        <v>509133600</v>
      </c>
      <c r="AG154" s="507">
        <f>Port[[#This Row],[EAD_Interest (CNY)]]*Port[[#This Row],[CNY -&gt; THB]]</f>
        <v>445491.9</v>
      </c>
      <c r="AH154" s="507">
        <f>Port[[#This Row],[ECL_Drawn (CNY)]]*Port[[#This Row],[CNY -&gt; THB]]</f>
        <v>9400311.9344238173</v>
      </c>
      <c r="AI154" s="507">
        <f>Port[[#This Row],[ECL_Undrawn (CNY)]]*Port[[#This Row],[CNY -&gt; THB]]</f>
        <v>0</v>
      </c>
      <c r="AJ154" s="507">
        <f>Port[[#This Row],[ECL (CNY)]]*Port[[#This Row],[CNY -&gt; THB]]</f>
        <v>9400311.9344238173</v>
      </c>
      <c r="AK154" s="507">
        <f>Port[[#This Row],[ECL_Interest (CNY)]]*Port[[#This Row],[CNY -&gt; THB]]</f>
        <v>8225.2729426208425</v>
      </c>
      <c r="AL154" s="507">
        <f>Port[[#This Row],[EAD (THB)]]*Port[[#This Row],[PD_avg]]</f>
        <v>10444791.038248686</v>
      </c>
      <c r="AM154" s="507">
        <f>Port[[#This Row],[EAD_Interest (THB)]]*Port[[#This Row],[PD_avg]]</f>
        <v>9139.192158467602</v>
      </c>
      <c r="AN154" s="507">
        <f>Port[[#This Row],[EAD (THB)]]*Port[[#This Row],[LGD_avg]]</f>
        <v>458220240</v>
      </c>
      <c r="AO154" s="507">
        <f>Port[[#This Row],[EAD_Interest (THB)]]*Port[[#This Row],[LGD_avg]]</f>
        <v>400942.71</v>
      </c>
      <c r="AP154" s="507">
        <f>Port[[#This Row],[EAD_Drawn (THB)]]+Port[[#This Row],[EAD_Interest (THB)]]</f>
        <v>509579091.89999998</v>
      </c>
      <c r="AQ1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7637004</v>
      </c>
      <c r="AR154" s="522">
        <f>MAX(Port[[#This Row],[ECL (THB)]]+Port[[#This Row],[ECL_Interest (THB)]], Port[[#This Row],[ECL CBIRC (THB)]])</f>
        <v>9408537.2073664386</v>
      </c>
    </row>
    <row r="155" spans="1:44">
      <c r="A155" s="2" t="s">
        <v>139</v>
      </c>
      <c r="B155" s="2" t="s">
        <v>140</v>
      </c>
      <c r="C155" s="2" t="s">
        <v>17</v>
      </c>
      <c r="D155" s="2" t="s">
        <v>25</v>
      </c>
      <c r="E155" s="2" t="s">
        <v>19</v>
      </c>
      <c r="F155" s="2" t="s">
        <v>20</v>
      </c>
      <c r="G155" s="2" t="s">
        <v>21</v>
      </c>
      <c r="H155">
        <v>1</v>
      </c>
      <c r="I155" s="2" t="s">
        <v>526</v>
      </c>
      <c r="J155" s="505">
        <v>2.3168391354034413E-3</v>
      </c>
      <c r="K155" s="505">
        <v>0.90000000000000013</v>
      </c>
      <c r="L155" s="3">
        <v>1</v>
      </c>
      <c r="M155" s="3">
        <v>5.2488000000000001</v>
      </c>
      <c r="N155" s="507">
        <v>100000000</v>
      </c>
      <c r="O155" s="507">
        <v>0</v>
      </c>
      <c r="P155" s="507">
        <v>100000000</v>
      </c>
      <c r="Q155" s="507">
        <v>76805.56</v>
      </c>
      <c r="R155" s="507">
        <v>208515.52218630974</v>
      </c>
      <c r="S155" s="507">
        <v>0</v>
      </c>
      <c r="T155" s="507">
        <v>208515.52218630974</v>
      </c>
      <c r="U155" s="507">
        <v>160.15151450211943</v>
      </c>
      <c r="V155" s="507">
        <f>Port[[#This Row],[EAD_Drawn (CNY)]]*Port[[#This Row],[CNY -&gt; FCY]]</f>
        <v>100000000</v>
      </c>
      <c r="W155" s="507">
        <f>Port[[#This Row],[EAD_Undrawn (CNY)]]*Port[[#This Row],[CNY -&gt; FCY]]</f>
        <v>0</v>
      </c>
      <c r="X155" s="507">
        <f>Port[[#This Row],[EAD (CNY)]]*Port[[#This Row],[CNY -&gt; FCY]]</f>
        <v>100000000</v>
      </c>
      <c r="Y155" s="507">
        <f>Port[[#This Row],[EAD_Interest (CNY)]]*Port[[#This Row],[CNY -&gt; FCY]]</f>
        <v>76805.56</v>
      </c>
      <c r="Z155" s="507">
        <f>Port[[#This Row],[ECL_Drawn (CNY)]]*Port[[#This Row],[CNY -&gt; FCY]]</f>
        <v>208515.52218630974</v>
      </c>
      <c r="AA155" s="507">
        <f>Port[[#This Row],[ECL_Undrawn (CNY)]]*Port[[#This Row],[CNY -&gt; FCY]]</f>
        <v>0</v>
      </c>
      <c r="AB155" s="507">
        <f>Port[[#This Row],[ECL (CNY)]]*Port[[#This Row],[CNY -&gt; FCY]]</f>
        <v>208515.52218630974</v>
      </c>
      <c r="AC155" s="507">
        <f>Port[[#This Row],[ECL_Interest (CNY)]]*Port[[#This Row],[CNY -&gt; FCY]]</f>
        <v>160.15151450211943</v>
      </c>
      <c r="AD155" s="507">
        <f>Port[[#This Row],[EAD_Drawn (CNY)]]*Port[[#This Row],[CNY -&gt; THB]]</f>
        <v>524880000</v>
      </c>
      <c r="AE155" s="507">
        <f>Port[[#This Row],[EAD_Undrawn (CNY)]]*Port[[#This Row],[CNY -&gt; THB]]</f>
        <v>0</v>
      </c>
      <c r="AF155" s="507">
        <f>Port[[#This Row],[EAD (CNY)]]*Port[[#This Row],[CNY -&gt; THB]]</f>
        <v>524880000</v>
      </c>
      <c r="AG155" s="507">
        <f>Port[[#This Row],[EAD_Interest (CNY)]]*Port[[#This Row],[CNY -&gt; THB]]</f>
        <v>403137.02332799998</v>
      </c>
      <c r="AH155" s="507">
        <f>Port[[#This Row],[ECL_Drawn (CNY)]]*Port[[#This Row],[CNY -&gt; THB]]</f>
        <v>1094456.2728515025</v>
      </c>
      <c r="AI155" s="507">
        <f>Port[[#This Row],[ECL_Undrawn (CNY)]]*Port[[#This Row],[CNY -&gt; THB]]</f>
        <v>0</v>
      </c>
      <c r="AJ155" s="507">
        <f>Port[[#This Row],[ECL (CNY)]]*Port[[#This Row],[CNY -&gt; THB]]</f>
        <v>1094456.2728515025</v>
      </c>
      <c r="AK155" s="507">
        <f>Port[[#This Row],[ECL_Interest (CNY)]]*Port[[#This Row],[CNY -&gt; THB]]</f>
        <v>840.60326931872441</v>
      </c>
      <c r="AL155" s="507">
        <f>Port[[#This Row],[EAD (THB)]]*Port[[#This Row],[PD_avg]]</f>
        <v>1216062.5253905582</v>
      </c>
      <c r="AM155" s="507">
        <f>Port[[#This Row],[EAD_Interest (THB)]]*Port[[#This Row],[PD_avg]]</f>
        <v>934.00363257636047</v>
      </c>
      <c r="AN155" s="507">
        <f>Port[[#This Row],[EAD (THB)]]*Port[[#This Row],[LGD_avg]]</f>
        <v>472392000.00000006</v>
      </c>
      <c r="AO155" s="507">
        <f>Port[[#This Row],[EAD_Interest (THB)]]*Port[[#This Row],[LGD_avg]]</f>
        <v>362823.32099520002</v>
      </c>
      <c r="AP155" s="507">
        <f>Port[[#This Row],[EAD_Drawn (THB)]]+Port[[#This Row],[EAD_Interest (THB)]]</f>
        <v>525283137.02332801</v>
      </c>
      <c r="AQ1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7873200</v>
      </c>
      <c r="AR155" s="522">
        <f>MAX(Port[[#This Row],[ECL (THB)]]+Port[[#This Row],[ECL_Interest (THB)]], Port[[#This Row],[ECL CBIRC (THB)]])</f>
        <v>7873200</v>
      </c>
    </row>
    <row r="156" spans="1:44">
      <c r="A156" s="2" t="s">
        <v>141</v>
      </c>
      <c r="B156" s="2" t="s">
        <v>142</v>
      </c>
      <c r="C156" s="2" t="s">
        <v>17</v>
      </c>
      <c r="D156" s="2" t="s">
        <v>25</v>
      </c>
      <c r="E156" s="2" t="s">
        <v>19</v>
      </c>
      <c r="F156" s="2" t="s">
        <v>20</v>
      </c>
      <c r="G156" s="2" t="s">
        <v>21</v>
      </c>
      <c r="H156">
        <v>1</v>
      </c>
      <c r="I156" s="2" t="s">
        <v>526</v>
      </c>
      <c r="J156" s="505">
        <v>5.2260409683794924E-3</v>
      </c>
      <c r="K156" s="505">
        <v>0.89999999999999991</v>
      </c>
      <c r="L156" s="3">
        <v>1</v>
      </c>
      <c r="M156" s="3">
        <v>5.2488000000000001</v>
      </c>
      <c r="N156" s="507">
        <v>100000000</v>
      </c>
      <c r="O156" s="507">
        <v>0</v>
      </c>
      <c r="P156" s="507">
        <v>100000000</v>
      </c>
      <c r="Q156" s="507">
        <v>76805.56</v>
      </c>
      <c r="R156" s="507">
        <v>470343.68715415429</v>
      </c>
      <c r="S156" s="507">
        <v>0</v>
      </c>
      <c r="T156" s="507">
        <v>470343.68715415429</v>
      </c>
      <c r="U156" s="507">
        <v>361.25010284339623</v>
      </c>
      <c r="V156" s="507">
        <f>Port[[#This Row],[EAD_Drawn (CNY)]]*Port[[#This Row],[CNY -&gt; FCY]]</f>
        <v>100000000</v>
      </c>
      <c r="W156" s="507">
        <f>Port[[#This Row],[EAD_Undrawn (CNY)]]*Port[[#This Row],[CNY -&gt; FCY]]</f>
        <v>0</v>
      </c>
      <c r="X156" s="507">
        <f>Port[[#This Row],[EAD (CNY)]]*Port[[#This Row],[CNY -&gt; FCY]]</f>
        <v>100000000</v>
      </c>
      <c r="Y156" s="507">
        <f>Port[[#This Row],[EAD_Interest (CNY)]]*Port[[#This Row],[CNY -&gt; FCY]]</f>
        <v>76805.56</v>
      </c>
      <c r="Z156" s="507">
        <f>Port[[#This Row],[ECL_Drawn (CNY)]]*Port[[#This Row],[CNY -&gt; FCY]]</f>
        <v>470343.68715415429</v>
      </c>
      <c r="AA156" s="507">
        <f>Port[[#This Row],[ECL_Undrawn (CNY)]]*Port[[#This Row],[CNY -&gt; FCY]]</f>
        <v>0</v>
      </c>
      <c r="AB156" s="507">
        <f>Port[[#This Row],[ECL (CNY)]]*Port[[#This Row],[CNY -&gt; FCY]]</f>
        <v>470343.68715415429</v>
      </c>
      <c r="AC156" s="507">
        <f>Port[[#This Row],[ECL_Interest (CNY)]]*Port[[#This Row],[CNY -&gt; FCY]]</f>
        <v>361.25010284339623</v>
      </c>
      <c r="AD156" s="507">
        <f>Port[[#This Row],[EAD_Drawn (CNY)]]*Port[[#This Row],[CNY -&gt; THB]]</f>
        <v>524880000</v>
      </c>
      <c r="AE156" s="507">
        <f>Port[[#This Row],[EAD_Undrawn (CNY)]]*Port[[#This Row],[CNY -&gt; THB]]</f>
        <v>0</v>
      </c>
      <c r="AF156" s="507">
        <f>Port[[#This Row],[EAD (CNY)]]*Port[[#This Row],[CNY -&gt; THB]]</f>
        <v>524880000</v>
      </c>
      <c r="AG156" s="507">
        <f>Port[[#This Row],[EAD_Interest (CNY)]]*Port[[#This Row],[CNY -&gt; THB]]</f>
        <v>403137.02332799998</v>
      </c>
      <c r="AH156" s="507">
        <f>Port[[#This Row],[ECL_Drawn (CNY)]]*Port[[#This Row],[CNY -&gt; THB]]</f>
        <v>2468739.945134725</v>
      </c>
      <c r="AI156" s="507">
        <f>Port[[#This Row],[ECL_Undrawn (CNY)]]*Port[[#This Row],[CNY -&gt; THB]]</f>
        <v>0</v>
      </c>
      <c r="AJ156" s="507">
        <f>Port[[#This Row],[ECL (CNY)]]*Port[[#This Row],[CNY -&gt; THB]]</f>
        <v>2468739.945134725</v>
      </c>
      <c r="AK156" s="507">
        <f>Port[[#This Row],[ECL_Interest (CNY)]]*Port[[#This Row],[CNY -&gt; THB]]</f>
        <v>1896.1295398044183</v>
      </c>
      <c r="AL156" s="507">
        <f>Port[[#This Row],[EAD (THB)]]*Port[[#This Row],[PD_avg]]</f>
        <v>2743044.383483028</v>
      </c>
      <c r="AM156" s="507">
        <f>Port[[#This Row],[EAD_Interest (THB)]]*Port[[#This Row],[PD_avg]]</f>
        <v>2106.8105997826869</v>
      </c>
      <c r="AN156" s="507">
        <f>Port[[#This Row],[EAD (THB)]]*Port[[#This Row],[LGD_avg]]</f>
        <v>472391999.99999994</v>
      </c>
      <c r="AO156" s="507">
        <f>Port[[#This Row],[EAD_Interest (THB)]]*Port[[#This Row],[LGD_avg]]</f>
        <v>362823.32099519996</v>
      </c>
      <c r="AP156" s="507">
        <f>Port[[#This Row],[EAD_Drawn (THB)]]+Port[[#This Row],[EAD_Interest (THB)]]</f>
        <v>525283137.02332801</v>
      </c>
      <c r="AQ1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7873200</v>
      </c>
      <c r="AR156" s="522">
        <f>MAX(Port[[#This Row],[ECL (THB)]]+Port[[#This Row],[ECL_Interest (THB)]], Port[[#This Row],[ECL CBIRC (THB)]])</f>
        <v>7873200</v>
      </c>
    </row>
    <row r="157" spans="1:44">
      <c r="A157" s="2" t="s">
        <v>143</v>
      </c>
      <c r="B157" s="2" t="s">
        <v>144</v>
      </c>
      <c r="C157" s="2" t="s">
        <v>17</v>
      </c>
      <c r="D157" s="2" t="s">
        <v>25</v>
      </c>
      <c r="E157" s="2" t="s">
        <v>19</v>
      </c>
      <c r="F157" s="2" t="s">
        <v>20</v>
      </c>
      <c r="G157" s="2" t="s">
        <v>21</v>
      </c>
      <c r="H157">
        <v>1</v>
      </c>
      <c r="I157" s="2" t="s">
        <v>526</v>
      </c>
      <c r="J157" s="505">
        <v>1.3043899345507868E-2</v>
      </c>
      <c r="K157" s="505">
        <v>0.9</v>
      </c>
      <c r="L157" s="3">
        <v>1</v>
      </c>
      <c r="M157" s="3">
        <v>5.2488000000000001</v>
      </c>
      <c r="N157" s="507">
        <v>166000000</v>
      </c>
      <c r="O157" s="507">
        <v>0</v>
      </c>
      <c r="P157" s="507">
        <v>166000000</v>
      </c>
      <c r="Q157" s="507">
        <v>125883.33</v>
      </c>
      <c r="R157" s="507">
        <v>1948758.5622188756</v>
      </c>
      <c r="S157" s="507">
        <v>0</v>
      </c>
      <c r="T157" s="507">
        <v>1948758.5622188756</v>
      </c>
      <c r="U157" s="507">
        <v>1477.808537217616</v>
      </c>
      <c r="V157" s="507">
        <f>Port[[#This Row],[EAD_Drawn (CNY)]]*Port[[#This Row],[CNY -&gt; FCY]]</f>
        <v>166000000</v>
      </c>
      <c r="W157" s="507">
        <f>Port[[#This Row],[EAD_Undrawn (CNY)]]*Port[[#This Row],[CNY -&gt; FCY]]</f>
        <v>0</v>
      </c>
      <c r="X157" s="507">
        <f>Port[[#This Row],[EAD (CNY)]]*Port[[#This Row],[CNY -&gt; FCY]]</f>
        <v>166000000</v>
      </c>
      <c r="Y157" s="507">
        <f>Port[[#This Row],[EAD_Interest (CNY)]]*Port[[#This Row],[CNY -&gt; FCY]]</f>
        <v>125883.33</v>
      </c>
      <c r="Z157" s="507">
        <f>Port[[#This Row],[ECL_Drawn (CNY)]]*Port[[#This Row],[CNY -&gt; FCY]]</f>
        <v>1948758.5622188756</v>
      </c>
      <c r="AA157" s="507">
        <f>Port[[#This Row],[ECL_Undrawn (CNY)]]*Port[[#This Row],[CNY -&gt; FCY]]</f>
        <v>0</v>
      </c>
      <c r="AB157" s="507">
        <f>Port[[#This Row],[ECL (CNY)]]*Port[[#This Row],[CNY -&gt; FCY]]</f>
        <v>1948758.5622188756</v>
      </c>
      <c r="AC157" s="507">
        <f>Port[[#This Row],[ECL_Interest (CNY)]]*Port[[#This Row],[CNY -&gt; FCY]]</f>
        <v>1477.808537217616</v>
      </c>
      <c r="AD157" s="507">
        <f>Port[[#This Row],[EAD_Drawn (CNY)]]*Port[[#This Row],[CNY -&gt; THB]]</f>
        <v>871300800</v>
      </c>
      <c r="AE157" s="507">
        <f>Port[[#This Row],[EAD_Undrawn (CNY)]]*Port[[#This Row],[CNY -&gt; THB]]</f>
        <v>0</v>
      </c>
      <c r="AF157" s="507">
        <f>Port[[#This Row],[EAD (CNY)]]*Port[[#This Row],[CNY -&gt; THB]]</f>
        <v>871300800</v>
      </c>
      <c r="AG157" s="507">
        <f>Port[[#This Row],[EAD_Interest (CNY)]]*Port[[#This Row],[CNY -&gt; THB]]</f>
        <v>660736.42250400002</v>
      </c>
      <c r="AH157" s="507">
        <f>Port[[#This Row],[ECL_Drawn (CNY)]]*Port[[#This Row],[CNY -&gt; THB]]</f>
        <v>10228643.941374434</v>
      </c>
      <c r="AI157" s="507">
        <f>Port[[#This Row],[ECL_Undrawn (CNY)]]*Port[[#This Row],[CNY -&gt; THB]]</f>
        <v>0</v>
      </c>
      <c r="AJ157" s="507">
        <f>Port[[#This Row],[ECL (CNY)]]*Port[[#This Row],[CNY -&gt; THB]]</f>
        <v>10228643.941374434</v>
      </c>
      <c r="AK157" s="507">
        <f>Port[[#This Row],[ECL_Interest (CNY)]]*Port[[#This Row],[CNY -&gt; THB]]</f>
        <v>7756.7214501478229</v>
      </c>
      <c r="AL157" s="507">
        <f>Port[[#This Row],[EAD (THB)]]*Port[[#This Row],[PD_avg]]</f>
        <v>11365159.934860483</v>
      </c>
      <c r="AM157" s="507">
        <f>Port[[#This Row],[EAD_Interest (THB)]]*Port[[#This Row],[PD_avg]]</f>
        <v>8618.5793890531368</v>
      </c>
      <c r="AN157" s="507">
        <f>Port[[#This Row],[EAD (THB)]]*Port[[#This Row],[LGD_avg]]</f>
        <v>784170720</v>
      </c>
      <c r="AO157" s="507">
        <f>Port[[#This Row],[EAD_Interest (THB)]]*Port[[#This Row],[LGD_avg]]</f>
        <v>594662.78025359998</v>
      </c>
      <c r="AP157" s="507">
        <f>Port[[#This Row],[EAD_Drawn (THB)]]+Port[[#This Row],[EAD_Interest (THB)]]</f>
        <v>871961536.42250395</v>
      </c>
      <c r="AQ1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13069512</v>
      </c>
      <c r="AR157" s="522">
        <f>MAX(Port[[#This Row],[ECL (THB)]]+Port[[#This Row],[ECL_Interest (THB)]], Port[[#This Row],[ECL CBIRC (THB)]])</f>
        <v>13069512</v>
      </c>
    </row>
    <row r="158" spans="1:44">
      <c r="A158" s="2" t="s">
        <v>145</v>
      </c>
      <c r="B158" s="2" t="s">
        <v>146</v>
      </c>
      <c r="C158" s="2" t="s">
        <v>17</v>
      </c>
      <c r="D158" s="2" t="s">
        <v>25</v>
      </c>
      <c r="E158" s="2" t="s">
        <v>19</v>
      </c>
      <c r="F158" s="2" t="s">
        <v>20</v>
      </c>
      <c r="G158" s="2" t="s">
        <v>21</v>
      </c>
      <c r="H158">
        <v>1</v>
      </c>
      <c r="I158" s="2" t="s">
        <v>526</v>
      </c>
      <c r="J158" s="505">
        <v>9.0832004774658653E-4</v>
      </c>
      <c r="K158" s="505">
        <v>0.9</v>
      </c>
      <c r="L158" s="3">
        <v>1</v>
      </c>
      <c r="M158" s="3">
        <v>5.2488000000000001</v>
      </c>
      <c r="N158" s="507">
        <v>100000000</v>
      </c>
      <c r="O158" s="507">
        <v>0</v>
      </c>
      <c r="P158" s="507">
        <v>100000000</v>
      </c>
      <c r="Q158" s="507">
        <v>75833.33</v>
      </c>
      <c r="R158" s="507">
        <v>81748.804297192793</v>
      </c>
      <c r="S158" s="507">
        <v>0</v>
      </c>
      <c r="T158" s="507">
        <v>81748.804297192793</v>
      </c>
      <c r="U158" s="507">
        <v>61.992840533744392</v>
      </c>
      <c r="V158" s="507">
        <f>Port[[#This Row],[EAD_Drawn (CNY)]]*Port[[#This Row],[CNY -&gt; FCY]]</f>
        <v>100000000</v>
      </c>
      <c r="W158" s="507">
        <f>Port[[#This Row],[EAD_Undrawn (CNY)]]*Port[[#This Row],[CNY -&gt; FCY]]</f>
        <v>0</v>
      </c>
      <c r="X158" s="507">
        <f>Port[[#This Row],[EAD (CNY)]]*Port[[#This Row],[CNY -&gt; FCY]]</f>
        <v>100000000</v>
      </c>
      <c r="Y158" s="507">
        <f>Port[[#This Row],[EAD_Interest (CNY)]]*Port[[#This Row],[CNY -&gt; FCY]]</f>
        <v>75833.33</v>
      </c>
      <c r="Z158" s="507">
        <f>Port[[#This Row],[ECL_Drawn (CNY)]]*Port[[#This Row],[CNY -&gt; FCY]]</f>
        <v>81748.804297192793</v>
      </c>
      <c r="AA158" s="507">
        <f>Port[[#This Row],[ECL_Undrawn (CNY)]]*Port[[#This Row],[CNY -&gt; FCY]]</f>
        <v>0</v>
      </c>
      <c r="AB158" s="507">
        <f>Port[[#This Row],[ECL (CNY)]]*Port[[#This Row],[CNY -&gt; FCY]]</f>
        <v>81748.804297192793</v>
      </c>
      <c r="AC158" s="507">
        <f>Port[[#This Row],[ECL_Interest (CNY)]]*Port[[#This Row],[CNY -&gt; FCY]]</f>
        <v>61.992840533744392</v>
      </c>
      <c r="AD158" s="507">
        <f>Port[[#This Row],[EAD_Drawn (CNY)]]*Port[[#This Row],[CNY -&gt; THB]]</f>
        <v>524880000</v>
      </c>
      <c r="AE158" s="507">
        <f>Port[[#This Row],[EAD_Undrawn (CNY)]]*Port[[#This Row],[CNY -&gt; THB]]</f>
        <v>0</v>
      </c>
      <c r="AF158" s="507">
        <f>Port[[#This Row],[EAD (CNY)]]*Port[[#This Row],[CNY -&gt; THB]]</f>
        <v>524880000</v>
      </c>
      <c r="AG158" s="507">
        <f>Port[[#This Row],[EAD_Interest (CNY)]]*Port[[#This Row],[CNY -&gt; THB]]</f>
        <v>398033.98250400001</v>
      </c>
      <c r="AH158" s="507">
        <f>Port[[#This Row],[ECL_Drawn (CNY)]]*Port[[#This Row],[CNY -&gt; THB]]</f>
        <v>429083.12399510556</v>
      </c>
      <c r="AI158" s="507">
        <f>Port[[#This Row],[ECL_Undrawn (CNY)]]*Port[[#This Row],[CNY -&gt; THB]]</f>
        <v>0</v>
      </c>
      <c r="AJ158" s="507">
        <f>Port[[#This Row],[ECL (CNY)]]*Port[[#This Row],[CNY -&gt; THB]]</f>
        <v>429083.12399510556</v>
      </c>
      <c r="AK158" s="507">
        <f>Port[[#This Row],[ECL_Interest (CNY)]]*Port[[#This Row],[CNY -&gt; THB]]</f>
        <v>325.38802139351759</v>
      </c>
      <c r="AL158" s="507">
        <f>Port[[#This Row],[EAD (THB)]]*Port[[#This Row],[PD_avg]]</f>
        <v>476759.02666122833</v>
      </c>
      <c r="AM158" s="507">
        <f>Port[[#This Row],[EAD_Interest (THB)]]*Port[[#This Row],[PD_avg]]</f>
        <v>361.54224599279729</v>
      </c>
      <c r="AN158" s="507">
        <f>Port[[#This Row],[EAD (THB)]]*Port[[#This Row],[LGD_avg]]</f>
        <v>472392000</v>
      </c>
      <c r="AO158" s="507">
        <f>Port[[#This Row],[EAD_Interest (THB)]]*Port[[#This Row],[LGD_avg]]</f>
        <v>358230.58425360004</v>
      </c>
      <c r="AP158" s="507">
        <f>Port[[#This Row],[EAD_Drawn (THB)]]+Port[[#This Row],[EAD_Interest (THB)]]</f>
        <v>525278033.98250401</v>
      </c>
      <c r="AQ1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7873200</v>
      </c>
      <c r="AR158" s="522">
        <f>MAX(Port[[#This Row],[ECL (THB)]]+Port[[#This Row],[ECL_Interest (THB)]], Port[[#This Row],[ECL CBIRC (THB)]])</f>
        <v>7873200</v>
      </c>
    </row>
    <row r="159" spans="1:44">
      <c r="A159" s="2" t="s">
        <v>147</v>
      </c>
      <c r="B159" s="2" t="s">
        <v>148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>
        <v>1</v>
      </c>
      <c r="I159" s="2" t="s">
        <v>526</v>
      </c>
      <c r="J159" s="505">
        <v>4.8109749303825028E-2</v>
      </c>
      <c r="K159" s="505">
        <v>0.68215303983869768</v>
      </c>
      <c r="L159" s="3">
        <v>1</v>
      </c>
      <c r="M159" s="3">
        <v>5.2488000000000001</v>
      </c>
      <c r="N159" s="507">
        <v>27200000</v>
      </c>
      <c r="O159" s="507">
        <v>0</v>
      </c>
      <c r="P159" s="507">
        <v>27200000</v>
      </c>
      <c r="Q159" s="507">
        <v>33320</v>
      </c>
      <c r="R159" s="507">
        <v>892655.35915070795</v>
      </c>
      <c r="S159" s="507">
        <v>0</v>
      </c>
      <c r="T159" s="507">
        <v>892655.35915070795</v>
      </c>
      <c r="U159" s="507">
        <v>1093.5028149596174</v>
      </c>
      <c r="V159" s="507">
        <f>Port[[#This Row],[EAD_Drawn (CNY)]]*Port[[#This Row],[CNY -&gt; FCY]]</f>
        <v>27200000</v>
      </c>
      <c r="W159" s="507">
        <f>Port[[#This Row],[EAD_Undrawn (CNY)]]*Port[[#This Row],[CNY -&gt; FCY]]</f>
        <v>0</v>
      </c>
      <c r="X159" s="507">
        <f>Port[[#This Row],[EAD (CNY)]]*Port[[#This Row],[CNY -&gt; FCY]]</f>
        <v>27200000</v>
      </c>
      <c r="Y159" s="507">
        <f>Port[[#This Row],[EAD_Interest (CNY)]]*Port[[#This Row],[CNY -&gt; FCY]]</f>
        <v>33320</v>
      </c>
      <c r="Z159" s="507">
        <f>Port[[#This Row],[ECL_Drawn (CNY)]]*Port[[#This Row],[CNY -&gt; FCY]]</f>
        <v>892655.35915070795</v>
      </c>
      <c r="AA159" s="507">
        <f>Port[[#This Row],[ECL_Undrawn (CNY)]]*Port[[#This Row],[CNY -&gt; FCY]]</f>
        <v>0</v>
      </c>
      <c r="AB159" s="507">
        <f>Port[[#This Row],[ECL (CNY)]]*Port[[#This Row],[CNY -&gt; FCY]]</f>
        <v>892655.35915070795</v>
      </c>
      <c r="AC159" s="507">
        <f>Port[[#This Row],[ECL_Interest (CNY)]]*Port[[#This Row],[CNY -&gt; FCY]]</f>
        <v>1093.5028149596174</v>
      </c>
      <c r="AD159" s="507">
        <f>Port[[#This Row],[EAD_Drawn (CNY)]]*Port[[#This Row],[CNY -&gt; THB]]</f>
        <v>142767360</v>
      </c>
      <c r="AE159" s="507">
        <f>Port[[#This Row],[EAD_Undrawn (CNY)]]*Port[[#This Row],[CNY -&gt; THB]]</f>
        <v>0</v>
      </c>
      <c r="AF159" s="507">
        <f>Port[[#This Row],[EAD (CNY)]]*Port[[#This Row],[CNY -&gt; THB]]</f>
        <v>142767360</v>
      </c>
      <c r="AG159" s="507">
        <f>Port[[#This Row],[EAD_Interest (CNY)]]*Port[[#This Row],[CNY -&gt; THB]]</f>
        <v>174890.016</v>
      </c>
      <c r="AH159" s="507">
        <f>Port[[#This Row],[ECL_Drawn (CNY)]]*Port[[#This Row],[CNY -&gt; THB]]</f>
        <v>4685369.449110236</v>
      </c>
      <c r="AI159" s="507">
        <f>Port[[#This Row],[ECL_Undrawn (CNY)]]*Port[[#This Row],[CNY -&gt; THB]]</f>
        <v>0</v>
      </c>
      <c r="AJ159" s="507">
        <f>Port[[#This Row],[ECL (CNY)]]*Port[[#This Row],[CNY -&gt; THB]]</f>
        <v>4685369.449110236</v>
      </c>
      <c r="AK159" s="507">
        <f>Port[[#This Row],[ECL_Interest (CNY)]]*Port[[#This Row],[CNY -&gt; THB]]</f>
        <v>5739.5775751600395</v>
      </c>
      <c r="AL159" s="507">
        <f>Port[[#This Row],[EAD (THB)]]*Port[[#This Row],[PD_avg]]</f>
        <v>6868501.898368937</v>
      </c>
      <c r="AM159" s="507">
        <f>Port[[#This Row],[EAD_Interest (THB)]]*Port[[#This Row],[PD_avg]]</f>
        <v>8413.9148255019481</v>
      </c>
      <c r="AN159" s="507">
        <f>Port[[#This Row],[EAD (THB)]]*Port[[#This Row],[LGD_avg]]</f>
        <v>97389188.613745689</v>
      </c>
      <c r="AO159" s="507">
        <f>Port[[#This Row],[EAD_Interest (THB)]]*Port[[#This Row],[LGD_avg]]</f>
        <v>119301.75605183847</v>
      </c>
      <c r="AP159" s="507">
        <f>Port[[#This Row],[EAD_Drawn (THB)]]+Port[[#This Row],[EAD_Interest (THB)]]</f>
        <v>142942250.016</v>
      </c>
      <c r="AQ1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2141510.4</v>
      </c>
      <c r="AR159" s="522">
        <f>MAX(Port[[#This Row],[ECL (THB)]]+Port[[#This Row],[ECL_Interest (THB)]], Port[[#This Row],[ECL CBIRC (THB)]])</f>
        <v>4691109.0266853962</v>
      </c>
    </row>
    <row r="160" spans="1:44">
      <c r="A160" s="2" t="s">
        <v>149</v>
      </c>
      <c r="B160" s="2" t="s">
        <v>150</v>
      </c>
      <c r="C160" s="2" t="s">
        <v>17</v>
      </c>
      <c r="D160" s="2" t="s">
        <v>25</v>
      </c>
      <c r="E160" s="2" t="s">
        <v>19</v>
      </c>
      <c r="F160" s="2" t="s">
        <v>20</v>
      </c>
      <c r="G160" s="2" t="s">
        <v>21</v>
      </c>
      <c r="H160">
        <v>1</v>
      </c>
      <c r="I160" s="2" t="s">
        <v>526</v>
      </c>
      <c r="J160" s="505">
        <v>5.2260409683794924E-3</v>
      </c>
      <c r="K160" s="505">
        <v>0.89999999999999991</v>
      </c>
      <c r="L160" s="3">
        <v>1</v>
      </c>
      <c r="M160" s="3">
        <v>5.2488000000000001</v>
      </c>
      <c r="N160" s="507">
        <v>70000000</v>
      </c>
      <c r="O160" s="507">
        <v>0</v>
      </c>
      <c r="P160" s="507">
        <v>70000000</v>
      </c>
      <c r="Q160" s="507">
        <v>54444.44</v>
      </c>
      <c r="R160" s="507">
        <v>329240.58100790798</v>
      </c>
      <c r="S160" s="507">
        <v>0</v>
      </c>
      <c r="T160" s="507">
        <v>329240.58100790798</v>
      </c>
      <c r="U160" s="507">
        <v>256.07598654643118</v>
      </c>
      <c r="V160" s="507">
        <f>Port[[#This Row],[EAD_Drawn (CNY)]]*Port[[#This Row],[CNY -&gt; FCY]]</f>
        <v>70000000</v>
      </c>
      <c r="W160" s="507">
        <f>Port[[#This Row],[EAD_Undrawn (CNY)]]*Port[[#This Row],[CNY -&gt; FCY]]</f>
        <v>0</v>
      </c>
      <c r="X160" s="507">
        <f>Port[[#This Row],[EAD (CNY)]]*Port[[#This Row],[CNY -&gt; FCY]]</f>
        <v>70000000</v>
      </c>
      <c r="Y160" s="507">
        <f>Port[[#This Row],[EAD_Interest (CNY)]]*Port[[#This Row],[CNY -&gt; FCY]]</f>
        <v>54444.44</v>
      </c>
      <c r="Z160" s="507">
        <f>Port[[#This Row],[ECL_Drawn (CNY)]]*Port[[#This Row],[CNY -&gt; FCY]]</f>
        <v>329240.58100790798</v>
      </c>
      <c r="AA160" s="507">
        <f>Port[[#This Row],[ECL_Undrawn (CNY)]]*Port[[#This Row],[CNY -&gt; FCY]]</f>
        <v>0</v>
      </c>
      <c r="AB160" s="507">
        <f>Port[[#This Row],[ECL (CNY)]]*Port[[#This Row],[CNY -&gt; FCY]]</f>
        <v>329240.58100790798</v>
      </c>
      <c r="AC160" s="507">
        <f>Port[[#This Row],[ECL_Interest (CNY)]]*Port[[#This Row],[CNY -&gt; FCY]]</f>
        <v>256.07598654643118</v>
      </c>
      <c r="AD160" s="507">
        <f>Port[[#This Row],[EAD_Drawn (CNY)]]*Port[[#This Row],[CNY -&gt; THB]]</f>
        <v>367416000</v>
      </c>
      <c r="AE160" s="507">
        <f>Port[[#This Row],[EAD_Undrawn (CNY)]]*Port[[#This Row],[CNY -&gt; THB]]</f>
        <v>0</v>
      </c>
      <c r="AF160" s="507">
        <f>Port[[#This Row],[EAD (CNY)]]*Port[[#This Row],[CNY -&gt; THB]]</f>
        <v>367416000</v>
      </c>
      <c r="AG160" s="507">
        <f>Port[[#This Row],[EAD_Interest (CNY)]]*Port[[#This Row],[CNY -&gt; THB]]</f>
        <v>285767.97667200002</v>
      </c>
      <c r="AH160" s="507">
        <f>Port[[#This Row],[ECL_Drawn (CNY)]]*Port[[#This Row],[CNY -&gt; THB]]</f>
        <v>1728117.9615943076</v>
      </c>
      <c r="AI160" s="507">
        <f>Port[[#This Row],[ECL_Undrawn (CNY)]]*Port[[#This Row],[CNY -&gt; THB]]</f>
        <v>0</v>
      </c>
      <c r="AJ160" s="507">
        <f>Port[[#This Row],[ECL (CNY)]]*Port[[#This Row],[CNY -&gt; THB]]</f>
        <v>1728117.9615943076</v>
      </c>
      <c r="AK160" s="507">
        <f>Port[[#This Row],[ECL_Interest (CNY)]]*Port[[#This Row],[CNY -&gt; THB]]</f>
        <v>1344.0916381849081</v>
      </c>
      <c r="AL160" s="507">
        <f>Port[[#This Row],[EAD (THB)]]*Port[[#This Row],[PD_avg]]</f>
        <v>1920131.0684381195</v>
      </c>
      <c r="AM160" s="507">
        <f>Port[[#This Row],[EAD_Interest (THB)]]*Port[[#This Row],[PD_avg]]</f>
        <v>1493.4351535387873</v>
      </c>
      <c r="AN160" s="507">
        <f>Port[[#This Row],[EAD (THB)]]*Port[[#This Row],[LGD_avg]]</f>
        <v>330674399.99999994</v>
      </c>
      <c r="AO160" s="507">
        <f>Port[[#This Row],[EAD_Interest (THB)]]*Port[[#This Row],[LGD_avg]]</f>
        <v>257191.17900479998</v>
      </c>
      <c r="AP160" s="507">
        <f>Port[[#This Row],[EAD_Drawn (THB)]]+Port[[#This Row],[EAD_Interest (THB)]]</f>
        <v>367701767.97667199</v>
      </c>
      <c r="AQ16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5511240</v>
      </c>
      <c r="AR160" s="522">
        <f>MAX(Port[[#This Row],[ECL (THB)]]+Port[[#This Row],[ECL_Interest (THB)]], Port[[#This Row],[ECL CBIRC (THB)]])</f>
        <v>5511240</v>
      </c>
    </row>
    <row r="161" spans="1:44">
      <c r="A161" s="2" t="s">
        <v>152</v>
      </c>
      <c r="B161" s="2" t="s">
        <v>148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21</v>
      </c>
      <c r="H161">
        <v>1</v>
      </c>
      <c r="I161" s="2" t="s">
        <v>526</v>
      </c>
      <c r="J161" s="505">
        <v>4.8109749303825028E-2</v>
      </c>
      <c r="K161" s="505">
        <v>0.64011239840406053</v>
      </c>
      <c r="L161" s="3">
        <v>1</v>
      </c>
      <c r="M161" s="3">
        <v>5.2488000000000001</v>
      </c>
      <c r="N161" s="507">
        <v>22800000</v>
      </c>
      <c r="O161" s="507">
        <v>0</v>
      </c>
      <c r="P161" s="507">
        <v>22800000</v>
      </c>
      <c r="Q161" s="507">
        <v>27930</v>
      </c>
      <c r="R161" s="507">
        <v>702140.75190756097</v>
      </c>
      <c r="S161" s="507">
        <v>0</v>
      </c>
      <c r="T161" s="507">
        <v>702140.75190756097</v>
      </c>
      <c r="U161" s="507">
        <v>860.12242108676219</v>
      </c>
      <c r="V161" s="507">
        <f>Port[[#This Row],[EAD_Drawn (CNY)]]*Port[[#This Row],[CNY -&gt; FCY]]</f>
        <v>22800000</v>
      </c>
      <c r="W161" s="507">
        <f>Port[[#This Row],[EAD_Undrawn (CNY)]]*Port[[#This Row],[CNY -&gt; FCY]]</f>
        <v>0</v>
      </c>
      <c r="X161" s="507">
        <f>Port[[#This Row],[EAD (CNY)]]*Port[[#This Row],[CNY -&gt; FCY]]</f>
        <v>22800000</v>
      </c>
      <c r="Y161" s="507">
        <f>Port[[#This Row],[EAD_Interest (CNY)]]*Port[[#This Row],[CNY -&gt; FCY]]</f>
        <v>27930</v>
      </c>
      <c r="Z161" s="507">
        <f>Port[[#This Row],[ECL_Drawn (CNY)]]*Port[[#This Row],[CNY -&gt; FCY]]</f>
        <v>702140.75190756097</v>
      </c>
      <c r="AA161" s="507">
        <f>Port[[#This Row],[ECL_Undrawn (CNY)]]*Port[[#This Row],[CNY -&gt; FCY]]</f>
        <v>0</v>
      </c>
      <c r="AB161" s="507">
        <f>Port[[#This Row],[ECL (CNY)]]*Port[[#This Row],[CNY -&gt; FCY]]</f>
        <v>702140.75190756097</v>
      </c>
      <c r="AC161" s="507">
        <f>Port[[#This Row],[ECL_Interest (CNY)]]*Port[[#This Row],[CNY -&gt; FCY]]</f>
        <v>860.12242108676219</v>
      </c>
      <c r="AD161" s="507">
        <f>Port[[#This Row],[EAD_Drawn (CNY)]]*Port[[#This Row],[CNY -&gt; THB]]</f>
        <v>119672640</v>
      </c>
      <c r="AE161" s="507">
        <f>Port[[#This Row],[EAD_Undrawn (CNY)]]*Port[[#This Row],[CNY -&gt; THB]]</f>
        <v>0</v>
      </c>
      <c r="AF161" s="507">
        <f>Port[[#This Row],[EAD (CNY)]]*Port[[#This Row],[CNY -&gt; THB]]</f>
        <v>119672640</v>
      </c>
      <c r="AG161" s="507">
        <f>Port[[#This Row],[EAD_Interest (CNY)]]*Port[[#This Row],[CNY -&gt; THB]]</f>
        <v>146598.984</v>
      </c>
      <c r="AH161" s="507">
        <f>Port[[#This Row],[ECL_Drawn (CNY)]]*Port[[#This Row],[CNY -&gt; THB]]</f>
        <v>3685396.3786124061</v>
      </c>
      <c r="AI161" s="507">
        <f>Port[[#This Row],[ECL_Undrawn (CNY)]]*Port[[#This Row],[CNY -&gt; THB]]</f>
        <v>0</v>
      </c>
      <c r="AJ161" s="507">
        <f>Port[[#This Row],[ECL (CNY)]]*Port[[#This Row],[CNY -&gt; THB]]</f>
        <v>3685396.3786124061</v>
      </c>
      <c r="AK161" s="507">
        <f>Port[[#This Row],[ECL_Interest (CNY)]]*Port[[#This Row],[CNY -&gt; THB]]</f>
        <v>4514.6105638001973</v>
      </c>
      <c r="AL161" s="507">
        <f>Port[[#This Row],[EAD (THB)]]*Port[[#This Row],[PD_avg]]</f>
        <v>5757420.7089269031</v>
      </c>
      <c r="AM161" s="507">
        <f>Port[[#This Row],[EAD_Interest (THB)]]*Port[[#This Row],[PD_avg]]</f>
        <v>7052.8403684354562</v>
      </c>
      <c r="AN161" s="507">
        <f>Port[[#This Row],[EAD (THB)]]*Port[[#This Row],[LGD_avg]]</f>
        <v>76603940.613745704</v>
      </c>
      <c r="AO161" s="507">
        <f>Port[[#This Row],[EAD_Interest (THB)]]*Port[[#This Row],[LGD_avg]]</f>
        <v>93839.827251838491</v>
      </c>
      <c r="AP161" s="507">
        <f>Port[[#This Row],[EAD_Drawn (THB)]]+Port[[#This Row],[EAD_Interest (THB)]]</f>
        <v>119819238.984</v>
      </c>
      <c r="AQ16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1795089.5999999999</v>
      </c>
      <c r="AR161" s="522">
        <f>MAX(Port[[#This Row],[ECL (THB)]]+Port[[#This Row],[ECL_Interest (THB)]], Port[[#This Row],[ECL CBIRC (THB)]])</f>
        <v>3689910.9891762063</v>
      </c>
    </row>
    <row r="162" spans="1:44">
      <c r="A162" s="2" t="s">
        <v>153</v>
      </c>
      <c r="B162" s="2" t="s">
        <v>146</v>
      </c>
      <c r="C162" s="2" t="s">
        <v>17</v>
      </c>
      <c r="D162" s="2" t="s">
        <v>25</v>
      </c>
      <c r="E162" s="2" t="s">
        <v>19</v>
      </c>
      <c r="F162" s="2" t="s">
        <v>20</v>
      </c>
      <c r="G162" s="2" t="s">
        <v>21</v>
      </c>
      <c r="H162">
        <v>1</v>
      </c>
      <c r="I162" s="2" t="s">
        <v>526</v>
      </c>
      <c r="J162" s="505">
        <v>9.0832004774658653E-4</v>
      </c>
      <c r="K162" s="505">
        <v>0.90000000000000013</v>
      </c>
      <c r="L162" s="3">
        <v>1</v>
      </c>
      <c r="M162" s="3">
        <v>5.2488000000000001</v>
      </c>
      <c r="N162" s="507">
        <v>50000000</v>
      </c>
      <c r="O162" s="507">
        <v>0</v>
      </c>
      <c r="P162" s="507">
        <v>50000000</v>
      </c>
      <c r="Q162" s="507">
        <v>37916.67</v>
      </c>
      <c r="R162" s="507">
        <v>40874.402148596397</v>
      </c>
      <c r="S162" s="507">
        <v>0</v>
      </c>
      <c r="T162" s="507">
        <v>40874.402148596397</v>
      </c>
      <c r="U162" s="507">
        <v>30.996424354312403</v>
      </c>
      <c r="V162" s="507">
        <f>Port[[#This Row],[EAD_Drawn (CNY)]]*Port[[#This Row],[CNY -&gt; FCY]]</f>
        <v>50000000</v>
      </c>
      <c r="W162" s="507">
        <f>Port[[#This Row],[EAD_Undrawn (CNY)]]*Port[[#This Row],[CNY -&gt; FCY]]</f>
        <v>0</v>
      </c>
      <c r="X162" s="507">
        <f>Port[[#This Row],[EAD (CNY)]]*Port[[#This Row],[CNY -&gt; FCY]]</f>
        <v>50000000</v>
      </c>
      <c r="Y162" s="507">
        <f>Port[[#This Row],[EAD_Interest (CNY)]]*Port[[#This Row],[CNY -&gt; FCY]]</f>
        <v>37916.67</v>
      </c>
      <c r="Z162" s="507">
        <f>Port[[#This Row],[ECL_Drawn (CNY)]]*Port[[#This Row],[CNY -&gt; FCY]]</f>
        <v>40874.402148596397</v>
      </c>
      <c r="AA162" s="507">
        <f>Port[[#This Row],[ECL_Undrawn (CNY)]]*Port[[#This Row],[CNY -&gt; FCY]]</f>
        <v>0</v>
      </c>
      <c r="AB162" s="507">
        <f>Port[[#This Row],[ECL (CNY)]]*Port[[#This Row],[CNY -&gt; FCY]]</f>
        <v>40874.402148596397</v>
      </c>
      <c r="AC162" s="507">
        <f>Port[[#This Row],[ECL_Interest (CNY)]]*Port[[#This Row],[CNY -&gt; FCY]]</f>
        <v>30.996424354312403</v>
      </c>
      <c r="AD162" s="507">
        <f>Port[[#This Row],[EAD_Drawn (CNY)]]*Port[[#This Row],[CNY -&gt; THB]]</f>
        <v>262440000</v>
      </c>
      <c r="AE162" s="507">
        <f>Port[[#This Row],[EAD_Undrawn (CNY)]]*Port[[#This Row],[CNY -&gt; THB]]</f>
        <v>0</v>
      </c>
      <c r="AF162" s="507">
        <f>Port[[#This Row],[EAD (CNY)]]*Port[[#This Row],[CNY -&gt; THB]]</f>
        <v>262440000</v>
      </c>
      <c r="AG162" s="507">
        <f>Port[[#This Row],[EAD_Interest (CNY)]]*Port[[#This Row],[CNY -&gt; THB]]</f>
        <v>199017.01749599999</v>
      </c>
      <c r="AH162" s="507">
        <f>Port[[#This Row],[ECL_Drawn (CNY)]]*Port[[#This Row],[CNY -&gt; THB]]</f>
        <v>214541.56199755278</v>
      </c>
      <c r="AI162" s="507">
        <f>Port[[#This Row],[ECL_Undrawn (CNY)]]*Port[[#This Row],[CNY -&gt; THB]]</f>
        <v>0</v>
      </c>
      <c r="AJ162" s="507">
        <f>Port[[#This Row],[ECL (CNY)]]*Port[[#This Row],[CNY -&gt; THB]]</f>
        <v>214541.56199755278</v>
      </c>
      <c r="AK162" s="507">
        <f>Port[[#This Row],[ECL_Interest (CNY)]]*Port[[#This Row],[CNY -&gt; THB]]</f>
        <v>162.69403215091495</v>
      </c>
      <c r="AL162" s="507">
        <f>Port[[#This Row],[EAD (THB)]]*Port[[#This Row],[PD_avg]]</f>
        <v>238379.51333061417</v>
      </c>
      <c r="AM162" s="507">
        <f>Port[[#This Row],[EAD_Interest (THB)]]*Port[[#This Row],[PD_avg]]</f>
        <v>180.77114683434996</v>
      </c>
      <c r="AN162" s="507">
        <f>Port[[#This Row],[EAD (THB)]]*Port[[#This Row],[LGD_avg]]</f>
        <v>236196000.00000003</v>
      </c>
      <c r="AO162" s="507">
        <f>Port[[#This Row],[EAD_Interest (THB)]]*Port[[#This Row],[LGD_avg]]</f>
        <v>179115.31574640001</v>
      </c>
      <c r="AP162" s="507">
        <f>Port[[#This Row],[EAD_Drawn (THB)]]+Port[[#This Row],[EAD_Interest (THB)]]</f>
        <v>262639017.01749599</v>
      </c>
      <c r="AQ16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162" s="522">
        <f>MAX(Port[[#This Row],[ECL (THB)]]+Port[[#This Row],[ECL_Interest (THB)]], Port[[#This Row],[ECL CBIRC (THB)]])</f>
        <v>3936600</v>
      </c>
    </row>
    <row r="163" spans="1:44">
      <c r="A163" s="2" t="s">
        <v>154</v>
      </c>
      <c r="B163" s="2" t="s">
        <v>146</v>
      </c>
      <c r="C163" s="2" t="s">
        <v>17</v>
      </c>
      <c r="D163" s="2" t="s">
        <v>25</v>
      </c>
      <c r="E163" s="2" t="s">
        <v>19</v>
      </c>
      <c r="F163" s="2" t="s">
        <v>20</v>
      </c>
      <c r="G163" s="2" t="s">
        <v>21</v>
      </c>
      <c r="H163">
        <v>1</v>
      </c>
      <c r="I163" s="2" t="s">
        <v>526</v>
      </c>
      <c r="J163" s="505">
        <v>9.0832004774658653E-4</v>
      </c>
      <c r="K163" s="505">
        <v>0.90000000000000013</v>
      </c>
      <c r="L163" s="3">
        <v>1</v>
      </c>
      <c r="M163" s="3">
        <v>5.2488000000000001</v>
      </c>
      <c r="N163" s="507">
        <v>50000000</v>
      </c>
      <c r="O163" s="507">
        <v>0</v>
      </c>
      <c r="P163" s="507">
        <v>50000000</v>
      </c>
      <c r="Q163" s="507">
        <v>37916.67</v>
      </c>
      <c r="R163" s="507">
        <v>40874.402148596397</v>
      </c>
      <c r="S163" s="507">
        <v>0</v>
      </c>
      <c r="T163" s="507">
        <v>40874.402148596397</v>
      </c>
      <c r="U163" s="507">
        <v>30.996424354312403</v>
      </c>
      <c r="V163" s="507">
        <f>Port[[#This Row],[EAD_Drawn (CNY)]]*Port[[#This Row],[CNY -&gt; FCY]]</f>
        <v>50000000</v>
      </c>
      <c r="W163" s="507">
        <f>Port[[#This Row],[EAD_Undrawn (CNY)]]*Port[[#This Row],[CNY -&gt; FCY]]</f>
        <v>0</v>
      </c>
      <c r="X163" s="507">
        <f>Port[[#This Row],[EAD (CNY)]]*Port[[#This Row],[CNY -&gt; FCY]]</f>
        <v>50000000</v>
      </c>
      <c r="Y163" s="507">
        <f>Port[[#This Row],[EAD_Interest (CNY)]]*Port[[#This Row],[CNY -&gt; FCY]]</f>
        <v>37916.67</v>
      </c>
      <c r="Z163" s="507">
        <f>Port[[#This Row],[ECL_Drawn (CNY)]]*Port[[#This Row],[CNY -&gt; FCY]]</f>
        <v>40874.402148596397</v>
      </c>
      <c r="AA163" s="507">
        <f>Port[[#This Row],[ECL_Undrawn (CNY)]]*Port[[#This Row],[CNY -&gt; FCY]]</f>
        <v>0</v>
      </c>
      <c r="AB163" s="507">
        <f>Port[[#This Row],[ECL (CNY)]]*Port[[#This Row],[CNY -&gt; FCY]]</f>
        <v>40874.402148596397</v>
      </c>
      <c r="AC163" s="507">
        <f>Port[[#This Row],[ECL_Interest (CNY)]]*Port[[#This Row],[CNY -&gt; FCY]]</f>
        <v>30.996424354312403</v>
      </c>
      <c r="AD163" s="507">
        <f>Port[[#This Row],[EAD_Drawn (CNY)]]*Port[[#This Row],[CNY -&gt; THB]]</f>
        <v>262440000</v>
      </c>
      <c r="AE163" s="507">
        <f>Port[[#This Row],[EAD_Undrawn (CNY)]]*Port[[#This Row],[CNY -&gt; THB]]</f>
        <v>0</v>
      </c>
      <c r="AF163" s="507">
        <f>Port[[#This Row],[EAD (CNY)]]*Port[[#This Row],[CNY -&gt; THB]]</f>
        <v>262440000</v>
      </c>
      <c r="AG163" s="507">
        <f>Port[[#This Row],[EAD_Interest (CNY)]]*Port[[#This Row],[CNY -&gt; THB]]</f>
        <v>199017.01749599999</v>
      </c>
      <c r="AH163" s="507">
        <f>Port[[#This Row],[ECL_Drawn (CNY)]]*Port[[#This Row],[CNY -&gt; THB]]</f>
        <v>214541.56199755278</v>
      </c>
      <c r="AI163" s="507">
        <f>Port[[#This Row],[ECL_Undrawn (CNY)]]*Port[[#This Row],[CNY -&gt; THB]]</f>
        <v>0</v>
      </c>
      <c r="AJ163" s="507">
        <f>Port[[#This Row],[ECL (CNY)]]*Port[[#This Row],[CNY -&gt; THB]]</f>
        <v>214541.56199755278</v>
      </c>
      <c r="AK163" s="507">
        <f>Port[[#This Row],[ECL_Interest (CNY)]]*Port[[#This Row],[CNY -&gt; THB]]</f>
        <v>162.69403215091495</v>
      </c>
      <c r="AL163" s="507">
        <f>Port[[#This Row],[EAD (THB)]]*Port[[#This Row],[PD_avg]]</f>
        <v>238379.51333061417</v>
      </c>
      <c r="AM163" s="507">
        <f>Port[[#This Row],[EAD_Interest (THB)]]*Port[[#This Row],[PD_avg]]</f>
        <v>180.77114683434996</v>
      </c>
      <c r="AN163" s="507">
        <f>Port[[#This Row],[EAD (THB)]]*Port[[#This Row],[LGD_avg]]</f>
        <v>236196000.00000003</v>
      </c>
      <c r="AO163" s="507">
        <f>Port[[#This Row],[EAD_Interest (THB)]]*Port[[#This Row],[LGD_avg]]</f>
        <v>179115.31574640001</v>
      </c>
      <c r="AP163" s="507">
        <f>Port[[#This Row],[EAD_Drawn (THB)]]+Port[[#This Row],[EAD_Interest (THB)]]</f>
        <v>262639017.01749599</v>
      </c>
      <c r="AQ16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163" s="522">
        <f>MAX(Port[[#This Row],[ECL (THB)]]+Port[[#This Row],[ECL_Interest (THB)]], Port[[#This Row],[ECL CBIRC (THB)]])</f>
        <v>3936600</v>
      </c>
    </row>
    <row r="164" spans="1:44">
      <c r="A164" s="2" t="s">
        <v>157</v>
      </c>
      <c r="B164" s="2" t="s">
        <v>158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>
        <v>1</v>
      </c>
      <c r="I164" s="2" t="s">
        <v>526</v>
      </c>
      <c r="J164" s="505">
        <v>3.0745295499522811E-2</v>
      </c>
      <c r="K164" s="505">
        <v>0.89999999999999991</v>
      </c>
      <c r="L164" s="3">
        <v>1</v>
      </c>
      <c r="M164" s="3">
        <v>5.2488000000000001</v>
      </c>
      <c r="N164" s="507">
        <v>10000000</v>
      </c>
      <c r="O164" s="507">
        <v>0</v>
      </c>
      <c r="P164" s="507">
        <v>10000000</v>
      </c>
      <c r="Q164" s="507">
        <v>9722.2199999999993</v>
      </c>
      <c r="R164" s="507">
        <v>276707.65949570533</v>
      </c>
      <c r="S164" s="507">
        <v>0</v>
      </c>
      <c r="T164" s="507">
        <v>276707.65949570533</v>
      </c>
      <c r="U164" s="507">
        <v>269.02127413023362</v>
      </c>
      <c r="V164" s="507">
        <f>Port[[#This Row],[EAD_Drawn (CNY)]]*Port[[#This Row],[CNY -&gt; FCY]]</f>
        <v>10000000</v>
      </c>
      <c r="W164" s="507">
        <f>Port[[#This Row],[EAD_Undrawn (CNY)]]*Port[[#This Row],[CNY -&gt; FCY]]</f>
        <v>0</v>
      </c>
      <c r="X164" s="507">
        <f>Port[[#This Row],[EAD (CNY)]]*Port[[#This Row],[CNY -&gt; FCY]]</f>
        <v>10000000</v>
      </c>
      <c r="Y164" s="507">
        <f>Port[[#This Row],[EAD_Interest (CNY)]]*Port[[#This Row],[CNY -&gt; FCY]]</f>
        <v>9722.2199999999993</v>
      </c>
      <c r="Z164" s="507">
        <f>Port[[#This Row],[ECL_Drawn (CNY)]]*Port[[#This Row],[CNY -&gt; FCY]]</f>
        <v>276707.65949570533</v>
      </c>
      <c r="AA164" s="507">
        <f>Port[[#This Row],[ECL_Undrawn (CNY)]]*Port[[#This Row],[CNY -&gt; FCY]]</f>
        <v>0</v>
      </c>
      <c r="AB164" s="507">
        <f>Port[[#This Row],[ECL (CNY)]]*Port[[#This Row],[CNY -&gt; FCY]]</f>
        <v>276707.65949570533</v>
      </c>
      <c r="AC164" s="507">
        <f>Port[[#This Row],[ECL_Interest (CNY)]]*Port[[#This Row],[CNY -&gt; FCY]]</f>
        <v>269.02127413023362</v>
      </c>
      <c r="AD164" s="507">
        <f>Port[[#This Row],[EAD_Drawn (CNY)]]*Port[[#This Row],[CNY -&gt; THB]]</f>
        <v>52488000</v>
      </c>
      <c r="AE164" s="507">
        <f>Port[[#This Row],[EAD_Undrawn (CNY)]]*Port[[#This Row],[CNY -&gt; THB]]</f>
        <v>0</v>
      </c>
      <c r="AF164" s="507">
        <f>Port[[#This Row],[EAD (CNY)]]*Port[[#This Row],[CNY -&gt; THB]]</f>
        <v>52488000</v>
      </c>
      <c r="AG164" s="507">
        <f>Port[[#This Row],[EAD_Interest (CNY)]]*Port[[#This Row],[CNY -&gt; THB]]</f>
        <v>51029.988335999995</v>
      </c>
      <c r="AH164" s="507">
        <f>Port[[#This Row],[ECL_Drawn (CNY)]]*Port[[#This Row],[CNY -&gt; THB]]</f>
        <v>1452383.1631610582</v>
      </c>
      <c r="AI164" s="507">
        <f>Port[[#This Row],[ECL_Undrawn (CNY)]]*Port[[#This Row],[CNY -&gt; THB]]</f>
        <v>0</v>
      </c>
      <c r="AJ164" s="507">
        <f>Port[[#This Row],[ECL (CNY)]]*Port[[#This Row],[CNY -&gt; THB]]</f>
        <v>1452383.1631610582</v>
      </c>
      <c r="AK164" s="507">
        <f>Port[[#This Row],[ECL_Interest (CNY)]]*Port[[#This Row],[CNY -&gt; THB]]</f>
        <v>1412.0388636547702</v>
      </c>
      <c r="AL164" s="507">
        <f>Port[[#This Row],[EAD (THB)]]*Port[[#This Row],[PD_avg]]</f>
        <v>1613759.0701789532</v>
      </c>
      <c r="AM164" s="507">
        <f>Port[[#This Row],[EAD_Interest (THB)]]*Port[[#This Row],[PD_avg]]</f>
        <v>1568.9320707275222</v>
      </c>
      <c r="AN164" s="507">
        <f>Port[[#This Row],[EAD (THB)]]*Port[[#This Row],[LGD_avg]]</f>
        <v>47239199.999999993</v>
      </c>
      <c r="AO164" s="507">
        <f>Port[[#This Row],[EAD_Interest (THB)]]*Port[[#This Row],[LGD_avg]]</f>
        <v>45926.989502399992</v>
      </c>
      <c r="AP164" s="507">
        <f>Port[[#This Row],[EAD_Drawn (THB)]]+Port[[#This Row],[EAD_Interest (THB)]]</f>
        <v>52539029.988335997</v>
      </c>
      <c r="AQ16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787320</v>
      </c>
      <c r="AR164" s="522">
        <f>MAX(Port[[#This Row],[ECL (THB)]]+Port[[#This Row],[ECL_Interest (THB)]], Port[[#This Row],[ECL CBIRC (THB)]])</f>
        <v>1453795.2020247129</v>
      </c>
    </row>
    <row r="165" spans="1:44">
      <c r="A165" s="2" t="s">
        <v>908</v>
      </c>
      <c r="B165" s="2" t="s">
        <v>909</v>
      </c>
      <c r="C165" s="2" t="s">
        <v>17</v>
      </c>
      <c r="D165" s="2" t="s">
        <v>25</v>
      </c>
      <c r="E165" s="2" t="s">
        <v>19</v>
      </c>
      <c r="F165" s="2" t="s">
        <v>20</v>
      </c>
      <c r="G165" s="2" t="s">
        <v>21</v>
      </c>
      <c r="H165">
        <v>1</v>
      </c>
      <c r="I165" s="2" t="s">
        <v>526</v>
      </c>
      <c r="J165" s="505">
        <v>5.2260409683794924E-3</v>
      </c>
      <c r="K165" s="505">
        <v>0.89999999999999991</v>
      </c>
      <c r="L165" s="3">
        <v>1</v>
      </c>
      <c r="M165" s="3">
        <v>5.2488000000000001</v>
      </c>
      <c r="N165" s="507">
        <v>200000000</v>
      </c>
      <c r="O165" s="507">
        <v>0</v>
      </c>
      <c r="P165" s="507">
        <v>200000000</v>
      </c>
      <c r="Q165" s="507">
        <v>149722.22</v>
      </c>
      <c r="R165" s="507">
        <v>940687.37430830859</v>
      </c>
      <c r="S165" s="507">
        <v>0</v>
      </c>
      <c r="T165" s="507">
        <v>940687.37430830859</v>
      </c>
      <c r="U165" s="507">
        <v>704.20901003705455</v>
      </c>
      <c r="V165" s="507">
        <f>Port[[#This Row],[EAD_Drawn (CNY)]]*Port[[#This Row],[CNY -&gt; FCY]]</f>
        <v>200000000</v>
      </c>
      <c r="W165" s="507">
        <f>Port[[#This Row],[EAD_Undrawn (CNY)]]*Port[[#This Row],[CNY -&gt; FCY]]</f>
        <v>0</v>
      </c>
      <c r="X165" s="507">
        <f>Port[[#This Row],[EAD (CNY)]]*Port[[#This Row],[CNY -&gt; FCY]]</f>
        <v>200000000</v>
      </c>
      <c r="Y165" s="507">
        <f>Port[[#This Row],[EAD_Interest (CNY)]]*Port[[#This Row],[CNY -&gt; FCY]]</f>
        <v>149722.22</v>
      </c>
      <c r="Z165" s="507">
        <f>Port[[#This Row],[ECL_Drawn (CNY)]]*Port[[#This Row],[CNY -&gt; FCY]]</f>
        <v>940687.37430830859</v>
      </c>
      <c r="AA165" s="507">
        <f>Port[[#This Row],[ECL_Undrawn (CNY)]]*Port[[#This Row],[CNY -&gt; FCY]]</f>
        <v>0</v>
      </c>
      <c r="AB165" s="507">
        <f>Port[[#This Row],[ECL (CNY)]]*Port[[#This Row],[CNY -&gt; FCY]]</f>
        <v>940687.37430830859</v>
      </c>
      <c r="AC165" s="507">
        <f>Port[[#This Row],[ECL_Interest (CNY)]]*Port[[#This Row],[CNY -&gt; FCY]]</f>
        <v>704.20901003705455</v>
      </c>
      <c r="AD165" s="507">
        <f>Port[[#This Row],[EAD_Drawn (CNY)]]*Port[[#This Row],[CNY -&gt; THB]]</f>
        <v>1049760000</v>
      </c>
      <c r="AE165" s="507">
        <f>Port[[#This Row],[EAD_Undrawn (CNY)]]*Port[[#This Row],[CNY -&gt; THB]]</f>
        <v>0</v>
      </c>
      <c r="AF165" s="507">
        <f>Port[[#This Row],[EAD (CNY)]]*Port[[#This Row],[CNY -&gt; THB]]</f>
        <v>1049760000</v>
      </c>
      <c r="AG165" s="507">
        <f>Port[[#This Row],[EAD_Interest (CNY)]]*Port[[#This Row],[CNY -&gt; THB]]</f>
        <v>785861.98833600001</v>
      </c>
      <c r="AH165" s="507">
        <f>Port[[#This Row],[ECL_Drawn (CNY)]]*Port[[#This Row],[CNY -&gt; THB]]</f>
        <v>4937479.8902694499</v>
      </c>
      <c r="AI165" s="507">
        <f>Port[[#This Row],[ECL_Undrawn (CNY)]]*Port[[#This Row],[CNY -&gt; THB]]</f>
        <v>0</v>
      </c>
      <c r="AJ165" s="507">
        <f>Port[[#This Row],[ECL (CNY)]]*Port[[#This Row],[CNY -&gt; THB]]</f>
        <v>4937479.8902694499</v>
      </c>
      <c r="AK165" s="507">
        <f>Port[[#This Row],[ECL_Interest (CNY)]]*Port[[#This Row],[CNY -&gt; THB]]</f>
        <v>3696.2522518824921</v>
      </c>
      <c r="AL165" s="507">
        <f>Port[[#This Row],[EAD (THB)]]*Port[[#This Row],[PD_avg]]</f>
        <v>5486088.7669660561</v>
      </c>
      <c r="AM165" s="507">
        <f>Port[[#This Row],[EAD_Interest (THB)]]*Port[[#This Row],[PD_avg]]</f>
        <v>4106.9469465361026</v>
      </c>
      <c r="AN165" s="507">
        <f>Port[[#This Row],[EAD (THB)]]*Port[[#This Row],[LGD_avg]]</f>
        <v>944783999.99999988</v>
      </c>
      <c r="AO165" s="507">
        <f>Port[[#This Row],[EAD_Interest (THB)]]*Port[[#This Row],[LGD_avg]]</f>
        <v>707275.78950239997</v>
      </c>
      <c r="AP165" s="507">
        <f>Port[[#This Row],[EAD_Drawn (THB)]]+Port[[#This Row],[EAD_Interest (THB)]]</f>
        <v>1050545861.988336</v>
      </c>
      <c r="AQ16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15746400</v>
      </c>
      <c r="AR165" s="522">
        <f>MAX(Port[[#This Row],[ECL (THB)]]+Port[[#This Row],[ECL_Interest (THB)]], Port[[#This Row],[ECL CBIRC (THB)]])</f>
        <v>15746400</v>
      </c>
    </row>
    <row r="166" spans="1:44">
      <c r="A166" s="2" t="s">
        <v>910</v>
      </c>
      <c r="B166" s="2" t="s">
        <v>133</v>
      </c>
      <c r="C166" s="2" t="s">
        <v>17</v>
      </c>
      <c r="D166" s="2" t="s">
        <v>25</v>
      </c>
      <c r="E166" s="2" t="s">
        <v>19</v>
      </c>
      <c r="F166" s="2" t="s">
        <v>20</v>
      </c>
      <c r="G166" s="2" t="s">
        <v>21</v>
      </c>
      <c r="H166">
        <v>1</v>
      </c>
      <c r="I166" s="2" t="s">
        <v>526</v>
      </c>
      <c r="J166" s="505">
        <v>9.0832004774658653E-4</v>
      </c>
      <c r="K166" s="505">
        <v>0.90000000000000013</v>
      </c>
      <c r="L166" s="3">
        <v>1</v>
      </c>
      <c r="M166" s="3">
        <v>5.2488000000000001</v>
      </c>
      <c r="N166" s="507">
        <v>20000000</v>
      </c>
      <c r="O166" s="507">
        <v>0</v>
      </c>
      <c r="P166" s="507">
        <v>20000000</v>
      </c>
      <c r="Q166" s="507">
        <v>14583.33</v>
      </c>
      <c r="R166" s="507">
        <v>16349.760859438557</v>
      </c>
      <c r="S166" s="507">
        <v>0</v>
      </c>
      <c r="T166" s="507">
        <v>16349.760859438557</v>
      </c>
      <c r="U166" s="507">
        <v>11.921697901713804</v>
      </c>
      <c r="V166" s="507">
        <f>Port[[#This Row],[EAD_Drawn (CNY)]]*Port[[#This Row],[CNY -&gt; FCY]]</f>
        <v>20000000</v>
      </c>
      <c r="W166" s="507">
        <f>Port[[#This Row],[EAD_Undrawn (CNY)]]*Port[[#This Row],[CNY -&gt; FCY]]</f>
        <v>0</v>
      </c>
      <c r="X166" s="507">
        <f>Port[[#This Row],[EAD (CNY)]]*Port[[#This Row],[CNY -&gt; FCY]]</f>
        <v>20000000</v>
      </c>
      <c r="Y166" s="507">
        <f>Port[[#This Row],[EAD_Interest (CNY)]]*Port[[#This Row],[CNY -&gt; FCY]]</f>
        <v>14583.33</v>
      </c>
      <c r="Z166" s="507">
        <f>Port[[#This Row],[ECL_Drawn (CNY)]]*Port[[#This Row],[CNY -&gt; FCY]]</f>
        <v>16349.760859438557</v>
      </c>
      <c r="AA166" s="507">
        <f>Port[[#This Row],[ECL_Undrawn (CNY)]]*Port[[#This Row],[CNY -&gt; FCY]]</f>
        <v>0</v>
      </c>
      <c r="AB166" s="507">
        <f>Port[[#This Row],[ECL (CNY)]]*Port[[#This Row],[CNY -&gt; FCY]]</f>
        <v>16349.760859438557</v>
      </c>
      <c r="AC166" s="507">
        <f>Port[[#This Row],[ECL_Interest (CNY)]]*Port[[#This Row],[CNY -&gt; FCY]]</f>
        <v>11.921697901713804</v>
      </c>
      <c r="AD166" s="507">
        <f>Port[[#This Row],[EAD_Drawn (CNY)]]*Port[[#This Row],[CNY -&gt; THB]]</f>
        <v>104976000</v>
      </c>
      <c r="AE166" s="507">
        <f>Port[[#This Row],[EAD_Undrawn (CNY)]]*Port[[#This Row],[CNY -&gt; THB]]</f>
        <v>0</v>
      </c>
      <c r="AF166" s="507">
        <f>Port[[#This Row],[EAD (CNY)]]*Port[[#This Row],[CNY -&gt; THB]]</f>
        <v>104976000</v>
      </c>
      <c r="AG166" s="507">
        <f>Port[[#This Row],[EAD_Interest (CNY)]]*Port[[#This Row],[CNY -&gt; THB]]</f>
        <v>76544.982504</v>
      </c>
      <c r="AH166" s="507">
        <f>Port[[#This Row],[ECL_Drawn (CNY)]]*Port[[#This Row],[CNY -&gt; THB]]</f>
        <v>85816.624799021098</v>
      </c>
      <c r="AI166" s="507">
        <f>Port[[#This Row],[ECL_Undrawn (CNY)]]*Port[[#This Row],[CNY -&gt; THB]]</f>
        <v>0</v>
      </c>
      <c r="AJ166" s="507">
        <f>Port[[#This Row],[ECL (CNY)]]*Port[[#This Row],[CNY -&gt; THB]]</f>
        <v>85816.624799021098</v>
      </c>
      <c r="AK166" s="507">
        <f>Port[[#This Row],[ECL_Interest (CNY)]]*Port[[#This Row],[CNY -&gt; THB]]</f>
        <v>62.574607946515414</v>
      </c>
      <c r="AL166" s="507">
        <f>Port[[#This Row],[EAD (THB)]]*Port[[#This Row],[PD_avg]]</f>
        <v>95351.805332245669</v>
      </c>
      <c r="AM166" s="507">
        <f>Port[[#This Row],[EAD_Interest (THB)]]*Port[[#This Row],[PD_avg]]</f>
        <v>69.527342162794909</v>
      </c>
      <c r="AN166" s="507">
        <f>Port[[#This Row],[EAD (THB)]]*Port[[#This Row],[LGD_avg]]</f>
        <v>94478400.000000015</v>
      </c>
      <c r="AO166" s="507">
        <f>Port[[#This Row],[EAD_Interest (THB)]]*Port[[#This Row],[LGD_avg]]</f>
        <v>68890.484253600007</v>
      </c>
      <c r="AP166" s="507">
        <f>Port[[#This Row],[EAD_Drawn (THB)]]+Port[[#This Row],[EAD_Interest (THB)]]</f>
        <v>105052544.982504</v>
      </c>
      <c r="AQ16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1574640</v>
      </c>
      <c r="AR166" s="522">
        <f>MAX(Port[[#This Row],[ECL (THB)]]+Port[[#This Row],[ECL_Interest (THB)]], Port[[#This Row],[ECL CBIRC (THB)]])</f>
        <v>1574640</v>
      </c>
    </row>
    <row r="167" spans="1:44">
      <c r="A167" s="2" t="s">
        <v>911</v>
      </c>
      <c r="B167" s="2" t="s">
        <v>912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21</v>
      </c>
      <c r="H167">
        <v>1</v>
      </c>
      <c r="I167" s="2" t="s">
        <v>526</v>
      </c>
      <c r="J167" s="505">
        <v>1.3043899345507868E-2</v>
      </c>
      <c r="K167" s="505">
        <v>0.90000000000000024</v>
      </c>
      <c r="L167" s="3">
        <v>1</v>
      </c>
      <c r="M167" s="3">
        <v>5.2488000000000001</v>
      </c>
      <c r="N167" s="507">
        <v>50000000</v>
      </c>
      <c r="O167" s="507">
        <v>0</v>
      </c>
      <c r="P167" s="507">
        <v>50000000</v>
      </c>
      <c r="Q167" s="507">
        <v>937500</v>
      </c>
      <c r="R167" s="507">
        <v>586975.4705478542</v>
      </c>
      <c r="S167" s="507">
        <v>0</v>
      </c>
      <c r="T167" s="507">
        <v>586975.4705478542</v>
      </c>
      <c r="U167" s="507">
        <v>11005.790072772264</v>
      </c>
      <c r="V167" s="507">
        <f>Port[[#This Row],[EAD_Drawn (CNY)]]*Port[[#This Row],[CNY -&gt; FCY]]</f>
        <v>50000000</v>
      </c>
      <c r="W167" s="507">
        <f>Port[[#This Row],[EAD_Undrawn (CNY)]]*Port[[#This Row],[CNY -&gt; FCY]]</f>
        <v>0</v>
      </c>
      <c r="X167" s="507">
        <f>Port[[#This Row],[EAD (CNY)]]*Port[[#This Row],[CNY -&gt; FCY]]</f>
        <v>50000000</v>
      </c>
      <c r="Y167" s="507">
        <f>Port[[#This Row],[EAD_Interest (CNY)]]*Port[[#This Row],[CNY -&gt; FCY]]</f>
        <v>937500</v>
      </c>
      <c r="Z167" s="507">
        <f>Port[[#This Row],[ECL_Drawn (CNY)]]*Port[[#This Row],[CNY -&gt; FCY]]</f>
        <v>586975.4705478542</v>
      </c>
      <c r="AA167" s="507">
        <f>Port[[#This Row],[ECL_Undrawn (CNY)]]*Port[[#This Row],[CNY -&gt; FCY]]</f>
        <v>0</v>
      </c>
      <c r="AB167" s="507">
        <f>Port[[#This Row],[ECL (CNY)]]*Port[[#This Row],[CNY -&gt; FCY]]</f>
        <v>586975.4705478542</v>
      </c>
      <c r="AC167" s="507">
        <f>Port[[#This Row],[ECL_Interest (CNY)]]*Port[[#This Row],[CNY -&gt; FCY]]</f>
        <v>11005.790072772264</v>
      </c>
      <c r="AD167" s="507">
        <f>Port[[#This Row],[EAD_Drawn (CNY)]]*Port[[#This Row],[CNY -&gt; THB]]</f>
        <v>262440000</v>
      </c>
      <c r="AE167" s="507">
        <f>Port[[#This Row],[EAD_Undrawn (CNY)]]*Port[[#This Row],[CNY -&gt; THB]]</f>
        <v>0</v>
      </c>
      <c r="AF167" s="507">
        <f>Port[[#This Row],[EAD (CNY)]]*Port[[#This Row],[CNY -&gt; THB]]</f>
        <v>262440000</v>
      </c>
      <c r="AG167" s="507">
        <f>Port[[#This Row],[EAD_Interest (CNY)]]*Port[[#This Row],[CNY -&gt; THB]]</f>
        <v>4920750</v>
      </c>
      <c r="AH167" s="507">
        <f>Port[[#This Row],[ECL_Drawn (CNY)]]*Port[[#This Row],[CNY -&gt; THB]]</f>
        <v>3080916.8498115772</v>
      </c>
      <c r="AI167" s="507">
        <f>Port[[#This Row],[ECL_Undrawn (CNY)]]*Port[[#This Row],[CNY -&gt; THB]]</f>
        <v>0</v>
      </c>
      <c r="AJ167" s="507">
        <f>Port[[#This Row],[ECL (CNY)]]*Port[[#This Row],[CNY -&gt; THB]]</f>
        <v>3080916.8498115772</v>
      </c>
      <c r="AK167" s="507">
        <f>Port[[#This Row],[ECL_Interest (CNY)]]*Port[[#This Row],[CNY -&gt; THB]]</f>
        <v>57767.19093396706</v>
      </c>
      <c r="AL167" s="507">
        <f>Port[[#This Row],[EAD (THB)]]*Port[[#This Row],[PD_avg]]</f>
        <v>3423240.944235085</v>
      </c>
      <c r="AM167" s="507">
        <f>Port[[#This Row],[EAD_Interest (THB)]]*Port[[#This Row],[PD_avg]]</f>
        <v>64185.767704407845</v>
      </c>
      <c r="AN167" s="507">
        <f>Port[[#This Row],[EAD (THB)]]*Port[[#This Row],[LGD_avg]]</f>
        <v>236196000.00000006</v>
      </c>
      <c r="AO167" s="507">
        <f>Port[[#This Row],[EAD_Interest (THB)]]*Port[[#This Row],[LGD_avg]]</f>
        <v>4428675.0000000009</v>
      </c>
      <c r="AP167" s="507">
        <f>Port[[#This Row],[EAD_Drawn (THB)]]+Port[[#This Row],[EAD_Interest (THB)]]</f>
        <v>267360750</v>
      </c>
      <c r="AQ16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167" s="522">
        <f>MAX(Port[[#This Row],[ECL (THB)]]+Port[[#This Row],[ECL_Interest (THB)]], Port[[#This Row],[ECL CBIRC (THB)]])</f>
        <v>3936600</v>
      </c>
    </row>
    <row r="168" spans="1:44">
      <c r="A168" s="2" t="s">
        <v>913</v>
      </c>
      <c r="B168" s="2" t="s">
        <v>158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>
        <v>1</v>
      </c>
      <c r="I168" s="2" t="s">
        <v>526</v>
      </c>
      <c r="J168" s="505">
        <v>3.0745295499522811E-2</v>
      </c>
      <c r="K168" s="505">
        <v>0.90000000000000013</v>
      </c>
      <c r="L168" s="3">
        <v>1</v>
      </c>
      <c r="M168" s="3">
        <v>5.2488000000000001</v>
      </c>
      <c r="N168" s="507">
        <v>8537801.6999999993</v>
      </c>
      <c r="O168" s="507">
        <v>0</v>
      </c>
      <c r="P168" s="507">
        <v>8537801.6999999993</v>
      </c>
      <c r="Q168" s="507">
        <v>8300.64</v>
      </c>
      <c r="R168" s="507">
        <v>236247.51256454541</v>
      </c>
      <c r="S168" s="507">
        <v>0</v>
      </c>
      <c r="T168" s="507">
        <v>236247.51256454541</v>
      </c>
      <c r="U168" s="507">
        <v>229.68506667164311</v>
      </c>
      <c r="V168" s="507">
        <f>Port[[#This Row],[EAD_Drawn (CNY)]]*Port[[#This Row],[CNY -&gt; FCY]]</f>
        <v>8537801.6999999993</v>
      </c>
      <c r="W168" s="507">
        <f>Port[[#This Row],[EAD_Undrawn (CNY)]]*Port[[#This Row],[CNY -&gt; FCY]]</f>
        <v>0</v>
      </c>
      <c r="X168" s="507">
        <f>Port[[#This Row],[EAD (CNY)]]*Port[[#This Row],[CNY -&gt; FCY]]</f>
        <v>8537801.6999999993</v>
      </c>
      <c r="Y168" s="507">
        <f>Port[[#This Row],[EAD_Interest (CNY)]]*Port[[#This Row],[CNY -&gt; FCY]]</f>
        <v>8300.64</v>
      </c>
      <c r="Z168" s="507">
        <f>Port[[#This Row],[ECL_Drawn (CNY)]]*Port[[#This Row],[CNY -&gt; FCY]]</f>
        <v>236247.51256454541</v>
      </c>
      <c r="AA168" s="507">
        <f>Port[[#This Row],[ECL_Undrawn (CNY)]]*Port[[#This Row],[CNY -&gt; FCY]]</f>
        <v>0</v>
      </c>
      <c r="AB168" s="507">
        <f>Port[[#This Row],[ECL (CNY)]]*Port[[#This Row],[CNY -&gt; FCY]]</f>
        <v>236247.51256454541</v>
      </c>
      <c r="AC168" s="507">
        <f>Port[[#This Row],[ECL_Interest (CNY)]]*Port[[#This Row],[CNY -&gt; FCY]]</f>
        <v>229.68506667164311</v>
      </c>
      <c r="AD168" s="507">
        <f>Port[[#This Row],[EAD_Drawn (CNY)]]*Port[[#This Row],[CNY -&gt; THB]]</f>
        <v>44813213.562959999</v>
      </c>
      <c r="AE168" s="507">
        <f>Port[[#This Row],[EAD_Undrawn (CNY)]]*Port[[#This Row],[CNY -&gt; THB]]</f>
        <v>0</v>
      </c>
      <c r="AF168" s="507">
        <f>Port[[#This Row],[EAD (CNY)]]*Port[[#This Row],[CNY -&gt; THB]]</f>
        <v>44813213.562959999</v>
      </c>
      <c r="AG168" s="507">
        <f>Port[[#This Row],[EAD_Interest (CNY)]]*Port[[#This Row],[CNY -&gt; THB]]</f>
        <v>43568.399231999996</v>
      </c>
      <c r="AH168" s="507">
        <f>Port[[#This Row],[ECL_Drawn (CNY)]]*Port[[#This Row],[CNY -&gt; THB]]</f>
        <v>1240015.943948786</v>
      </c>
      <c r="AI168" s="507">
        <f>Port[[#This Row],[ECL_Undrawn (CNY)]]*Port[[#This Row],[CNY -&gt; THB]]</f>
        <v>0</v>
      </c>
      <c r="AJ168" s="507">
        <f>Port[[#This Row],[ECL (CNY)]]*Port[[#This Row],[CNY -&gt; THB]]</f>
        <v>1240015.943948786</v>
      </c>
      <c r="AK168" s="507">
        <f>Port[[#This Row],[ECL_Interest (CNY)]]*Port[[#This Row],[CNY -&gt; THB]]</f>
        <v>1205.5709779461204</v>
      </c>
      <c r="AL168" s="507">
        <f>Port[[#This Row],[EAD (THB)]]*Port[[#This Row],[PD_avg]]</f>
        <v>1377795.4932764287</v>
      </c>
      <c r="AM168" s="507">
        <f>Port[[#This Row],[EAD_Interest (THB)]]*Port[[#This Row],[PD_avg]]</f>
        <v>1339.5233088290227</v>
      </c>
      <c r="AN168" s="507">
        <f>Port[[#This Row],[EAD (THB)]]*Port[[#This Row],[LGD_avg]]</f>
        <v>40331892.206664003</v>
      </c>
      <c r="AO168" s="507">
        <f>Port[[#This Row],[EAD_Interest (THB)]]*Port[[#This Row],[LGD_avg]]</f>
        <v>39211.559308800002</v>
      </c>
      <c r="AP168" s="507">
        <f>Port[[#This Row],[EAD_Drawn (THB)]]+Port[[#This Row],[EAD_Interest (THB)]]</f>
        <v>44856781.962191999</v>
      </c>
      <c r="AQ16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672198.20344439999</v>
      </c>
      <c r="AR168" s="522">
        <f>MAX(Port[[#This Row],[ECL (THB)]]+Port[[#This Row],[ECL_Interest (THB)]], Port[[#This Row],[ECL CBIRC (THB)]])</f>
        <v>1241221.5149267321</v>
      </c>
    </row>
    <row r="169" spans="1:44">
      <c r="A169" s="2" t="s">
        <v>914</v>
      </c>
      <c r="B169" s="2" t="s">
        <v>144</v>
      </c>
      <c r="C169" s="2" t="s">
        <v>17</v>
      </c>
      <c r="D169" s="2" t="s">
        <v>25</v>
      </c>
      <c r="E169" s="2" t="s">
        <v>19</v>
      </c>
      <c r="F169" s="2" t="s">
        <v>20</v>
      </c>
      <c r="G169" s="2" t="s">
        <v>21</v>
      </c>
      <c r="H169">
        <v>1</v>
      </c>
      <c r="I169" s="2" t="s">
        <v>526</v>
      </c>
      <c r="J169" s="505">
        <v>1.3043899345507868E-2</v>
      </c>
      <c r="K169" s="505">
        <v>0.89999999999999991</v>
      </c>
      <c r="L169" s="3">
        <v>1</v>
      </c>
      <c r="M169" s="3">
        <v>5.2488000000000001</v>
      </c>
      <c r="N169" s="507">
        <v>34000000</v>
      </c>
      <c r="O169" s="507">
        <v>0</v>
      </c>
      <c r="P169" s="507">
        <v>34000000</v>
      </c>
      <c r="Q169" s="507">
        <v>24130.560000000001</v>
      </c>
      <c r="R169" s="507">
        <v>399143.31997254078</v>
      </c>
      <c r="S169" s="507">
        <v>0</v>
      </c>
      <c r="T169" s="507">
        <v>399143.31997254078</v>
      </c>
      <c r="U169" s="507">
        <v>283.28093621166454</v>
      </c>
      <c r="V169" s="507">
        <f>Port[[#This Row],[EAD_Drawn (CNY)]]*Port[[#This Row],[CNY -&gt; FCY]]</f>
        <v>34000000</v>
      </c>
      <c r="W169" s="507">
        <f>Port[[#This Row],[EAD_Undrawn (CNY)]]*Port[[#This Row],[CNY -&gt; FCY]]</f>
        <v>0</v>
      </c>
      <c r="X169" s="507">
        <f>Port[[#This Row],[EAD (CNY)]]*Port[[#This Row],[CNY -&gt; FCY]]</f>
        <v>34000000</v>
      </c>
      <c r="Y169" s="507">
        <f>Port[[#This Row],[EAD_Interest (CNY)]]*Port[[#This Row],[CNY -&gt; FCY]]</f>
        <v>24130.560000000001</v>
      </c>
      <c r="Z169" s="507">
        <f>Port[[#This Row],[ECL_Drawn (CNY)]]*Port[[#This Row],[CNY -&gt; FCY]]</f>
        <v>399143.31997254078</v>
      </c>
      <c r="AA169" s="507">
        <f>Port[[#This Row],[ECL_Undrawn (CNY)]]*Port[[#This Row],[CNY -&gt; FCY]]</f>
        <v>0</v>
      </c>
      <c r="AB169" s="507">
        <f>Port[[#This Row],[ECL (CNY)]]*Port[[#This Row],[CNY -&gt; FCY]]</f>
        <v>399143.31997254078</v>
      </c>
      <c r="AC169" s="507">
        <f>Port[[#This Row],[ECL_Interest (CNY)]]*Port[[#This Row],[CNY -&gt; FCY]]</f>
        <v>283.28093621166454</v>
      </c>
      <c r="AD169" s="507">
        <f>Port[[#This Row],[EAD_Drawn (CNY)]]*Port[[#This Row],[CNY -&gt; THB]]</f>
        <v>178459200</v>
      </c>
      <c r="AE169" s="507">
        <f>Port[[#This Row],[EAD_Undrawn (CNY)]]*Port[[#This Row],[CNY -&gt; THB]]</f>
        <v>0</v>
      </c>
      <c r="AF169" s="507">
        <f>Port[[#This Row],[EAD (CNY)]]*Port[[#This Row],[CNY -&gt; THB]]</f>
        <v>178459200</v>
      </c>
      <c r="AG169" s="507">
        <f>Port[[#This Row],[EAD_Interest (CNY)]]*Port[[#This Row],[CNY -&gt; THB]]</f>
        <v>126656.48332800002</v>
      </c>
      <c r="AH169" s="507">
        <f>Port[[#This Row],[ECL_Drawn (CNY)]]*Port[[#This Row],[CNY -&gt; THB]]</f>
        <v>2095023.457871872</v>
      </c>
      <c r="AI169" s="507">
        <f>Port[[#This Row],[ECL_Undrawn (CNY)]]*Port[[#This Row],[CNY -&gt; THB]]</f>
        <v>0</v>
      </c>
      <c r="AJ169" s="507">
        <f>Port[[#This Row],[ECL (CNY)]]*Port[[#This Row],[CNY -&gt; THB]]</f>
        <v>2095023.457871872</v>
      </c>
      <c r="AK169" s="507">
        <f>Port[[#This Row],[ECL_Interest (CNY)]]*Port[[#This Row],[CNY -&gt; THB]]</f>
        <v>1486.8849779877849</v>
      </c>
      <c r="AL169" s="507">
        <f>Port[[#This Row],[EAD (THB)]]*Port[[#This Row],[PD_avg]]</f>
        <v>2327803.8420798578</v>
      </c>
      <c r="AM169" s="507">
        <f>Port[[#This Row],[EAD_Interest (THB)]]*Port[[#This Row],[PD_avg]]</f>
        <v>1652.0944199864277</v>
      </c>
      <c r="AN169" s="507">
        <f>Port[[#This Row],[EAD (THB)]]*Port[[#This Row],[LGD_avg]]</f>
        <v>160613279.99999997</v>
      </c>
      <c r="AO169" s="507">
        <f>Port[[#This Row],[EAD_Interest (THB)]]*Port[[#This Row],[LGD_avg]]</f>
        <v>113990.8349952</v>
      </c>
      <c r="AP169" s="507">
        <f>Port[[#This Row],[EAD_Drawn (THB)]]+Port[[#This Row],[EAD_Interest (THB)]]</f>
        <v>178585856.48332801</v>
      </c>
      <c r="AQ16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2676888</v>
      </c>
      <c r="AR169" s="522">
        <f>MAX(Port[[#This Row],[ECL (THB)]]+Port[[#This Row],[ECL_Interest (THB)]], Port[[#This Row],[ECL CBIRC (THB)]])</f>
        <v>2676888</v>
      </c>
    </row>
    <row r="170" spans="1:44">
      <c r="A170" s="2" t="s">
        <v>915</v>
      </c>
      <c r="B170" s="2" t="s">
        <v>916</v>
      </c>
      <c r="C170" s="2" t="s">
        <v>17</v>
      </c>
      <c r="D170" s="2" t="s">
        <v>25</v>
      </c>
      <c r="E170" s="2" t="s">
        <v>19</v>
      </c>
      <c r="F170" s="2" t="s">
        <v>20</v>
      </c>
      <c r="G170" s="2" t="s">
        <v>21</v>
      </c>
      <c r="H170">
        <v>1</v>
      </c>
      <c r="I170" s="2" t="s">
        <v>526</v>
      </c>
      <c r="J170" s="505">
        <v>2.0514833509807026E-2</v>
      </c>
      <c r="K170" s="505">
        <v>0.47846925033177634</v>
      </c>
      <c r="L170" s="3">
        <v>1</v>
      </c>
      <c r="M170" s="3">
        <v>5.2488000000000001</v>
      </c>
      <c r="N170" s="507">
        <v>6400000</v>
      </c>
      <c r="O170" s="507">
        <v>0</v>
      </c>
      <c r="P170" s="507">
        <v>6400000</v>
      </c>
      <c r="Q170" s="507">
        <v>5226.67</v>
      </c>
      <c r="R170" s="507">
        <v>62820.588864758865</v>
      </c>
      <c r="S170" s="507">
        <v>0</v>
      </c>
      <c r="T170" s="507">
        <v>62820.588864758865</v>
      </c>
      <c r="U170" s="507">
        <v>51.303513625276445</v>
      </c>
      <c r="V170" s="507">
        <f>Port[[#This Row],[EAD_Drawn (CNY)]]*Port[[#This Row],[CNY -&gt; FCY]]</f>
        <v>6400000</v>
      </c>
      <c r="W170" s="507">
        <f>Port[[#This Row],[EAD_Undrawn (CNY)]]*Port[[#This Row],[CNY -&gt; FCY]]</f>
        <v>0</v>
      </c>
      <c r="X170" s="507">
        <f>Port[[#This Row],[EAD (CNY)]]*Port[[#This Row],[CNY -&gt; FCY]]</f>
        <v>6400000</v>
      </c>
      <c r="Y170" s="507">
        <f>Port[[#This Row],[EAD_Interest (CNY)]]*Port[[#This Row],[CNY -&gt; FCY]]</f>
        <v>5226.67</v>
      </c>
      <c r="Z170" s="507">
        <f>Port[[#This Row],[ECL_Drawn (CNY)]]*Port[[#This Row],[CNY -&gt; FCY]]</f>
        <v>62820.588864758865</v>
      </c>
      <c r="AA170" s="507">
        <f>Port[[#This Row],[ECL_Undrawn (CNY)]]*Port[[#This Row],[CNY -&gt; FCY]]</f>
        <v>0</v>
      </c>
      <c r="AB170" s="507">
        <f>Port[[#This Row],[ECL (CNY)]]*Port[[#This Row],[CNY -&gt; FCY]]</f>
        <v>62820.588864758865</v>
      </c>
      <c r="AC170" s="507">
        <f>Port[[#This Row],[ECL_Interest (CNY)]]*Port[[#This Row],[CNY -&gt; FCY]]</f>
        <v>51.303513625276445</v>
      </c>
      <c r="AD170" s="507">
        <f>Port[[#This Row],[EAD_Drawn (CNY)]]*Port[[#This Row],[CNY -&gt; THB]]</f>
        <v>33592320</v>
      </c>
      <c r="AE170" s="507">
        <f>Port[[#This Row],[EAD_Undrawn (CNY)]]*Port[[#This Row],[CNY -&gt; THB]]</f>
        <v>0</v>
      </c>
      <c r="AF170" s="507">
        <f>Port[[#This Row],[EAD (CNY)]]*Port[[#This Row],[CNY -&gt; THB]]</f>
        <v>33592320</v>
      </c>
      <c r="AG170" s="507">
        <f>Port[[#This Row],[EAD_Interest (CNY)]]*Port[[#This Row],[CNY -&gt; THB]]</f>
        <v>27433.745496</v>
      </c>
      <c r="AH170" s="507">
        <f>Port[[#This Row],[ECL_Drawn (CNY)]]*Port[[#This Row],[CNY -&gt; THB]]</f>
        <v>329732.70683334634</v>
      </c>
      <c r="AI170" s="507">
        <f>Port[[#This Row],[ECL_Undrawn (CNY)]]*Port[[#This Row],[CNY -&gt; THB]]</f>
        <v>0</v>
      </c>
      <c r="AJ170" s="507">
        <f>Port[[#This Row],[ECL (CNY)]]*Port[[#This Row],[CNY -&gt; THB]]</f>
        <v>329732.70683334634</v>
      </c>
      <c r="AK170" s="507">
        <f>Port[[#This Row],[ECL_Interest (CNY)]]*Port[[#This Row],[CNY -&gt; THB]]</f>
        <v>269.28188231635102</v>
      </c>
      <c r="AL170" s="507">
        <f>Port[[#This Row],[EAD (THB)]]*Port[[#This Row],[PD_avg]]</f>
        <v>689140.85200816079</v>
      </c>
      <c r="AM170" s="507">
        <f>Port[[#This Row],[EAD_Interest (THB)]]*Port[[#This Row],[PD_avg]]</f>
        <v>562.79872140085831</v>
      </c>
      <c r="AN170" s="507">
        <f>Port[[#This Row],[EAD (THB)]]*Port[[#This Row],[LGD_avg]]</f>
        <v>16072892.167305136</v>
      </c>
      <c r="AO170" s="507">
        <f>Port[[#This Row],[EAD_Interest (THB)]]*Port[[#This Row],[LGD_avg]]</f>
        <v>13126.203641263866</v>
      </c>
      <c r="AP170" s="507">
        <f>Port[[#This Row],[EAD_Drawn (THB)]]+Port[[#This Row],[EAD_Interest (THB)]]</f>
        <v>33619753.745495997</v>
      </c>
      <c r="AQ17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503884.79999999999</v>
      </c>
      <c r="AR170" s="522">
        <f>MAX(Port[[#This Row],[ECL (THB)]]+Port[[#This Row],[ECL_Interest (THB)]], Port[[#This Row],[ECL CBIRC (THB)]])</f>
        <v>503884.79999999999</v>
      </c>
    </row>
    <row r="171" spans="1:44">
      <c r="A171" s="2" t="s">
        <v>917</v>
      </c>
      <c r="B171" s="2" t="s">
        <v>133</v>
      </c>
      <c r="C171" s="2" t="s">
        <v>17</v>
      </c>
      <c r="D171" s="2" t="s">
        <v>25</v>
      </c>
      <c r="E171" s="2" t="s">
        <v>19</v>
      </c>
      <c r="F171" s="2" t="s">
        <v>20</v>
      </c>
      <c r="G171" s="2" t="s">
        <v>21</v>
      </c>
      <c r="H171">
        <v>1</v>
      </c>
      <c r="I171" s="2" t="s">
        <v>526</v>
      </c>
      <c r="J171" s="505">
        <v>9.0832004774658653E-4</v>
      </c>
      <c r="K171" s="505">
        <v>0.9</v>
      </c>
      <c r="L171" s="3">
        <v>1</v>
      </c>
      <c r="M171" s="3">
        <v>5.2488000000000001</v>
      </c>
      <c r="N171" s="507">
        <v>70000000</v>
      </c>
      <c r="O171" s="507">
        <v>0</v>
      </c>
      <c r="P171" s="507">
        <v>70000000</v>
      </c>
      <c r="Q171" s="507">
        <v>51722.22</v>
      </c>
      <c r="R171" s="507">
        <v>57224.163008034942</v>
      </c>
      <c r="S171" s="507">
        <v>0</v>
      </c>
      <c r="T171" s="507">
        <v>57224.163008034942</v>
      </c>
      <c r="U171" s="507">
        <v>42.282296405963507</v>
      </c>
      <c r="V171" s="507">
        <f>Port[[#This Row],[EAD_Drawn (CNY)]]*Port[[#This Row],[CNY -&gt; FCY]]</f>
        <v>70000000</v>
      </c>
      <c r="W171" s="507">
        <f>Port[[#This Row],[EAD_Undrawn (CNY)]]*Port[[#This Row],[CNY -&gt; FCY]]</f>
        <v>0</v>
      </c>
      <c r="X171" s="507">
        <f>Port[[#This Row],[EAD (CNY)]]*Port[[#This Row],[CNY -&gt; FCY]]</f>
        <v>70000000</v>
      </c>
      <c r="Y171" s="507">
        <f>Port[[#This Row],[EAD_Interest (CNY)]]*Port[[#This Row],[CNY -&gt; FCY]]</f>
        <v>51722.22</v>
      </c>
      <c r="Z171" s="507">
        <f>Port[[#This Row],[ECL_Drawn (CNY)]]*Port[[#This Row],[CNY -&gt; FCY]]</f>
        <v>57224.163008034942</v>
      </c>
      <c r="AA171" s="507">
        <f>Port[[#This Row],[ECL_Undrawn (CNY)]]*Port[[#This Row],[CNY -&gt; FCY]]</f>
        <v>0</v>
      </c>
      <c r="AB171" s="507">
        <f>Port[[#This Row],[ECL (CNY)]]*Port[[#This Row],[CNY -&gt; FCY]]</f>
        <v>57224.163008034942</v>
      </c>
      <c r="AC171" s="507">
        <f>Port[[#This Row],[ECL_Interest (CNY)]]*Port[[#This Row],[CNY -&gt; FCY]]</f>
        <v>42.282296405963507</v>
      </c>
      <c r="AD171" s="507">
        <f>Port[[#This Row],[EAD_Drawn (CNY)]]*Port[[#This Row],[CNY -&gt; THB]]</f>
        <v>367416000</v>
      </c>
      <c r="AE171" s="507">
        <f>Port[[#This Row],[EAD_Undrawn (CNY)]]*Port[[#This Row],[CNY -&gt; THB]]</f>
        <v>0</v>
      </c>
      <c r="AF171" s="507">
        <f>Port[[#This Row],[EAD (CNY)]]*Port[[#This Row],[CNY -&gt; THB]]</f>
        <v>367416000</v>
      </c>
      <c r="AG171" s="507">
        <f>Port[[#This Row],[EAD_Interest (CNY)]]*Port[[#This Row],[CNY -&gt; THB]]</f>
        <v>271479.58833599999</v>
      </c>
      <c r="AH171" s="507">
        <f>Port[[#This Row],[ECL_Drawn (CNY)]]*Port[[#This Row],[CNY -&gt; THB]]</f>
        <v>300358.18679657381</v>
      </c>
      <c r="AI171" s="507">
        <f>Port[[#This Row],[ECL_Undrawn (CNY)]]*Port[[#This Row],[CNY -&gt; THB]]</f>
        <v>0</v>
      </c>
      <c r="AJ171" s="507">
        <f>Port[[#This Row],[ECL (CNY)]]*Port[[#This Row],[CNY -&gt; THB]]</f>
        <v>300358.18679657381</v>
      </c>
      <c r="AK171" s="507">
        <f>Port[[#This Row],[ECL_Interest (CNY)]]*Port[[#This Row],[CNY -&gt; THB]]</f>
        <v>221.93131737562126</v>
      </c>
      <c r="AL171" s="507">
        <f>Port[[#This Row],[EAD (THB)]]*Port[[#This Row],[PD_avg]]</f>
        <v>333731.31866285985</v>
      </c>
      <c r="AM171" s="507">
        <f>Port[[#This Row],[EAD_Interest (THB)]]*Port[[#This Row],[PD_avg]]</f>
        <v>246.59035263957915</v>
      </c>
      <c r="AN171" s="507">
        <f>Port[[#This Row],[EAD (THB)]]*Port[[#This Row],[LGD_avg]]</f>
        <v>330674400</v>
      </c>
      <c r="AO171" s="507">
        <f>Port[[#This Row],[EAD_Interest (THB)]]*Port[[#This Row],[LGD_avg]]</f>
        <v>244331.6295024</v>
      </c>
      <c r="AP171" s="507">
        <f>Port[[#This Row],[EAD_Drawn (THB)]]+Port[[#This Row],[EAD_Interest (THB)]]</f>
        <v>367687479.58833599</v>
      </c>
      <c r="AQ17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5511240</v>
      </c>
      <c r="AR171" s="522">
        <f>MAX(Port[[#This Row],[ECL (THB)]]+Port[[#This Row],[ECL_Interest (THB)]], Port[[#This Row],[ECL CBIRC (THB)]])</f>
        <v>5511240</v>
      </c>
    </row>
    <row r="172" spans="1:44">
      <c r="A172" s="2" t="s">
        <v>918</v>
      </c>
      <c r="B172" s="2" t="s">
        <v>158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>
        <v>1</v>
      </c>
      <c r="I172" s="2" t="s">
        <v>526</v>
      </c>
      <c r="J172" s="505">
        <v>3.0745295499522811E-2</v>
      </c>
      <c r="K172" s="505">
        <v>0.9</v>
      </c>
      <c r="L172" s="3">
        <v>1</v>
      </c>
      <c r="M172" s="3">
        <v>5.2488000000000001</v>
      </c>
      <c r="N172" s="507">
        <v>15000000</v>
      </c>
      <c r="O172" s="507">
        <v>0</v>
      </c>
      <c r="P172" s="507">
        <v>15000000</v>
      </c>
      <c r="Q172" s="507">
        <v>14583.33</v>
      </c>
      <c r="R172" s="507">
        <v>415061.48924355797</v>
      </c>
      <c r="S172" s="507">
        <v>0</v>
      </c>
      <c r="T172" s="507">
        <v>415061.48924355797</v>
      </c>
      <c r="U172" s="507">
        <v>403.5319111953504</v>
      </c>
      <c r="V172" s="507">
        <f>Port[[#This Row],[EAD_Drawn (CNY)]]*Port[[#This Row],[CNY -&gt; FCY]]</f>
        <v>15000000</v>
      </c>
      <c r="W172" s="507">
        <f>Port[[#This Row],[EAD_Undrawn (CNY)]]*Port[[#This Row],[CNY -&gt; FCY]]</f>
        <v>0</v>
      </c>
      <c r="X172" s="507">
        <f>Port[[#This Row],[EAD (CNY)]]*Port[[#This Row],[CNY -&gt; FCY]]</f>
        <v>15000000</v>
      </c>
      <c r="Y172" s="507">
        <f>Port[[#This Row],[EAD_Interest (CNY)]]*Port[[#This Row],[CNY -&gt; FCY]]</f>
        <v>14583.33</v>
      </c>
      <c r="Z172" s="507">
        <f>Port[[#This Row],[ECL_Drawn (CNY)]]*Port[[#This Row],[CNY -&gt; FCY]]</f>
        <v>415061.48924355797</v>
      </c>
      <c r="AA172" s="507">
        <f>Port[[#This Row],[ECL_Undrawn (CNY)]]*Port[[#This Row],[CNY -&gt; FCY]]</f>
        <v>0</v>
      </c>
      <c r="AB172" s="507">
        <f>Port[[#This Row],[ECL (CNY)]]*Port[[#This Row],[CNY -&gt; FCY]]</f>
        <v>415061.48924355797</v>
      </c>
      <c r="AC172" s="507">
        <f>Port[[#This Row],[ECL_Interest (CNY)]]*Port[[#This Row],[CNY -&gt; FCY]]</f>
        <v>403.5319111953504</v>
      </c>
      <c r="AD172" s="507">
        <f>Port[[#This Row],[EAD_Drawn (CNY)]]*Port[[#This Row],[CNY -&gt; THB]]</f>
        <v>78732000</v>
      </c>
      <c r="AE172" s="507">
        <f>Port[[#This Row],[EAD_Undrawn (CNY)]]*Port[[#This Row],[CNY -&gt; THB]]</f>
        <v>0</v>
      </c>
      <c r="AF172" s="507">
        <f>Port[[#This Row],[EAD (CNY)]]*Port[[#This Row],[CNY -&gt; THB]]</f>
        <v>78732000</v>
      </c>
      <c r="AG172" s="507">
        <f>Port[[#This Row],[EAD_Interest (CNY)]]*Port[[#This Row],[CNY -&gt; THB]]</f>
        <v>76544.982504</v>
      </c>
      <c r="AH172" s="507">
        <f>Port[[#This Row],[ECL_Drawn (CNY)]]*Port[[#This Row],[CNY -&gt; THB]]</f>
        <v>2178574.744741587</v>
      </c>
      <c r="AI172" s="507">
        <f>Port[[#This Row],[ECL_Undrawn (CNY)]]*Port[[#This Row],[CNY -&gt; THB]]</f>
        <v>0</v>
      </c>
      <c r="AJ172" s="507">
        <f>Port[[#This Row],[ECL (CNY)]]*Port[[#This Row],[CNY -&gt; THB]]</f>
        <v>2178574.744741587</v>
      </c>
      <c r="AK172" s="507">
        <f>Port[[#This Row],[ECL_Interest (CNY)]]*Port[[#This Row],[CNY -&gt; THB]]</f>
        <v>2118.0582954821552</v>
      </c>
      <c r="AL172" s="507">
        <f>Port[[#This Row],[EAD (THB)]]*Port[[#This Row],[PD_avg]]</f>
        <v>2420638.60526843</v>
      </c>
      <c r="AM172" s="507">
        <f>Port[[#This Row],[EAD_Interest (THB)]]*Port[[#This Row],[PD_avg]]</f>
        <v>2353.3981060912834</v>
      </c>
      <c r="AN172" s="507">
        <f>Port[[#This Row],[EAD (THB)]]*Port[[#This Row],[LGD_avg]]</f>
        <v>70858800</v>
      </c>
      <c r="AO172" s="507">
        <f>Port[[#This Row],[EAD_Interest (THB)]]*Port[[#This Row],[LGD_avg]]</f>
        <v>68890.484253600007</v>
      </c>
      <c r="AP172" s="507">
        <f>Port[[#This Row],[EAD_Drawn (THB)]]+Port[[#This Row],[EAD_Interest (THB)]]</f>
        <v>78808544.982503995</v>
      </c>
      <c r="AQ17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1180980</v>
      </c>
      <c r="AR172" s="522">
        <f>MAX(Port[[#This Row],[ECL (THB)]]+Port[[#This Row],[ECL_Interest (THB)]], Port[[#This Row],[ECL CBIRC (THB)]])</f>
        <v>2180692.8030370693</v>
      </c>
    </row>
    <row r="173" spans="1:44">
      <c r="A173" s="2" t="s">
        <v>919</v>
      </c>
      <c r="B173" s="2" t="s">
        <v>94</v>
      </c>
      <c r="C173" s="2" t="s">
        <v>17</v>
      </c>
      <c r="D173" s="2" t="s">
        <v>95</v>
      </c>
      <c r="E173" s="2" t="s">
        <v>19</v>
      </c>
      <c r="F173" s="2" t="s">
        <v>20</v>
      </c>
      <c r="G173" s="2" t="s">
        <v>21</v>
      </c>
      <c r="H173">
        <v>1</v>
      </c>
      <c r="I173" s="2" t="s">
        <v>526</v>
      </c>
      <c r="J173" s="505">
        <v>2.0514833509807026E-2</v>
      </c>
      <c r="K173" s="505">
        <v>0.90000000000000013</v>
      </c>
      <c r="L173" s="3">
        <v>1</v>
      </c>
      <c r="M173" s="3">
        <v>5.2488000000000001</v>
      </c>
      <c r="N173" s="507">
        <v>11305535.23</v>
      </c>
      <c r="O173" s="507">
        <v>0</v>
      </c>
      <c r="P173" s="507">
        <v>11305535.23</v>
      </c>
      <c r="Q173" s="507">
        <v>9452.68</v>
      </c>
      <c r="R173" s="507">
        <v>208738.05568443713</v>
      </c>
      <c r="S173" s="507">
        <v>0</v>
      </c>
      <c r="T173" s="507">
        <v>208738.05568443713</v>
      </c>
      <c r="U173" s="507">
        <v>174.52814077933442</v>
      </c>
      <c r="V173" s="507">
        <f>Port[[#This Row],[EAD_Drawn (CNY)]]*Port[[#This Row],[CNY -&gt; FCY]]</f>
        <v>11305535.23</v>
      </c>
      <c r="W173" s="507">
        <f>Port[[#This Row],[EAD_Undrawn (CNY)]]*Port[[#This Row],[CNY -&gt; FCY]]</f>
        <v>0</v>
      </c>
      <c r="X173" s="507">
        <f>Port[[#This Row],[EAD (CNY)]]*Port[[#This Row],[CNY -&gt; FCY]]</f>
        <v>11305535.23</v>
      </c>
      <c r="Y173" s="507">
        <f>Port[[#This Row],[EAD_Interest (CNY)]]*Port[[#This Row],[CNY -&gt; FCY]]</f>
        <v>9452.68</v>
      </c>
      <c r="Z173" s="507">
        <f>Port[[#This Row],[ECL_Drawn (CNY)]]*Port[[#This Row],[CNY -&gt; FCY]]</f>
        <v>208738.05568443713</v>
      </c>
      <c r="AA173" s="507">
        <f>Port[[#This Row],[ECL_Undrawn (CNY)]]*Port[[#This Row],[CNY -&gt; FCY]]</f>
        <v>0</v>
      </c>
      <c r="AB173" s="507">
        <f>Port[[#This Row],[ECL (CNY)]]*Port[[#This Row],[CNY -&gt; FCY]]</f>
        <v>208738.05568443713</v>
      </c>
      <c r="AC173" s="507">
        <f>Port[[#This Row],[ECL_Interest (CNY)]]*Port[[#This Row],[CNY -&gt; FCY]]</f>
        <v>174.52814077933442</v>
      </c>
      <c r="AD173" s="507">
        <f>Port[[#This Row],[EAD_Drawn (CNY)]]*Port[[#This Row],[CNY -&gt; THB]]</f>
        <v>59340493.315224007</v>
      </c>
      <c r="AE173" s="507">
        <f>Port[[#This Row],[EAD_Undrawn (CNY)]]*Port[[#This Row],[CNY -&gt; THB]]</f>
        <v>0</v>
      </c>
      <c r="AF173" s="507">
        <f>Port[[#This Row],[EAD (CNY)]]*Port[[#This Row],[CNY -&gt; THB]]</f>
        <v>59340493.315224007</v>
      </c>
      <c r="AG173" s="507">
        <f>Port[[#This Row],[EAD_Interest (CNY)]]*Port[[#This Row],[CNY -&gt; THB]]</f>
        <v>49615.226784000006</v>
      </c>
      <c r="AH173" s="507">
        <f>Port[[#This Row],[ECL_Drawn (CNY)]]*Port[[#This Row],[CNY -&gt; THB]]</f>
        <v>1095624.3066764737</v>
      </c>
      <c r="AI173" s="507">
        <f>Port[[#This Row],[ECL_Undrawn (CNY)]]*Port[[#This Row],[CNY -&gt; THB]]</f>
        <v>0</v>
      </c>
      <c r="AJ173" s="507">
        <f>Port[[#This Row],[ECL (CNY)]]*Port[[#This Row],[CNY -&gt; THB]]</f>
        <v>1095624.3066764737</v>
      </c>
      <c r="AK173" s="507">
        <f>Port[[#This Row],[ECL_Interest (CNY)]]*Port[[#This Row],[CNY -&gt; THB]]</f>
        <v>916.0633053225705</v>
      </c>
      <c r="AL173" s="507">
        <f>Port[[#This Row],[EAD (THB)]]*Port[[#This Row],[PD_avg]]</f>
        <v>1217360.3407516372</v>
      </c>
      <c r="AM173" s="507">
        <f>Port[[#This Row],[EAD_Interest (THB)]]*Port[[#This Row],[PD_avg]]</f>
        <v>1017.8481170250784</v>
      </c>
      <c r="AN173" s="507">
        <f>Port[[#This Row],[EAD (THB)]]*Port[[#This Row],[LGD_avg]]</f>
        <v>53406443.983701617</v>
      </c>
      <c r="AO173" s="507">
        <f>Port[[#This Row],[EAD_Interest (THB)]]*Port[[#This Row],[LGD_avg]]</f>
        <v>44653.704105600009</v>
      </c>
      <c r="AP173" s="507">
        <f>Port[[#This Row],[EAD_Drawn (THB)]]+Port[[#This Row],[EAD_Interest (THB)]]</f>
        <v>59390108.542008005</v>
      </c>
      <c r="AQ17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890107.39972836012</v>
      </c>
      <c r="AR173" s="522">
        <f>MAX(Port[[#This Row],[ECL (THB)]]+Port[[#This Row],[ECL_Interest (THB)]], Port[[#This Row],[ECL CBIRC (THB)]])</f>
        <v>1096540.3699817962</v>
      </c>
    </row>
    <row r="174" spans="1:44">
      <c r="A174" s="2" t="s">
        <v>920</v>
      </c>
      <c r="B174" s="2" t="s">
        <v>921</v>
      </c>
      <c r="C174" s="2" t="s">
        <v>17</v>
      </c>
      <c r="D174" s="2" t="s">
        <v>30</v>
      </c>
      <c r="E174" s="2" t="s">
        <v>19</v>
      </c>
      <c r="F174" s="2" t="s">
        <v>20</v>
      </c>
      <c r="G174" s="2" t="s">
        <v>21</v>
      </c>
      <c r="H174">
        <v>1</v>
      </c>
      <c r="I174" s="2" t="s">
        <v>526</v>
      </c>
      <c r="J174" s="505">
        <v>3.0745295499522811E-2</v>
      </c>
      <c r="K174" s="505">
        <v>0.90000000000000013</v>
      </c>
      <c r="L174" s="3">
        <v>1</v>
      </c>
      <c r="M174" s="3">
        <v>5.2488000000000001</v>
      </c>
      <c r="N174" s="507">
        <v>20018388.390000001</v>
      </c>
      <c r="O174" s="507">
        <v>0</v>
      </c>
      <c r="P174" s="507">
        <v>20018388.390000001</v>
      </c>
      <c r="Q174" s="507">
        <v>219979.85</v>
      </c>
      <c r="R174" s="507">
        <v>553924.13982729008</v>
      </c>
      <c r="S174" s="507">
        <v>0</v>
      </c>
      <c r="T174" s="507">
        <v>553924.13982729008</v>
      </c>
      <c r="U174" s="507">
        <v>6087.010942971634</v>
      </c>
      <c r="V174" s="507">
        <f>Port[[#This Row],[EAD_Drawn (CNY)]]*Port[[#This Row],[CNY -&gt; FCY]]</f>
        <v>20018388.390000001</v>
      </c>
      <c r="W174" s="507">
        <f>Port[[#This Row],[EAD_Undrawn (CNY)]]*Port[[#This Row],[CNY -&gt; FCY]]</f>
        <v>0</v>
      </c>
      <c r="X174" s="507">
        <f>Port[[#This Row],[EAD (CNY)]]*Port[[#This Row],[CNY -&gt; FCY]]</f>
        <v>20018388.390000001</v>
      </c>
      <c r="Y174" s="507">
        <f>Port[[#This Row],[EAD_Interest (CNY)]]*Port[[#This Row],[CNY -&gt; FCY]]</f>
        <v>219979.85</v>
      </c>
      <c r="Z174" s="507">
        <f>Port[[#This Row],[ECL_Drawn (CNY)]]*Port[[#This Row],[CNY -&gt; FCY]]</f>
        <v>553924.13982729008</v>
      </c>
      <c r="AA174" s="507">
        <f>Port[[#This Row],[ECL_Undrawn (CNY)]]*Port[[#This Row],[CNY -&gt; FCY]]</f>
        <v>0</v>
      </c>
      <c r="AB174" s="507">
        <f>Port[[#This Row],[ECL (CNY)]]*Port[[#This Row],[CNY -&gt; FCY]]</f>
        <v>553924.13982729008</v>
      </c>
      <c r="AC174" s="507">
        <f>Port[[#This Row],[ECL_Interest (CNY)]]*Port[[#This Row],[CNY -&gt; FCY]]</f>
        <v>6087.010942971634</v>
      </c>
      <c r="AD174" s="507">
        <f>Port[[#This Row],[EAD_Drawn (CNY)]]*Port[[#This Row],[CNY -&gt; THB]]</f>
        <v>105072516.98143201</v>
      </c>
      <c r="AE174" s="507">
        <f>Port[[#This Row],[EAD_Undrawn (CNY)]]*Port[[#This Row],[CNY -&gt; THB]]</f>
        <v>0</v>
      </c>
      <c r="AF174" s="507">
        <f>Port[[#This Row],[EAD (CNY)]]*Port[[#This Row],[CNY -&gt; THB]]</f>
        <v>105072516.98143201</v>
      </c>
      <c r="AG174" s="507">
        <f>Port[[#This Row],[EAD_Interest (CNY)]]*Port[[#This Row],[CNY -&gt; THB]]</f>
        <v>1154630.2366800001</v>
      </c>
      <c r="AH174" s="507">
        <f>Port[[#This Row],[ECL_Drawn (CNY)]]*Port[[#This Row],[CNY -&gt; THB]]</f>
        <v>2907437.0251254803</v>
      </c>
      <c r="AI174" s="507">
        <f>Port[[#This Row],[ECL_Undrawn (CNY)]]*Port[[#This Row],[CNY -&gt; THB]]</f>
        <v>0</v>
      </c>
      <c r="AJ174" s="507">
        <f>Port[[#This Row],[ECL (CNY)]]*Port[[#This Row],[CNY -&gt; THB]]</f>
        <v>2907437.0251254803</v>
      </c>
      <c r="AK174" s="507">
        <f>Port[[#This Row],[ECL_Interest (CNY)]]*Port[[#This Row],[CNY -&gt; THB]]</f>
        <v>31949.503037469512</v>
      </c>
      <c r="AL174" s="507">
        <f>Port[[#This Row],[EAD (THB)]]*Port[[#This Row],[PD_avg]]</f>
        <v>3230485.5834727557</v>
      </c>
      <c r="AM174" s="507">
        <f>Port[[#This Row],[EAD_Interest (THB)]]*Port[[#This Row],[PD_avg]]</f>
        <v>35499.447819410561</v>
      </c>
      <c r="AN174" s="507">
        <f>Port[[#This Row],[EAD (THB)]]*Port[[#This Row],[LGD_avg]]</f>
        <v>94565265.283288822</v>
      </c>
      <c r="AO174" s="507">
        <f>Port[[#This Row],[EAD_Interest (THB)]]*Port[[#This Row],[LGD_avg]]</f>
        <v>1039167.2130120002</v>
      </c>
      <c r="AP174" s="507">
        <f>Port[[#This Row],[EAD_Drawn (THB)]]+Port[[#This Row],[EAD_Interest (THB)]]</f>
        <v>106227147.21811201</v>
      </c>
      <c r="AQ17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1576087.75472148</v>
      </c>
      <c r="AR174" s="522">
        <f>MAX(Port[[#This Row],[ECL (THB)]]+Port[[#This Row],[ECL_Interest (THB)]], Port[[#This Row],[ECL CBIRC (THB)]])</f>
        <v>2939386.5281629497</v>
      </c>
    </row>
    <row r="175" spans="1:44">
      <c r="A175" s="2" t="s">
        <v>922</v>
      </c>
      <c r="B175" s="2" t="s">
        <v>136</v>
      </c>
      <c r="C175" s="2" t="s">
        <v>17</v>
      </c>
      <c r="D175" s="2" t="s">
        <v>25</v>
      </c>
      <c r="E175" s="2" t="s">
        <v>19</v>
      </c>
      <c r="F175" s="2" t="s">
        <v>20</v>
      </c>
      <c r="G175" s="2" t="s">
        <v>21</v>
      </c>
      <c r="H175">
        <v>1</v>
      </c>
      <c r="I175" s="2" t="s">
        <v>526</v>
      </c>
      <c r="J175" s="505">
        <v>5.2260409683794924E-3</v>
      </c>
      <c r="K175" s="505">
        <v>0.89999999999999991</v>
      </c>
      <c r="L175" s="3">
        <v>1</v>
      </c>
      <c r="M175" s="3">
        <v>5.2488000000000001</v>
      </c>
      <c r="N175" s="507">
        <v>100000000</v>
      </c>
      <c r="O175" s="507">
        <v>0</v>
      </c>
      <c r="P175" s="507">
        <v>100000000</v>
      </c>
      <c r="Q175" s="507">
        <v>76805.56</v>
      </c>
      <c r="R175" s="507">
        <v>470343.68715415429</v>
      </c>
      <c r="S175" s="507">
        <v>0</v>
      </c>
      <c r="T175" s="507">
        <v>470343.68715415429</v>
      </c>
      <c r="U175" s="507">
        <v>361.25010284339623</v>
      </c>
      <c r="V175" s="507">
        <f>Port[[#This Row],[EAD_Drawn (CNY)]]*Port[[#This Row],[CNY -&gt; FCY]]</f>
        <v>100000000</v>
      </c>
      <c r="W175" s="507">
        <f>Port[[#This Row],[EAD_Undrawn (CNY)]]*Port[[#This Row],[CNY -&gt; FCY]]</f>
        <v>0</v>
      </c>
      <c r="X175" s="507">
        <f>Port[[#This Row],[EAD (CNY)]]*Port[[#This Row],[CNY -&gt; FCY]]</f>
        <v>100000000</v>
      </c>
      <c r="Y175" s="507">
        <f>Port[[#This Row],[EAD_Interest (CNY)]]*Port[[#This Row],[CNY -&gt; FCY]]</f>
        <v>76805.56</v>
      </c>
      <c r="Z175" s="507">
        <f>Port[[#This Row],[ECL_Drawn (CNY)]]*Port[[#This Row],[CNY -&gt; FCY]]</f>
        <v>470343.68715415429</v>
      </c>
      <c r="AA175" s="507">
        <f>Port[[#This Row],[ECL_Undrawn (CNY)]]*Port[[#This Row],[CNY -&gt; FCY]]</f>
        <v>0</v>
      </c>
      <c r="AB175" s="507">
        <f>Port[[#This Row],[ECL (CNY)]]*Port[[#This Row],[CNY -&gt; FCY]]</f>
        <v>470343.68715415429</v>
      </c>
      <c r="AC175" s="507">
        <f>Port[[#This Row],[ECL_Interest (CNY)]]*Port[[#This Row],[CNY -&gt; FCY]]</f>
        <v>361.25010284339623</v>
      </c>
      <c r="AD175" s="507">
        <f>Port[[#This Row],[EAD_Drawn (CNY)]]*Port[[#This Row],[CNY -&gt; THB]]</f>
        <v>524880000</v>
      </c>
      <c r="AE175" s="507">
        <f>Port[[#This Row],[EAD_Undrawn (CNY)]]*Port[[#This Row],[CNY -&gt; THB]]</f>
        <v>0</v>
      </c>
      <c r="AF175" s="507">
        <f>Port[[#This Row],[EAD (CNY)]]*Port[[#This Row],[CNY -&gt; THB]]</f>
        <v>524880000</v>
      </c>
      <c r="AG175" s="507">
        <f>Port[[#This Row],[EAD_Interest (CNY)]]*Port[[#This Row],[CNY -&gt; THB]]</f>
        <v>403137.02332799998</v>
      </c>
      <c r="AH175" s="507">
        <f>Port[[#This Row],[ECL_Drawn (CNY)]]*Port[[#This Row],[CNY -&gt; THB]]</f>
        <v>2468739.945134725</v>
      </c>
      <c r="AI175" s="507">
        <f>Port[[#This Row],[ECL_Undrawn (CNY)]]*Port[[#This Row],[CNY -&gt; THB]]</f>
        <v>0</v>
      </c>
      <c r="AJ175" s="507">
        <f>Port[[#This Row],[ECL (CNY)]]*Port[[#This Row],[CNY -&gt; THB]]</f>
        <v>2468739.945134725</v>
      </c>
      <c r="AK175" s="507">
        <f>Port[[#This Row],[ECL_Interest (CNY)]]*Port[[#This Row],[CNY -&gt; THB]]</f>
        <v>1896.1295398044183</v>
      </c>
      <c r="AL175" s="507">
        <f>Port[[#This Row],[EAD (THB)]]*Port[[#This Row],[PD_avg]]</f>
        <v>2743044.383483028</v>
      </c>
      <c r="AM175" s="507">
        <f>Port[[#This Row],[EAD_Interest (THB)]]*Port[[#This Row],[PD_avg]]</f>
        <v>2106.8105997826869</v>
      </c>
      <c r="AN175" s="507">
        <f>Port[[#This Row],[EAD (THB)]]*Port[[#This Row],[LGD_avg]]</f>
        <v>472391999.99999994</v>
      </c>
      <c r="AO175" s="507">
        <f>Port[[#This Row],[EAD_Interest (THB)]]*Port[[#This Row],[LGD_avg]]</f>
        <v>362823.32099519996</v>
      </c>
      <c r="AP175" s="507">
        <f>Port[[#This Row],[EAD_Drawn (THB)]]+Port[[#This Row],[EAD_Interest (THB)]]</f>
        <v>525283137.02332801</v>
      </c>
      <c r="AQ17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7873200</v>
      </c>
      <c r="AR175" s="522">
        <f>MAX(Port[[#This Row],[ECL (THB)]]+Port[[#This Row],[ECL_Interest (THB)]], Port[[#This Row],[ECL CBIRC (THB)]])</f>
        <v>7873200</v>
      </c>
    </row>
    <row r="176" spans="1:44">
      <c r="A176" s="2" t="s">
        <v>923</v>
      </c>
      <c r="B176" s="2" t="s">
        <v>155</v>
      </c>
      <c r="C176" s="2" t="s">
        <v>17</v>
      </c>
      <c r="D176" s="2" t="s">
        <v>25</v>
      </c>
      <c r="E176" s="2" t="s">
        <v>19</v>
      </c>
      <c r="F176" s="2" t="s">
        <v>20</v>
      </c>
      <c r="G176" s="2" t="s">
        <v>21</v>
      </c>
      <c r="H176">
        <v>1</v>
      </c>
      <c r="I176" s="2" t="s">
        <v>526</v>
      </c>
      <c r="J176" s="505">
        <v>4.8109749303825028E-2</v>
      </c>
      <c r="K176" s="505">
        <v>0.9</v>
      </c>
      <c r="L176" s="3">
        <v>1</v>
      </c>
      <c r="M176" s="3">
        <v>5.2488000000000001</v>
      </c>
      <c r="N176" s="507">
        <v>2000000</v>
      </c>
      <c r="O176" s="507">
        <v>0</v>
      </c>
      <c r="P176" s="507">
        <v>2000000</v>
      </c>
      <c r="Q176" s="507">
        <v>32708.33</v>
      </c>
      <c r="R176" s="507">
        <v>86597.548746885062</v>
      </c>
      <c r="S176" s="507">
        <v>0</v>
      </c>
      <c r="T176" s="507">
        <v>86597.548746885062</v>
      </c>
      <c r="U176" s="507">
        <v>1416.2306008021014</v>
      </c>
      <c r="V176" s="507">
        <f>Port[[#This Row],[EAD_Drawn (CNY)]]*Port[[#This Row],[CNY -&gt; FCY]]</f>
        <v>2000000</v>
      </c>
      <c r="W176" s="507">
        <f>Port[[#This Row],[EAD_Undrawn (CNY)]]*Port[[#This Row],[CNY -&gt; FCY]]</f>
        <v>0</v>
      </c>
      <c r="X176" s="507">
        <f>Port[[#This Row],[EAD (CNY)]]*Port[[#This Row],[CNY -&gt; FCY]]</f>
        <v>2000000</v>
      </c>
      <c r="Y176" s="507">
        <f>Port[[#This Row],[EAD_Interest (CNY)]]*Port[[#This Row],[CNY -&gt; FCY]]</f>
        <v>32708.33</v>
      </c>
      <c r="Z176" s="507">
        <f>Port[[#This Row],[ECL_Drawn (CNY)]]*Port[[#This Row],[CNY -&gt; FCY]]</f>
        <v>86597.548746885062</v>
      </c>
      <c r="AA176" s="507">
        <f>Port[[#This Row],[ECL_Undrawn (CNY)]]*Port[[#This Row],[CNY -&gt; FCY]]</f>
        <v>0</v>
      </c>
      <c r="AB176" s="507">
        <f>Port[[#This Row],[ECL (CNY)]]*Port[[#This Row],[CNY -&gt; FCY]]</f>
        <v>86597.548746885062</v>
      </c>
      <c r="AC176" s="507">
        <f>Port[[#This Row],[ECL_Interest (CNY)]]*Port[[#This Row],[CNY -&gt; FCY]]</f>
        <v>1416.2306008021014</v>
      </c>
      <c r="AD176" s="507">
        <f>Port[[#This Row],[EAD_Drawn (CNY)]]*Port[[#This Row],[CNY -&gt; THB]]</f>
        <v>10497600</v>
      </c>
      <c r="AE176" s="507">
        <f>Port[[#This Row],[EAD_Undrawn (CNY)]]*Port[[#This Row],[CNY -&gt; THB]]</f>
        <v>0</v>
      </c>
      <c r="AF176" s="507">
        <f>Port[[#This Row],[EAD (CNY)]]*Port[[#This Row],[CNY -&gt; THB]]</f>
        <v>10497600</v>
      </c>
      <c r="AG176" s="507">
        <f>Port[[#This Row],[EAD_Interest (CNY)]]*Port[[#This Row],[CNY -&gt; THB]]</f>
        <v>171679.48250400001</v>
      </c>
      <c r="AH176" s="507">
        <f>Port[[#This Row],[ECL_Drawn (CNY)]]*Port[[#This Row],[CNY -&gt; THB]]</f>
        <v>454533.21386265033</v>
      </c>
      <c r="AI176" s="507">
        <f>Port[[#This Row],[ECL_Undrawn (CNY)]]*Port[[#This Row],[CNY -&gt; THB]]</f>
        <v>0</v>
      </c>
      <c r="AJ176" s="507">
        <f>Port[[#This Row],[ECL (CNY)]]*Port[[#This Row],[CNY -&gt; THB]]</f>
        <v>454533.21386265033</v>
      </c>
      <c r="AK176" s="507">
        <f>Port[[#This Row],[ECL_Interest (CNY)]]*Port[[#This Row],[CNY -&gt; THB]]</f>
        <v>7433.5111774900706</v>
      </c>
      <c r="AL176" s="507">
        <f>Port[[#This Row],[EAD (THB)]]*Port[[#This Row],[PD_avg]]</f>
        <v>505036.90429183363</v>
      </c>
      <c r="AM176" s="507">
        <f>Port[[#This Row],[EAD_Interest (THB)]]*Port[[#This Row],[PD_avg]]</f>
        <v>8259.4568638778564</v>
      </c>
      <c r="AN176" s="507">
        <f>Port[[#This Row],[EAD (THB)]]*Port[[#This Row],[LGD_avg]]</f>
        <v>9447840</v>
      </c>
      <c r="AO176" s="507">
        <f>Port[[#This Row],[EAD_Interest (THB)]]*Port[[#This Row],[LGD_avg]]</f>
        <v>154511.53425360002</v>
      </c>
      <c r="AP176" s="507">
        <f>Port[[#This Row],[EAD_Drawn (THB)]]+Port[[#This Row],[EAD_Interest (THB)]]</f>
        <v>10669279.482504001</v>
      </c>
      <c r="AQ17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157464</v>
      </c>
      <c r="AR176" s="522">
        <f>MAX(Port[[#This Row],[ECL (THB)]]+Port[[#This Row],[ECL_Interest (THB)]], Port[[#This Row],[ECL CBIRC (THB)]])</f>
        <v>461966.72504014039</v>
      </c>
    </row>
    <row r="177" spans="1:44">
      <c r="A177" s="2" t="s">
        <v>924</v>
      </c>
      <c r="B177" s="2" t="s">
        <v>156</v>
      </c>
      <c r="C177" s="2" t="s">
        <v>17</v>
      </c>
      <c r="D177" s="2" t="s">
        <v>25</v>
      </c>
      <c r="E177" s="2" t="s">
        <v>19</v>
      </c>
      <c r="F177" s="2" t="s">
        <v>20</v>
      </c>
      <c r="G177" s="2" t="s">
        <v>21</v>
      </c>
      <c r="H177">
        <v>1</v>
      </c>
      <c r="I177" s="2" t="s">
        <v>526</v>
      </c>
      <c r="J177" s="505">
        <v>4.8109749303825028E-2</v>
      </c>
      <c r="K177" s="505">
        <v>0.9</v>
      </c>
      <c r="L177" s="3">
        <v>1</v>
      </c>
      <c r="M177" s="3">
        <v>5.2488000000000001</v>
      </c>
      <c r="N177" s="507">
        <v>5000000</v>
      </c>
      <c r="O177" s="507">
        <v>0</v>
      </c>
      <c r="P177" s="507">
        <v>5000000</v>
      </c>
      <c r="Q177" s="507">
        <v>80680.56</v>
      </c>
      <c r="R177" s="507">
        <v>216493.87186721261</v>
      </c>
      <c r="S177" s="507">
        <v>0</v>
      </c>
      <c r="T177" s="507">
        <v>216493.87186721261</v>
      </c>
      <c r="U177" s="507">
        <v>3493.3693637629922</v>
      </c>
      <c r="V177" s="507">
        <f>Port[[#This Row],[EAD_Drawn (CNY)]]*Port[[#This Row],[CNY -&gt; FCY]]</f>
        <v>5000000</v>
      </c>
      <c r="W177" s="507">
        <f>Port[[#This Row],[EAD_Undrawn (CNY)]]*Port[[#This Row],[CNY -&gt; FCY]]</f>
        <v>0</v>
      </c>
      <c r="X177" s="507">
        <f>Port[[#This Row],[EAD (CNY)]]*Port[[#This Row],[CNY -&gt; FCY]]</f>
        <v>5000000</v>
      </c>
      <c r="Y177" s="507">
        <f>Port[[#This Row],[EAD_Interest (CNY)]]*Port[[#This Row],[CNY -&gt; FCY]]</f>
        <v>80680.56</v>
      </c>
      <c r="Z177" s="507">
        <f>Port[[#This Row],[ECL_Drawn (CNY)]]*Port[[#This Row],[CNY -&gt; FCY]]</f>
        <v>216493.87186721261</v>
      </c>
      <c r="AA177" s="507">
        <f>Port[[#This Row],[ECL_Undrawn (CNY)]]*Port[[#This Row],[CNY -&gt; FCY]]</f>
        <v>0</v>
      </c>
      <c r="AB177" s="507">
        <f>Port[[#This Row],[ECL (CNY)]]*Port[[#This Row],[CNY -&gt; FCY]]</f>
        <v>216493.87186721261</v>
      </c>
      <c r="AC177" s="507">
        <f>Port[[#This Row],[ECL_Interest (CNY)]]*Port[[#This Row],[CNY -&gt; FCY]]</f>
        <v>3493.3693637629922</v>
      </c>
      <c r="AD177" s="507">
        <f>Port[[#This Row],[EAD_Drawn (CNY)]]*Port[[#This Row],[CNY -&gt; THB]]</f>
        <v>26244000</v>
      </c>
      <c r="AE177" s="507">
        <f>Port[[#This Row],[EAD_Undrawn (CNY)]]*Port[[#This Row],[CNY -&gt; THB]]</f>
        <v>0</v>
      </c>
      <c r="AF177" s="507">
        <f>Port[[#This Row],[EAD (CNY)]]*Port[[#This Row],[CNY -&gt; THB]]</f>
        <v>26244000</v>
      </c>
      <c r="AG177" s="507">
        <f>Port[[#This Row],[EAD_Interest (CNY)]]*Port[[#This Row],[CNY -&gt; THB]]</f>
        <v>423476.12332800002</v>
      </c>
      <c r="AH177" s="507">
        <f>Port[[#This Row],[ECL_Drawn (CNY)]]*Port[[#This Row],[CNY -&gt; THB]]</f>
        <v>1136333.0346566255</v>
      </c>
      <c r="AI177" s="507">
        <f>Port[[#This Row],[ECL_Undrawn (CNY)]]*Port[[#This Row],[CNY -&gt; THB]]</f>
        <v>0</v>
      </c>
      <c r="AJ177" s="507">
        <f>Port[[#This Row],[ECL (CNY)]]*Port[[#This Row],[CNY -&gt; THB]]</f>
        <v>1136333.0346566255</v>
      </c>
      <c r="AK177" s="507">
        <f>Port[[#This Row],[ECL_Interest (CNY)]]*Port[[#This Row],[CNY -&gt; THB]]</f>
        <v>18335.997116519193</v>
      </c>
      <c r="AL177" s="507">
        <f>Port[[#This Row],[EAD (THB)]]*Port[[#This Row],[PD_avg]]</f>
        <v>1262592.2607295841</v>
      </c>
      <c r="AM177" s="507">
        <f>Port[[#This Row],[EAD_Interest (THB)]]*Port[[#This Row],[PD_avg]]</f>
        <v>20373.330129465772</v>
      </c>
      <c r="AN177" s="507">
        <f>Port[[#This Row],[EAD (THB)]]*Port[[#This Row],[LGD_avg]]</f>
        <v>23619600</v>
      </c>
      <c r="AO177" s="507">
        <f>Port[[#This Row],[EAD_Interest (THB)]]*Port[[#This Row],[LGD_avg]]</f>
        <v>381128.51099520002</v>
      </c>
      <c r="AP177" s="507">
        <f>Port[[#This Row],[EAD_Drawn (THB)]]+Port[[#This Row],[EAD_Interest (THB)]]</f>
        <v>26667476.123328</v>
      </c>
      <c r="AQ17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177" s="522">
        <f>MAX(Port[[#This Row],[ECL (THB)]]+Port[[#This Row],[ECL_Interest (THB)]], Port[[#This Row],[ECL CBIRC (THB)]])</f>
        <v>1154669.0317731446</v>
      </c>
    </row>
    <row r="178" spans="1:44">
      <c r="A178" s="2" t="s">
        <v>925</v>
      </c>
      <c r="B178" s="2" t="s">
        <v>926</v>
      </c>
      <c r="C178" s="2" t="s">
        <v>17</v>
      </c>
      <c r="D178" s="2" t="s">
        <v>25</v>
      </c>
      <c r="E178" s="2" t="s">
        <v>19</v>
      </c>
      <c r="F178" s="2" t="s">
        <v>20</v>
      </c>
      <c r="G178" s="2" t="s">
        <v>21</v>
      </c>
      <c r="H178">
        <v>1</v>
      </c>
      <c r="I178" s="2" t="s">
        <v>526</v>
      </c>
      <c r="J178" s="505">
        <v>2.0514833509807026E-2</v>
      </c>
      <c r="K178" s="505">
        <v>0.20686571080624486</v>
      </c>
      <c r="L178" s="3">
        <v>1</v>
      </c>
      <c r="M178" s="3">
        <v>5.2488000000000001</v>
      </c>
      <c r="N178" s="507">
        <v>11000000</v>
      </c>
      <c r="O178" s="507">
        <v>116545380</v>
      </c>
      <c r="P178" s="507">
        <v>127545380</v>
      </c>
      <c r="Q178" s="507">
        <v>9518.06</v>
      </c>
      <c r="R178" s="507">
        <v>173506.93740036391</v>
      </c>
      <c r="S178" s="507">
        <v>367662</v>
      </c>
      <c r="T178" s="507">
        <v>541168.93740036385</v>
      </c>
      <c r="U178" s="507">
        <v>150.13176732662799</v>
      </c>
      <c r="V178" s="507">
        <f>Port[[#This Row],[EAD_Drawn (CNY)]]*Port[[#This Row],[CNY -&gt; FCY]]</f>
        <v>11000000</v>
      </c>
      <c r="W178" s="507">
        <f>Port[[#This Row],[EAD_Undrawn (CNY)]]*Port[[#This Row],[CNY -&gt; FCY]]</f>
        <v>116545380</v>
      </c>
      <c r="X178" s="507">
        <f>Port[[#This Row],[EAD (CNY)]]*Port[[#This Row],[CNY -&gt; FCY]]</f>
        <v>127545380</v>
      </c>
      <c r="Y178" s="507">
        <f>Port[[#This Row],[EAD_Interest (CNY)]]*Port[[#This Row],[CNY -&gt; FCY]]</f>
        <v>9518.06</v>
      </c>
      <c r="Z178" s="507">
        <f>Port[[#This Row],[ECL_Drawn (CNY)]]*Port[[#This Row],[CNY -&gt; FCY]]</f>
        <v>173506.93740036391</v>
      </c>
      <c r="AA178" s="507">
        <f>Port[[#This Row],[ECL_Undrawn (CNY)]]*Port[[#This Row],[CNY -&gt; FCY]]</f>
        <v>367662</v>
      </c>
      <c r="AB178" s="507">
        <f>Port[[#This Row],[ECL (CNY)]]*Port[[#This Row],[CNY -&gt; FCY]]</f>
        <v>541168.93740036385</v>
      </c>
      <c r="AC178" s="507">
        <f>Port[[#This Row],[ECL_Interest (CNY)]]*Port[[#This Row],[CNY -&gt; FCY]]</f>
        <v>150.13176732662799</v>
      </c>
      <c r="AD178" s="507">
        <f>Port[[#This Row],[EAD_Drawn (CNY)]]*Port[[#This Row],[CNY -&gt; THB]]</f>
        <v>57736800</v>
      </c>
      <c r="AE178" s="507">
        <f>Port[[#This Row],[EAD_Undrawn (CNY)]]*Port[[#This Row],[CNY -&gt; THB]]</f>
        <v>611723390.54400003</v>
      </c>
      <c r="AF178" s="507">
        <f>Port[[#This Row],[EAD (CNY)]]*Port[[#This Row],[CNY -&gt; THB]]</f>
        <v>669460190.54400003</v>
      </c>
      <c r="AG178" s="507">
        <f>Port[[#This Row],[EAD_Interest (CNY)]]*Port[[#This Row],[CNY -&gt; THB]]</f>
        <v>49958.393327999998</v>
      </c>
      <c r="AH178" s="507">
        <f>Port[[#This Row],[ECL_Drawn (CNY)]]*Port[[#This Row],[CNY -&gt; THB]]</f>
        <v>910703.21302703011</v>
      </c>
      <c r="AI178" s="507">
        <f>Port[[#This Row],[ECL_Undrawn (CNY)]]*Port[[#This Row],[CNY -&gt; THB]]</f>
        <v>1929784.3056000001</v>
      </c>
      <c r="AJ178" s="507">
        <f>Port[[#This Row],[ECL (CNY)]]*Port[[#This Row],[CNY -&gt; THB]]</f>
        <v>2840487.5186270298</v>
      </c>
      <c r="AK178" s="507">
        <f>Port[[#This Row],[ECL_Interest (CNY)]]*Port[[#This Row],[CNY -&gt; THB]]</f>
        <v>788.011620344005</v>
      </c>
      <c r="AL178" s="507">
        <f>Port[[#This Row],[EAD (THB)]]*Port[[#This Row],[PD_avg]]</f>
        <v>13733864.350453848</v>
      </c>
      <c r="AM178" s="507">
        <f>Port[[#This Row],[EAD_Interest (THB)]]*Port[[#This Row],[PD_avg]]</f>
        <v>1024.8881215413742</v>
      </c>
      <c r="AN178" s="507">
        <f>Port[[#This Row],[EAD (THB)]]*Port[[#This Row],[LGD_avg]]</f>
        <v>138488358.17336869</v>
      </c>
      <c r="AO178" s="507">
        <f>Port[[#This Row],[EAD_Interest (THB)]]*Port[[#This Row],[LGD_avg]]</f>
        <v>10334.67854653468</v>
      </c>
      <c r="AP178" s="507">
        <f>Port[[#This Row],[EAD_Drawn (THB)]]+Port[[#This Row],[EAD_Interest (THB)]]</f>
        <v>57786758.393328004</v>
      </c>
      <c r="AQ17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866052</v>
      </c>
      <c r="AR178" s="522">
        <f>MAX(Port[[#This Row],[ECL (THB)]]+Port[[#This Row],[ECL_Interest (THB)]], Port[[#This Row],[ECL CBIRC (THB)]])</f>
        <v>2841275.530247374</v>
      </c>
    </row>
    <row r="179" spans="1:44">
      <c r="A179" s="2" t="s">
        <v>927</v>
      </c>
      <c r="B179" s="2" t="s">
        <v>928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>
        <v>1</v>
      </c>
      <c r="I179" s="2" t="s">
        <v>526</v>
      </c>
      <c r="J179" s="505">
        <v>2.0514833509807026E-2</v>
      </c>
      <c r="K179" s="505">
        <v>0.9</v>
      </c>
      <c r="L179" s="3">
        <v>1</v>
      </c>
      <c r="M179" s="3">
        <v>5.2488000000000001</v>
      </c>
      <c r="N179" s="507">
        <v>30000000</v>
      </c>
      <c r="O179" s="507">
        <v>0</v>
      </c>
      <c r="P179" s="507">
        <v>30000000</v>
      </c>
      <c r="Q179" s="507">
        <v>23333.33</v>
      </c>
      <c r="R179" s="507">
        <v>553900.50476478972</v>
      </c>
      <c r="S179" s="507">
        <v>0</v>
      </c>
      <c r="T179" s="507">
        <v>553900.50476478972</v>
      </c>
      <c r="U179" s="507">
        <v>430.81144216144708</v>
      </c>
      <c r="V179" s="507">
        <f>Port[[#This Row],[EAD_Drawn (CNY)]]*Port[[#This Row],[CNY -&gt; FCY]]</f>
        <v>30000000</v>
      </c>
      <c r="W179" s="507">
        <f>Port[[#This Row],[EAD_Undrawn (CNY)]]*Port[[#This Row],[CNY -&gt; FCY]]</f>
        <v>0</v>
      </c>
      <c r="X179" s="507">
        <f>Port[[#This Row],[EAD (CNY)]]*Port[[#This Row],[CNY -&gt; FCY]]</f>
        <v>30000000</v>
      </c>
      <c r="Y179" s="507">
        <f>Port[[#This Row],[EAD_Interest (CNY)]]*Port[[#This Row],[CNY -&gt; FCY]]</f>
        <v>23333.33</v>
      </c>
      <c r="Z179" s="507">
        <f>Port[[#This Row],[ECL_Drawn (CNY)]]*Port[[#This Row],[CNY -&gt; FCY]]</f>
        <v>553900.50476478972</v>
      </c>
      <c r="AA179" s="507">
        <f>Port[[#This Row],[ECL_Undrawn (CNY)]]*Port[[#This Row],[CNY -&gt; FCY]]</f>
        <v>0</v>
      </c>
      <c r="AB179" s="507">
        <f>Port[[#This Row],[ECL (CNY)]]*Port[[#This Row],[CNY -&gt; FCY]]</f>
        <v>553900.50476478972</v>
      </c>
      <c r="AC179" s="507">
        <f>Port[[#This Row],[ECL_Interest (CNY)]]*Port[[#This Row],[CNY -&gt; FCY]]</f>
        <v>430.81144216144708</v>
      </c>
      <c r="AD179" s="507">
        <f>Port[[#This Row],[EAD_Drawn (CNY)]]*Port[[#This Row],[CNY -&gt; THB]]</f>
        <v>157464000</v>
      </c>
      <c r="AE179" s="507">
        <f>Port[[#This Row],[EAD_Undrawn (CNY)]]*Port[[#This Row],[CNY -&gt; THB]]</f>
        <v>0</v>
      </c>
      <c r="AF179" s="507">
        <f>Port[[#This Row],[EAD (CNY)]]*Port[[#This Row],[CNY -&gt; THB]]</f>
        <v>157464000</v>
      </c>
      <c r="AG179" s="507">
        <f>Port[[#This Row],[EAD_Interest (CNY)]]*Port[[#This Row],[CNY -&gt; THB]]</f>
        <v>122471.98250400001</v>
      </c>
      <c r="AH179" s="507">
        <f>Port[[#This Row],[ECL_Drawn (CNY)]]*Port[[#This Row],[CNY -&gt; THB]]</f>
        <v>2907312.9694094285</v>
      </c>
      <c r="AI179" s="507">
        <f>Port[[#This Row],[ECL_Undrawn (CNY)]]*Port[[#This Row],[CNY -&gt; THB]]</f>
        <v>0</v>
      </c>
      <c r="AJ179" s="507">
        <f>Port[[#This Row],[ECL (CNY)]]*Port[[#This Row],[CNY -&gt; THB]]</f>
        <v>2907312.9694094285</v>
      </c>
      <c r="AK179" s="507">
        <f>Port[[#This Row],[ECL_Interest (CNY)]]*Port[[#This Row],[CNY -&gt; THB]]</f>
        <v>2261.2430976170035</v>
      </c>
      <c r="AL179" s="507">
        <f>Port[[#This Row],[EAD (THB)]]*Port[[#This Row],[PD_avg]]</f>
        <v>3230347.7437882535</v>
      </c>
      <c r="AM179" s="507">
        <f>Port[[#This Row],[EAD_Interest (THB)]]*Port[[#This Row],[PD_avg]]</f>
        <v>2512.4923306855594</v>
      </c>
      <c r="AN179" s="507">
        <f>Port[[#This Row],[EAD (THB)]]*Port[[#This Row],[LGD_avg]]</f>
        <v>141717600</v>
      </c>
      <c r="AO179" s="507">
        <f>Port[[#This Row],[EAD_Interest (THB)]]*Port[[#This Row],[LGD_avg]]</f>
        <v>110224.78425360001</v>
      </c>
      <c r="AP179" s="507">
        <f>Port[[#This Row],[EAD_Drawn (THB)]]+Port[[#This Row],[EAD_Interest (THB)]]</f>
        <v>157586471.98250401</v>
      </c>
      <c r="AQ17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2361960</v>
      </c>
      <c r="AR179" s="522">
        <f>MAX(Port[[#This Row],[ECL (THB)]]+Port[[#This Row],[ECL_Interest (THB)]], Port[[#This Row],[ECL CBIRC (THB)]])</f>
        <v>2909574.2125070454</v>
      </c>
    </row>
    <row r="180" spans="1:44">
      <c r="A180" s="2" t="s">
        <v>929</v>
      </c>
      <c r="B180" s="2" t="s">
        <v>94</v>
      </c>
      <c r="C180" s="2" t="s">
        <v>17</v>
      </c>
      <c r="D180" s="2" t="s">
        <v>95</v>
      </c>
      <c r="E180" s="2" t="s">
        <v>19</v>
      </c>
      <c r="F180" s="2" t="s">
        <v>20</v>
      </c>
      <c r="G180" s="2" t="s">
        <v>21</v>
      </c>
      <c r="H180">
        <v>1</v>
      </c>
      <c r="I180" s="2" t="s">
        <v>526</v>
      </c>
      <c r="J180" s="505">
        <v>2.0514833509807026E-2</v>
      </c>
      <c r="K180" s="505">
        <v>0.89999999999999991</v>
      </c>
      <c r="L180" s="3">
        <v>1</v>
      </c>
      <c r="M180" s="3">
        <v>5.2488000000000001</v>
      </c>
      <c r="N180" s="507">
        <v>8109838.8600000003</v>
      </c>
      <c r="O180" s="507">
        <v>0</v>
      </c>
      <c r="P180" s="507">
        <v>8109838.8600000003</v>
      </c>
      <c r="Q180" s="507">
        <v>6780.73</v>
      </c>
      <c r="R180" s="507">
        <v>149734.7946038369</v>
      </c>
      <c r="S180" s="507">
        <v>0</v>
      </c>
      <c r="T180" s="507">
        <v>149734.7946038369</v>
      </c>
      <c r="U180" s="507">
        <v>125.19499232245842</v>
      </c>
      <c r="V180" s="507">
        <f>Port[[#This Row],[EAD_Drawn (CNY)]]*Port[[#This Row],[CNY -&gt; FCY]]</f>
        <v>8109838.8600000003</v>
      </c>
      <c r="W180" s="507">
        <f>Port[[#This Row],[EAD_Undrawn (CNY)]]*Port[[#This Row],[CNY -&gt; FCY]]</f>
        <v>0</v>
      </c>
      <c r="X180" s="507">
        <f>Port[[#This Row],[EAD (CNY)]]*Port[[#This Row],[CNY -&gt; FCY]]</f>
        <v>8109838.8600000003</v>
      </c>
      <c r="Y180" s="507">
        <f>Port[[#This Row],[EAD_Interest (CNY)]]*Port[[#This Row],[CNY -&gt; FCY]]</f>
        <v>6780.73</v>
      </c>
      <c r="Z180" s="507">
        <f>Port[[#This Row],[ECL_Drawn (CNY)]]*Port[[#This Row],[CNY -&gt; FCY]]</f>
        <v>149734.7946038369</v>
      </c>
      <c r="AA180" s="507">
        <f>Port[[#This Row],[ECL_Undrawn (CNY)]]*Port[[#This Row],[CNY -&gt; FCY]]</f>
        <v>0</v>
      </c>
      <c r="AB180" s="507">
        <f>Port[[#This Row],[ECL (CNY)]]*Port[[#This Row],[CNY -&gt; FCY]]</f>
        <v>149734.7946038369</v>
      </c>
      <c r="AC180" s="507">
        <f>Port[[#This Row],[ECL_Interest (CNY)]]*Port[[#This Row],[CNY -&gt; FCY]]</f>
        <v>125.19499232245842</v>
      </c>
      <c r="AD180" s="507">
        <f>Port[[#This Row],[EAD_Drawn (CNY)]]*Port[[#This Row],[CNY -&gt; THB]]</f>
        <v>42566922.208368003</v>
      </c>
      <c r="AE180" s="507">
        <f>Port[[#This Row],[EAD_Undrawn (CNY)]]*Port[[#This Row],[CNY -&gt; THB]]</f>
        <v>0</v>
      </c>
      <c r="AF180" s="507">
        <f>Port[[#This Row],[EAD (CNY)]]*Port[[#This Row],[CNY -&gt; THB]]</f>
        <v>42566922.208368003</v>
      </c>
      <c r="AG180" s="507">
        <f>Port[[#This Row],[EAD_Interest (CNY)]]*Port[[#This Row],[CNY -&gt; THB]]</f>
        <v>35590.695624</v>
      </c>
      <c r="AH180" s="507">
        <f>Port[[#This Row],[ECL_Drawn (CNY)]]*Port[[#This Row],[CNY -&gt; THB]]</f>
        <v>785927.98991661915</v>
      </c>
      <c r="AI180" s="507">
        <f>Port[[#This Row],[ECL_Undrawn (CNY)]]*Port[[#This Row],[CNY -&gt; THB]]</f>
        <v>0</v>
      </c>
      <c r="AJ180" s="507">
        <f>Port[[#This Row],[ECL (CNY)]]*Port[[#This Row],[CNY -&gt; THB]]</f>
        <v>785927.98991661915</v>
      </c>
      <c r="AK180" s="507">
        <f>Port[[#This Row],[ECL_Interest (CNY)]]*Port[[#This Row],[CNY -&gt; THB]]</f>
        <v>657.12347570211978</v>
      </c>
      <c r="AL180" s="507">
        <f>Port[[#This Row],[EAD (THB)]]*Port[[#This Row],[PD_avg]]</f>
        <v>873253.32212957682</v>
      </c>
      <c r="AM180" s="507">
        <f>Port[[#This Row],[EAD_Interest (THB)]]*Port[[#This Row],[PD_avg]]</f>
        <v>730.13719522457745</v>
      </c>
      <c r="AN180" s="507">
        <f>Port[[#This Row],[EAD (THB)]]*Port[[#This Row],[LGD_avg]]</f>
        <v>38310229.9875312</v>
      </c>
      <c r="AO180" s="507">
        <f>Port[[#This Row],[EAD_Interest (THB)]]*Port[[#This Row],[LGD_avg]]</f>
        <v>32031.626061599996</v>
      </c>
      <c r="AP180" s="507">
        <f>Port[[#This Row],[EAD_Drawn (THB)]]+Port[[#This Row],[EAD_Interest (THB)]]</f>
        <v>42602512.903992005</v>
      </c>
      <c r="AQ18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638503.83312552003</v>
      </c>
      <c r="AR180" s="522">
        <f>MAX(Port[[#This Row],[ECL (THB)]]+Port[[#This Row],[ECL_Interest (THB)]], Port[[#This Row],[ECL CBIRC (THB)]])</f>
        <v>786585.11339232128</v>
      </c>
    </row>
    <row r="181" spans="1:44">
      <c r="A181" s="2" t="s">
        <v>930</v>
      </c>
      <c r="B181" s="2" t="s">
        <v>931</v>
      </c>
      <c r="C181" s="2" t="s">
        <v>17</v>
      </c>
      <c r="D181" s="2" t="s">
        <v>25</v>
      </c>
      <c r="E181" s="2" t="s">
        <v>19</v>
      </c>
      <c r="F181" s="2" t="s">
        <v>20</v>
      </c>
      <c r="G181" s="2" t="s">
        <v>21</v>
      </c>
      <c r="H181">
        <v>1</v>
      </c>
      <c r="I181" s="2" t="s">
        <v>526</v>
      </c>
      <c r="J181" s="505">
        <v>3.0745295499522811E-2</v>
      </c>
      <c r="K181" s="505">
        <v>0.90000000000000013</v>
      </c>
      <c r="L181" s="3">
        <v>1</v>
      </c>
      <c r="M181" s="3">
        <v>5.2488000000000001</v>
      </c>
      <c r="N181" s="507">
        <v>23507502.199999999</v>
      </c>
      <c r="O181" s="507">
        <v>0</v>
      </c>
      <c r="P181" s="507">
        <v>23507502.199999999</v>
      </c>
      <c r="Q181" s="507">
        <v>22854.52</v>
      </c>
      <c r="R181" s="507">
        <v>650470.59143521439</v>
      </c>
      <c r="S181" s="507">
        <v>0</v>
      </c>
      <c r="T181" s="507">
        <v>650470.59143521439</v>
      </c>
      <c r="U181" s="507">
        <v>632.4020738097787</v>
      </c>
      <c r="V181" s="507">
        <f>Port[[#This Row],[EAD_Drawn (CNY)]]*Port[[#This Row],[CNY -&gt; FCY]]</f>
        <v>23507502.199999999</v>
      </c>
      <c r="W181" s="507">
        <f>Port[[#This Row],[EAD_Undrawn (CNY)]]*Port[[#This Row],[CNY -&gt; FCY]]</f>
        <v>0</v>
      </c>
      <c r="X181" s="507">
        <f>Port[[#This Row],[EAD (CNY)]]*Port[[#This Row],[CNY -&gt; FCY]]</f>
        <v>23507502.199999999</v>
      </c>
      <c r="Y181" s="507">
        <f>Port[[#This Row],[EAD_Interest (CNY)]]*Port[[#This Row],[CNY -&gt; FCY]]</f>
        <v>22854.52</v>
      </c>
      <c r="Z181" s="507">
        <f>Port[[#This Row],[ECL_Drawn (CNY)]]*Port[[#This Row],[CNY -&gt; FCY]]</f>
        <v>650470.59143521439</v>
      </c>
      <c r="AA181" s="507">
        <f>Port[[#This Row],[ECL_Undrawn (CNY)]]*Port[[#This Row],[CNY -&gt; FCY]]</f>
        <v>0</v>
      </c>
      <c r="AB181" s="507">
        <f>Port[[#This Row],[ECL (CNY)]]*Port[[#This Row],[CNY -&gt; FCY]]</f>
        <v>650470.59143521439</v>
      </c>
      <c r="AC181" s="507">
        <f>Port[[#This Row],[ECL_Interest (CNY)]]*Port[[#This Row],[CNY -&gt; FCY]]</f>
        <v>632.4020738097787</v>
      </c>
      <c r="AD181" s="507">
        <f>Port[[#This Row],[EAD_Drawn (CNY)]]*Port[[#This Row],[CNY -&gt; THB]]</f>
        <v>123386177.54736</v>
      </c>
      <c r="AE181" s="507">
        <f>Port[[#This Row],[EAD_Undrawn (CNY)]]*Port[[#This Row],[CNY -&gt; THB]]</f>
        <v>0</v>
      </c>
      <c r="AF181" s="507">
        <f>Port[[#This Row],[EAD (CNY)]]*Port[[#This Row],[CNY -&gt; THB]]</f>
        <v>123386177.54736</v>
      </c>
      <c r="AG181" s="507">
        <f>Port[[#This Row],[EAD_Interest (CNY)]]*Port[[#This Row],[CNY -&gt; THB]]</f>
        <v>119958.80457600001</v>
      </c>
      <c r="AH181" s="507">
        <f>Port[[#This Row],[ECL_Drawn (CNY)]]*Port[[#This Row],[CNY -&gt; THB]]</f>
        <v>3414190.0403251532</v>
      </c>
      <c r="AI181" s="507">
        <f>Port[[#This Row],[ECL_Undrawn (CNY)]]*Port[[#This Row],[CNY -&gt; THB]]</f>
        <v>0</v>
      </c>
      <c r="AJ181" s="507">
        <f>Port[[#This Row],[ECL (CNY)]]*Port[[#This Row],[CNY -&gt; THB]]</f>
        <v>3414190.0403251532</v>
      </c>
      <c r="AK181" s="507">
        <f>Port[[#This Row],[ECL_Interest (CNY)]]*Port[[#This Row],[CNY -&gt; THB]]</f>
        <v>3319.3520050127663</v>
      </c>
      <c r="AL181" s="507">
        <f>Port[[#This Row],[EAD (THB)]]*Port[[#This Row],[PD_avg]]</f>
        <v>3793544.4892501701</v>
      </c>
      <c r="AM181" s="507">
        <f>Port[[#This Row],[EAD_Interest (THB)]]*Port[[#This Row],[PD_avg]]</f>
        <v>3688.1688944586294</v>
      </c>
      <c r="AN181" s="507">
        <f>Port[[#This Row],[EAD (THB)]]*Port[[#This Row],[LGD_avg]]</f>
        <v>111047559.79262403</v>
      </c>
      <c r="AO181" s="507">
        <f>Port[[#This Row],[EAD_Interest (THB)]]*Port[[#This Row],[LGD_avg]]</f>
        <v>107962.92411840003</v>
      </c>
      <c r="AP181" s="507">
        <f>Port[[#This Row],[EAD_Drawn (THB)]]+Port[[#This Row],[EAD_Interest (THB)]]</f>
        <v>123506136.351936</v>
      </c>
      <c r="AQ18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1850792.6632103999</v>
      </c>
      <c r="AR181" s="522">
        <f>MAX(Port[[#This Row],[ECL (THB)]]+Port[[#This Row],[ECL_Interest (THB)]], Port[[#This Row],[ECL CBIRC (THB)]])</f>
        <v>3417509.392330166</v>
      </c>
    </row>
    <row r="182" spans="1:44">
      <c r="A182" s="2" t="s">
        <v>932</v>
      </c>
      <c r="B182" s="2" t="s">
        <v>137</v>
      </c>
      <c r="C182" s="2" t="s">
        <v>17</v>
      </c>
      <c r="D182" s="2" t="s">
        <v>933</v>
      </c>
      <c r="E182" s="2" t="s">
        <v>19</v>
      </c>
      <c r="F182" s="2" t="s">
        <v>20</v>
      </c>
      <c r="G182" s="2" t="s">
        <v>21</v>
      </c>
      <c r="H182">
        <v>1</v>
      </c>
      <c r="I182" s="2" t="s">
        <v>526</v>
      </c>
      <c r="J182" s="505">
        <v>3.0745295499522811E-2</v>
      </c>
      <c r="K182" s="505">
        <v>0.9</v>
      </c>
      <c r="L182" s="3">
        <v>1</v>
      </c>
      <c r="M182" s="3">
        <v>5.2488000000000001</v>
      </c>
      <c r="N182" s="507">
        <v>50000000</v>
      </c>
      <c r="O182" s="507">
        <v>0</v>
      </c>
      <c r="P182" s="507">
        <v>50000000</v>
      </c>
      <c r="Q182" s="507">
        <v>42291.67</v>
      </c>
      <c r="R182" s="507">
        <v>1383538.2974785266</v>
      </c>
      <c r="S182" s="507">
        <v>0</v>
      </c>
      <c r="T182" s="507">
        <v>1383538.2974785266</v>
      </c>
      <c r="U182" s="507">
        <v>1170.2429021864734</v>
      </c>
      <c r="V182" s="507">
        <f>Port[[#This Row],[EAD_Drawn (CNY)]]*Port[[#This Row],[CNY -&gt; FCY]]</f>
        <v>50000000</v>
      </c>
      <c r="W182" s="507">
        <f>Port[[#This Row],[EAD_Undrawn (CNY)]]*Port[[#This Row],[CNY -&gt; FCY]]</f>
        <v>0</v>
      </c>
      <c r="X182" s="507">
        <f>Port[[#This Row],[EAD (CNY)]]*Port[[#This Row],[CNY -&gt; FCY]]</f>
        <v>50000000</v>
      </c>
      <c r="Y182" s="507">
        <f>Port[[#This Row],[EAD_Interest (CNY)]]*Port[[#This Row],[CNY -&gt; FCY]]</f>
        <v>42291.67</v>
      </c>
      <c r="Z182" s="507">
        <f>Port[[#This Row],[ECL_Drawn (CNY)]]*Port[[#This Row],[CNY -&gt; FCY]]</f>
        <v>1383538.2974785266</v>
      </c>
      <c r="AA182" s="507">
        <f>Port[[#This Row],[ECL_Undrawn (CNY)]]*Port[[#This Row],[CNY -&gt; FCY]]</f>
        <v>0</v>
      </c>
      <c r="AB182" s="507">
        <f>Port[[#This Row],[ECL (CNY)]]*Port[[#This Row],[CNY -&gt; FCY]]</f>
        <v>1383538.2974785266</v>
      </c>
      <c r="AC182" s="507">
        <f>Port[[#This Row],[ECL_Interest (CNY)]]*Port[[#This Row],[CNY -&gt; FCY]]</f>
        <v>1170.2429021864734</v>
      </c>
      <c r="AD182" s="507">
        <f>Port[[#This Row],[EAD_Drawn (CNY)]]*Port[[#This Row],[CNY -&gt; THB]]</f>
        <v>262440000</v>
      </c>
      <c r="AE182" s="507">
        <f>Port[[#This Row],[EAD_Undrawn (CNY)]]*Port[[#This Row],[CNY -&gt; THB]]</f>
        <v>0</v>
      </c>
      <c r="AF182" s="507">
        <f>Port[[#This Row],[EAD (CNY)]]*Port[[#This Row],[CNY -&gt; THB]]</f>
        <v>262440000</v>
      </c>
      <c r="AG182" s="507">
        <f>Port[[#This Row],[EAD_Interest (CNY)]]*Port[[#This Row],[CNY -&gt; THB]]</f>
        <v>221980.51749599999</v>
      </c>
      <c r="AH182" s="507">
        <f>Port[[#This Row],[ECL_Drawn (CNY)]]*Port[[#This Row],[CNY -&gt; THB]]</f>
        <v>7261915.8158052908</v>
      </c>
      <c r="AI182" s="507">
        <f>Port[[#This Row],[ECL_Undrawn (CNY)]]*Port[[#This Row],[CNY -&gt; THB]]</f>
        <v>0</v>
      </c>
      <c r="AJ182" s="507">
        <f>Port[[#This Row],[ECL (CNY)]]*Port[[#This Row],[CNY -&gt; THB]]</f>
        <v>7261915.8158052908</v>
      </c>
      <c r="AK182" s="507">
        <f>Port[[#This Row],[ECL_Interest (CNY)]]*Port[[#This Row],[CNY -&gt; THB]]</f>
        <v>6142.3709449963617</v>
      </c>
      <c r="AL182" s="507">
        <f>Port[[#This Row],[EAD (THB)]]*Port[[#This Row],[PD_avg]]</f>
        <v>8068795.3508947669</v>
      </c>
      <c r="AM182" s="507">
        <f>Port[[#This Row],[EAD_Interest (THB)]]*Port[[#This Row],[PD_avg]]</f>
        <v>6824.856605551513</v>
      </c>
      <c r="AN182" s="507">
        <f>Port[[#This Row],[EAD (THB)]]*Port[[#This Row],[LGD_avg]]</f>
        <v>236196000</v>
      </c>
      <c r="AO182" s="507">
        <f>Port[[#This Row],[EAD_Interest (THB)]]*Port[[#This Row],[LGD_avg]]</f>
        <v>199782.4657464</v>
      </c>
      <c r="AP182" s="507">
        <f>Port[[#This Row],[EAD_Drawn (THB)]]+Port[[#This Row],[EAD_Interest (THB)]]</f>
        <v>262661980.51749599</v>
      </c>
      <c r="AQ18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182" s="522">
        <f>MAX(Port[[#This Row],[ECL (THB)]]+Port[[#This Row],[ECL_Interest (THB)]], Port[[#This Row],[ECL CBIRC (THB)]])</f>
        <v>7268058.1867502872</v>
      </c>
    </row>
    <row r="183" spans="1:44">
      <c r="A183" s="2" t="s">
        <v>934</v>
      </c>
      <c r="B183" s="2" t="s">
        <v>124</v>
      </c>
      <c r="C183" s="2" t="s">
        <v>17</v>
      </c>
      <c r="D183" s="2" t="s">
        <v>25</v>
      </c>
      <c r="E183" s="2" t="s">
        <v>19</v>
      </c>
      <c r="F183" s="2" t="s">
        <v>20</v>
      </c>
      <c r="G183" s="2" t="s">
        <v>21</v>
      </c>
      <c r="H183">
        <v>1</v>
      </c>
      <c r="I183" s="2" t="s">
        <v>526</v>
      </c>
      <c r="J183" s="505">
        <v>1.3043899345507868E-2</v>
      </c>
      <c r="K183" s="505">
        <v>0.18594488276341681</v>
      </c>
      <c r="L183" s="3">
        <v>1</v>
      </c>
      <c r="M183" s="3">
        <v>5.2488000000000001</v>
      </c>
      <c r="N183" s="507">
        <v>2500000</v>
      </c>
      <c r="O183" s="507">
        <v>302508500</v>
      </c>
      <c r="P183" s="507">
        <v>305008500</v>
      </c>
      <c r="Q183" s="507">
        <v>18541.669999999998</v>
      </c>
      <c r="R183" s="507">
        <v>29348.773527392703</v>
      </c>
      <c r="S183" s="507">
        <v>710260</v>
      </c>
      <c r="T183" s="507">
        <v>739608.77352739265</v>
      </c>
      <c r="U183" s="507">
        <v>217.67010945986058</v>
      </c>
      <c r="V183" s="507">
        <f>Port[[#This Row],[EAD_Drawn (CNY)]]*Port[[#This Row],[CNY -&gt; FCY]]</f>
        <v>2500000</v>
      </c>
      <c r="W183" s="507">
        <f>Port[[#This Row],[EAD_Undrawn (CNY)]]*Port[[#This Row],[CNY -&gt; FCY]]</f>
        <v>302508500</v>
      </c>
      <c r="X183" s="507">
        <f>Port[[#This Row],[EAD (CNY)]]*Port[[#This Row],[CNY -&gt; FCY]]</f>
        <v>305008500</v>
      </c>
      <c r="Y183" s="507">
        <f>Port[[#This Row],[EAD_Interest (CNY)]]*Port[[#This Row],[CNY -&gt; FCY]]</f>
        <v>18541.669999999998</v>
      </c>
      <c r="Z183" s="507">
        <f>Port[[#This Row],[ECL_Drawn (CNY)]]*Port[[#This Row],[CNY -&gt; FCY]]</f>
        <v>29348.773527392703</v>
      </c>
      <c r="AA183" s="507">
        <f>Port[[#This Row],[ECL_Undrawn (CNY)]]*Port[[#This Row],[CNY -&gt; FCY]]</f>
        <v>710260</v>
      </c>
      <c r="AB183" s="507">
        <f>Port[[#This Row],[ECL (CNY)]]*Port[[#This Row],[CNY -&gt; FCY]]</f>
        <v>739608.77352739265</v>
      </c>
      <c r="AC183" s="507">
        <f>Port[[#This Row],[ECL_Interest (CNY)]]*Port[[#This Row],[CNY -&gt; FCY]]</f>
        <v>217.67010945986058</v>
      </c>
      <c r="AD183" s="507">
        <f>Port[[#This Row],[EAD_Drawn (CNY)]]*Port[[#This Row],[CNY -&gt; THB]]</f>
        <v>13122000</v>
      </c>
      <c r="AE183" s="507">
        <f>Port[[#This Row],[EAD_Undrawn (CNY)]]*Port[[#This Row],[CNY -&gt; THB]]</f>
        <v>1587806614.8</v>
      </c>
      <c r="AF183" s="507">
        <f>Port[[#This Row],[EAD (CNY)]]*Port[[#This Row],[CNY -&gt; THB]]</f>
        <v>1600928614.8</v>
      </c>
      <c r="AG183" s="507">
        <f>Port[[#This Row],[EAD_Interest (CNY)]]*Port[[#This Row],[CNY -&gt; THB]]</f>
        <v>97321.517496</v>
      </c>
      <c r="AH183" s="507">
        <f>Port[[#This Row],[ECL_Drawn (CNY)]]*Port[[#This Row],[CNY -&gt; THB]]</f>
        <v>154045.84249057883</v>
      </c>
      <c r="AI183" s="507">
        <f>Port[[#This Row],[ECL_Undrawn (CNY)]]*Port[[#This Row],[CNY -&gt; THB]]</f>
        <v>3728012.6880000001</v>
      </c>
      <c r="AJ183" s="507">
        <f>Port[[#This Row],[ECL (CNY)]]*Port[[#This Row],[CNY -&gt; THB]]</f>
        <v>3882058.5304905786</v>
      </c>
      <c r="AK183" s="507">
        <f>Port[[#This Row],[ECL_Interest (CNY)]]*Port[[#This Row],[CNY -&gt; THB]]</f>
        <v>1142.5068705329163</v>
      </c>
      <c r="AL183" s="507">
        <f>Port[[#This Row],[EAD (THB)]]*Port[[#This Row],[PD_avg]]</f>
        <v>20882351.710794538</v>
      </c>
      <c r="AM183" s="507">
        <f>Port[[#This Row],[EAD_Interest (THB)]]*Port[[#This Row],[PD_avg]]</f>
        <v>1269.452078369907</v>
      </c>
      <c r="AN183" s="507">
        <f>Port[[#This Row],[EAD (THB)]]*Port[[#This Row],[LGD_avg]]</f>
        <v>297684483.59158528</v>
      </c>
      <c r="AO183" s="507">
        <f>Port[[#This Row],[EAD_Interest (THB)]]*Port[[#This Row],[LGD_avg]]</f>
        <v>18096.438161151538</v>
      </c>
      <c r="AP183" s="507">
        <f>Port[[#This Row],[EAD_Drawn (THB)]]+Port[[#This Row],[EAD_Interest (THB)]]</f>
        <v>13219321.517495999</v>
      </c>
      <c r="AQ18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196830</v>
      </c>
      <c r="AR183" s="522">
        <f>MAX(Port[[#This Row],[ECL (THB)]]+Port[[#This Row],[ECL_Interest (THB)]], Port[[#This Row],[ECL CBIRC (THB)]])</f>
        <v>3883201.0373611115</v>
      </c>
    </row>
    <row r="184" spans="1:44">
      <c r="A184" s="2" t="s">
        <v>935</v>
      </c>
      <c r="B184" s="2" t="s">
        <v>931</v>
      </c>
      <c r="C184" s="2" t="s">
        <v>17</v>
      </c>
      <c r="D184" s="2" t="s">
        <v>25</v>
      </c>
      <c r="E184" s="2" t="s">
        <v>19</v>
      </c>
      <c r="F184" s="2" t="s">
        <v>20</v>
      </c>
      <c r="G184" s="2" t="s">
        <v>21</v>
      </c>
      <c r="H184">
        <v>1</v>
      </c>
      <c r="I184" s="2" t="s">
        <v>526</v>
      </c>
      <c r="J184" s="505">
        <v>3.0745295499522811E-2</v>
      </c>
      <c r="K184" s="505">
        <v>0.90000000000000013</v>
      </c>
      <c r="L184" s="3">
        <v>1</v>
      </c>
      <c r="M184" s="3">
        <v>5.2488000000000001</v>
      </c>
      <c r="N184" s="507">
        <v>6492497.7999999998</v>
      </c>
      <c r="O184" s="507">
        <v>0</v>
      </c>
      <c r="P184" s="507">
        <v>6492497.7999999998</v>
      </c>
      <c r="Q184" s="507">
        <v>6312.15</v>
      </c>
      <c r="R184" s="507">
        <v>179652.38705190161</v>
      </c>
      <c r="S184" s="507">
        <v>0</v>
      </c>
      <c r="T184" s="507">
        <v>179652.38705190161</v>
      </c>
      <c r="U184" s="507">
        <v>174.66202528858162</v>
      </c>
      <c r="V184" s="507">
        <f>Port[[#This Row],[EAD_Drawn (CNY)]]*Port[[#This Row],[CNY -&gt; FCY]]</f>
        <v>6492497.7999999998</v>
      </c>
      <c r="W184" s="507">
        <f>Port[[#This Row],[EAD_Undrawn (CNY)]]*Port[[#This Row],[CNY -&gt; FCY]]</f>
        <v>0</v>
      </c>
      <c r="X184" s="507">
        <f>Port[[#This Row],[EAD (CNY)]]*Port[[#This Row],[CNY -&gt; FCY]]</f>
        <v>6492497.7999999998</v>
      </c>
      <c r="Y184" s="507">
        <f>Port[[#This Row],[EAD_Interest (CNY)]]*Port[[#This Row],[CNY -&gt; FCY]]</f>
        <v>6312.15</v>
      </c>
      <c r="Z184" s="507">
        <f>Port[[#This Row],[ECL_Drawn (CNY)]]*Port[[#This Row],[CNY -&gt; FCY]]</f>
        <v>179652.38705190161</v>
      </c>
      <c r="AA184" s="507">
        <f>Port[[#This Row],[ECL_Undrawn (CNY)]]*Port[[#This Row],[CNY -&gt; FCY]]</f>
        <v>0</v>
      </c>
      <c r="AB184" s="507">
        <f>Port[[#This Row],[ECL (CNY)]]*Port[[#This Row],[CNY -&gt; FCY]]</f>
        <v>179652.38705190161</v>
      </c>
      <c r="AC184" s="507">
        <f>Port[[#This Row],[ECL_Interest (CNY)]]*Port[[#This Row],[CNY -&gt; FCY]]</f>
        <v>174.66202528858162</v>
      </c>
      <c r="AD184" s="507">
        <f>Port[[#This Row],[EAD_Drawn (CNY)]]*Port[[#This Row],[CNY -&gt; THB]]</f>
        <v>34077822.452639997</v>
      </c>
      <c r="AE184" s="507">
        <f>Port[[#This Row],[EAD_Undrawn (CNY)]]*Port[[#This Row],[CNY -&gt; THB]]</f>
        <v>0</v>
      </c>
      <c r="AF184" s="507">
        <f>Port[[#This Row],[EAD (CNY)]]*Port[[#This Row],[CNY -&gt; THB]]</f>
        <v>34077822.452639997</v>
      </c>
      <c r="AG184" s="507">
        <f>Port[[#This Row],[EAD_Interest (CNY)]]*Port[[#This Row],[CNY -&gt; THB]]</f>
        <v>33131.212919999998</v>
      </c>
      <c r="AH184" s="507">
        <f>Port[[#This Row],[ECL_Drawn (CNY)]]*Port[[#This Row],[CNY -&gt; THB]]</f>
        <v>942959.44915802113</v>
      </c>
      <c r="AI184" s="507">
        <f>Port[[#This Row],[ECL_Undrawn (CNY)]]*Port[[#This Row],[CNY -&gt; THB]]</f>
        <v>0</v>
      </c>
      <c r="AJ184" s="507">
        <f>Port[[#This Row],[ECL (CNY)]]*Port[[#This Row],[CNY -&gt; THB]]</f>
        <v>942959.44915802113</v>
      </c>
      <c r="AK184" s="507">
        <f>Port[[#This Row],[ECL_Interest (CNY)]]*Port[[#This Row],[CNY -&gt; THB]]</f>
        <v>916.76603833470722</v>
      </c>
      <c r="AL184" s="507">
        <f>Port[[#This Row],[EAD (THB)]]*Port[[#This Row],[PD_avg]]</f>
        <v>1047732.7212866899</v>
      </c>
      <c r="AM184" s="507">
        <f>Port[[#This Row],[EAD_Interest (THB)]]*Port[[#This Row],[PD_avg]]</f>
        <v>1018.6289314830079</v>
      </c>
      <c r="AN184" s="507">
        <f>Port[[#This Row],[EAD (THB)]]*Port[[#This Row],[LGD_avg]]</f>
        <v>30670040.207376003</v>
      </c>
      <c r="AO184" s="507">
        <f>Port[[#This Row],[EAD_Interest (THB)]]*Port[[#This Row],[LGD_avg]]</f>
        <v>29818.091628000002</v>
      </c>
      <c r="AP184" s="507">
        <f>Port[[#This Row],[EAD_Drawn (THB)]]+Port[[#This Row],[EAD_Interest (THB)]]</f>
        <v>34110953.66556</v>
      </c>
      <c r="AQ18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511167.33678959991</v>
      </c>
      <c r="AR184" s="522">
        <f>MAX(Port[[#This Row],[ECL (THB)]]+Port[[#This Row],[ECL_Interest (THB)]], Port[[#This Row],[ECL CBIRC (THB)]])</f>
        <v>943876.21519635583</v>
      </c>
    </row>
    <row r="185" spans="1:44">
      <c r="A185" s="2" t="s">
        <v>936</v>
      </c>
      <c r="B185" s="2" t="s">
        <v>138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21</v>
      </c>
      <c r="H185">
        <v>1</v>
      </c>
      <c r="I185" s="2" t="s">
        <v>526</v>
      </c>
      <c r="J185" s="505">
        <v>4.8109749303825028E-2</v>
      </c>
      <c r="K185" s="505">
        <v>1.0384120640352502E-2</v>
      </c>
      <c r="L185" s="3">
        <v>1</v>
      </c>
      <c r="M185" s="3">
        <v>5.2488000000000001</v>
      </c>
      <c r="N185" s="507">
        <v>3000000</v>
      </c>
      <c r="O185" s="507">
        <v>0</v>
      </c>
      <c r="P185" s="507">
        <v>3000000</v>
      </c>
      <c r="Q185" s="507">
        <v>2537.5</v>
      </c>
      <c r="R185" s="507">
        <v>109.77778626173141</v>
      </c>
      <c r="S185" s="507">
        <v>0</v>
      </c>
      <c r="T185" s="507">
        <v>109.77778626173141</v>
      </c>
      <c r="U185" s="507">
        <v>9.2853710879714474E-2</v>
      </c>
      <c r="V185" s="507">
        <f>Port[[#This Row],[EAD_Drawn (CNY)]]*Port[[#This Row],[CNY -&gt; FCY]]</f>
        <v>3000000</v>
      </c>
      <c r="W185" s="507">
        <f>Port[[#This Row],[EAD_Undrawn (CNY)]]*Port[[#This Row],[CNY -&gt; FCY]]</f>
        <v>0</v>
      </c>
      <c r="X185" s="507">
        <f>Port[[#This Row],[EAD (CNY)]]*Port[[#This Row],[CNY -&gt; FCY]]</f>
        <v>3000000</v>
      </c>
      <c r="Y185" s="507">
        <f>Port[[#This Row],[EAD_Interest (CNY)]]*Port[[#This Row],[CNY -&gt; FCY]]</f>
        <v>2537.5</v>
      </c>
      <c r="Z185" s="507">
        <f>Port[[#This Row],[ECL_Drawn (CNY)]]*Port[[#This Row],[CNY -&gt; FCY]]</f>
        <v>109.77778626173141</v>
      </c>
      <c r="AA185" s="507">
        <f>Port[[#This Row],[ECL_Undrawn (CNY)]]*Port[[#This Row],[CNY -&gt; FCY]]</f>
        <v>0</v>
      </c>
      <c r="AB185" s="507">
        <f>Port[[#This Row],[ECL (CNY)]]*Port[[#This Row],[CNY -&gt; FCY]]</f>
        <v>109.77778626173141</v>
      </c>
      <c r="AC185" s="507">
        <f>Port[[#This Row],[ECL_Interest (CNY)]]*Port[[#This Row],[CNY -&gt; FCY]]</f>
        <v>9.2853710879714474E-2</v>
      </c>
      <c r="AD185" s="507">
        <f>Port[[#This Row],[EAD_Drawn (CNY)]]*Port[[#This Row],[CNY -&gt; THB]]</f>
        <v>15746400</v>
      </c>
      <c r="AE185" s="507">
        <f>Port[[#This Row],[EAD_Undrawn (CNY)]]*Port[[#This Row],[CNY -&gt; THB]]</f>
        <v>0</v>
      </c>
      <c r="AF185" s="507">
        <f>Port[[#This Row],[EAD (CNY)]]*Port[[#This Row],[CNY -&gt; THB]]</f>
        <v>15746400</v>
      </c>
      <c r="AG185" s="507">
        <f>Port[[#This Row],[EAD_Interest (CNY)]]*Port[[#This Row],[CNY -&gt; THB]]</f>
        <v>13318.83</v>
      </c>
      <c r="AH185" s="507">
        <f>Port[[#This Row],[ECL_Drawn (CNY)]]*Port[[#This Row],[CNY -&gt; THB]]</f>
        <v>576.20164453057578</v>
      </c>
      <c r="AI185" s="507">
        <f>Port[[#This Row],[ECL_Undrawn (CNY)]]*Port[[#This Row],[CNY -&gt; THB]]</f>
        <v>0</v>
      </c>
      <c r="AJ185" s="507">
        <f>Port[[#This Row],[ECL (CNY)]]*Port[[#This Row],[CNY -&gt; THB]]</f>
        <v>576.20164453057578</v>
      </c>
      <c r="AK185" s="507">
        <f>Port[[#This Row],[ECL_Interest (CNY)]]*Port[[#This Row],[CNY -&gt; THB]]</f>
        <v>0.48737055766544535</v>
      </c>
      <c r="AL185" s="507">
        <f>Port[[#This Row],[EAD (THB)]]*Port[[#This Row],[PD_avg]]</f>
        <v>757555.35643775039</v>
      </c>
      <c r="AM185" s="507">
        <f>Port[[#This Row],[EAD_Interest (THB)]]*Port[[#This Row],[PD_avg]]</f>
        <v>640.76557232026391</v>
      </c>
      <c r="AN185" s="507">
        <f>Port[[#This Row],[EAD (THB)]]*Port[[#This Row],[LGD_avg]]</f>
        <v>163512.51725124664</v>
      </c>
      <c r="AO185" s="507">
        <f>Port[[#This Row],[EAD_Interest (THB)]]*Port[[#This Row],[LGD_avg]]</f>
        <v>138.30433750834612</v>
      </c>
      <c r="AP185" s="507">
        <f>Port[[#This Row],[EAD_Drawn (THB)]]+Port[[#This Row],[EAD_Interest (THB)]]</f>
        <v>15759718.83</v>
      </c>
      <c r="AQ18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236196</v>
      </c>
      <c r="AR185" s="522">
        <f>MAX(Port[[#This Row],[ECL (THB)]]+Port[[#This Row],[ECL_Interest (THB)]], Port[[#This Row],[ECL CBIRC (THB)]])</f>
        <v>236196</v>
      </c>
    </row>
    <row r="186" spans="1:44">
      <c r="A186" s="2" t="s">
        <v>937</v>
      </c>
      <c r="B186" s="2" t="s">
        <v>928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21</v>
      </c>
      <c r="H186">
        <v>1</v>
      </c>
      <c r="I186" s="2" t="s">
        <v>526</v>
      </c>
      <c r="J186" s="505">
        <v>2.0514833509807026E-2</v>
      </c>
      <c r="K186" s="505">
        <v>0.90000000000000013</v>
      </c>
      <c r="L186" s="3">
        <v>1</v>
      </c>
      <c r="M186" s="3">
        <v>5.2488000000000001</v>
      </c>
      <c r="N186" s="507">
        <v>40000000</v>
      </c>
      <c r="O186" s="507">
        <v>0</v>
      </c>
      <c r="P186" s="507">
        <v>40000000</v>
      </c>
      <c r="Q186" s="507">
        <v>31500</v>
      </c>
      <c r="R186" s="507">
        <v>738534.00635305303</v>
      </c>
      <c r="S186" s="507">
        <v>0</v>
      </c>
      <c r="T186" s="507">
        <v>738534.00635305303</v>
      </c>
      <c r="U186" s="507">
        <v>581.59553000302924</v>
      </c>
      <c r="V186" s="507">
        <f>Port[[#This Row],[EAD_Drawn (CNY)]]*Port[[#This Row],[CNY -&gt; FCY]]</f>
        <v>40000000</v>
      </c>
      <c r="W186" s="507">
        <f>Port[[#This Row],[EAD_Undrawn (CNY)]]*Port[[#This Row],[CNY -&gt; FCY]]</f>
        <v>0</v>
      </c>
      <c r="X186" s="507">
        <f>Port[[#This Row],[EAD (CNY)]]*Port[[#This Row],[CNY -&gt; FCY]]</f>
        <v>40000000</v>
      </c>
      <c r="Y186" s="507">
        <f>Port[[#This Row],[EAD_Interest (CNY)]]*Port[[#This Row],[CNY -&gt; FCY]]</f>
        <v>31500</v>
      </c>
      <c r="Z186" s="507">
        <f>Port[[#This Row],[ECL_Drawn (CNY)]]*Port[[#This Row],[CNY -&gt; FCY]]</f>
        <v>738534.00635305303</v>
      </c>
      <c r="AA186" s="507">
        <f>Port[[#This Row],[ECL_Undrawn (CNY)]]*Port[[#This Row],[CNY -&gt; FCY]]</f>
        <v>0</v>
      </c>
      <c r="AB186" s="507">
        <f>Port[[#This Row],[ECL (CNY)]]*Port[[#This Row],[CNY -&gt; FCY]]</f>
        <v>738534.00635305303</v>
      </c>
      <c r="AC186" s="507">
        <f>Port[[#This Row],[ECL_Interest (CNY)]]*Port[[#This Row],[CNY -&gt; FCY]]</f>
        <v>581.59553000302924</v>
      </c>
      <c r="AD186" s="507">
        <f>Port[[#This Row],[EAD_Drawn (CNY)]]*Port[[#This Row],[CNY -&gt; THB]]</f>
        <v>209952000</v>
      </c>
      <c r="AE186" s="507">
        <f>Port[[#This Row],[EAD_Undrawn (CNY)]]*Port[[#This Row],[CNY -&gt; THB]]</f>
        <v>0</v>
      </c>
      <c r="AF186" s="507">
        <f>Port[[#This Row],[EAD (CNY)]]*Port[[#This Row],[CNY -&gt; THB]]</f>
        <v>209952000</v>
      </c>
      <c r="AG186" s="507">
        <f>Port[[#This Row],[EAD_Interest (CNY)]]*Port[[#This Row],[CNY -&gt; THB]]</f>
        <v>165337.20000000001</v>
      </c>
      <c r="AH186" s="507">
        <f>Port[[#This Row],[ECL_Drawn (CNY)]]*Port[[#This Row],[CNY -&gt; THB]]</f>
        <v>3876417.2925459049</v>
      </c>
      <c r="AI186" s="507">
        <f>Port[[#This Row],[ECL_Undrawn (CNY)]]*Port[[#This Row],[CNY -&gt; THB]]</f>
        <v>0</v>
      </c>
      <c r="AJ186" s="507">
        <f>Port[[#This Row],[ECL (CNY)]]*Port[[#This Row],[CNY -&gt; THB]]</f>
        <v>3876417.2925459049</v>
      </c>
      <c r="AK186" s="507">
        <f>Port[[#This Row],[ECL_Interest (CNY)]]*Port[[#This Row],[CNY -&gt; THB]]</f>
        <v>3052.6786178798998</v>
      </c>
      <c r="AL186" s="507">
        <f>Port[[#This Row],[EAD (THB)]]*Port[[#This Row],[PD_avg]]</f>
        <v>4307130.325051005</v>
      </c>
      <c r="AM186" s="507">
        <f>Port[[#This Row],[EAD_Interest (THB)]]*Port[[#This Row],[PD_avg]]</f>
        <v>3391.8651309776665</v>
      </c>
      <c r="AN186" s="507">
        <f>Port[[#This Row],[EAD (THB)]]*Port[[#This Row],[LGD_avg]]</f>
        <v>188956800.00000003</v>
      </c>
      <c r="AO186" s="507">
        <f>Port[[#This Row],[EAD_Interest (THB)]]*Port[[#This Row],[LGD_avg]]</f>
        <v>148803.48000000004</v>
      </c>
      <c r="AP186" s="507">
        <f>Port[[#This Row],[EAD_Drawn (THB)]]+Port[[#This Row],[EAD_Interest (THB)]]</f>
        <v>210117337.19999999</v>
      </c>
      <c r="AQ18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3149280</v>
      </c>
      <c r="AR186" s="522">
        <f>MAX(Port[[#This Row],[ECL (THB)]]+Port[[#This Row],[ECL_Interest (THB)]], Port[[#This Row],[ECL CBIRC (THB)]])</f>
        <v>3879469.9711637846</v>
      </c>
    </row>
    <row r="187" spans="1:44">
      <c r="A187" s="2" t="s">
        <v>938</v>
      </c>
      <c r="B187" s="2" t="s">
        <v>133</v>
      </c>
      <c r="C187" s="2" t="s">
        <v>17</v>
      </c>
      <c r="D187" s="2" t="s">
        <v>25</v>
      </c>
      <c r="E187" s="2" t="s">
        <v>19</v>
      </c>
      <c r="F187" s="2" t="s">
        <v>20</v>
      </c>
      <c r="G187" s="2" t="s">
        <v>21</v>
      </c>
      <c r="H187">
        <v>1</v>
      </c>
      <c r="I187" s="2" t="s">
        <v>526</v>
      </c>
      <c r="J187" s="505">
        <v>9.0832004774658653E-4</v>
      </c>
      <c r="K187" s="505">
        <v>0.9</v>
      </c>
      <c r="L187" s="3">
        <v>1</v>
      </c>
      <c r="M187" s="3">
        <v>5.2488000000000001</v>
      </c>
      <c r="N187" s="507">
        <v>35000000</v>
      </c>
      <c r="O187" s="507">
        <v>0</v>
      </c>
      <c r="P187" s="507">
        <v>35000000</v>
      </c>
      <c r="Q187" s="507">
        <v>25861.11</v>
      </c>
      <c r="R187" s="507">
        <v>28612.081504017471</v>
      </c>
      <c r="S187" s="507">
        <v>0</v>
      </c>
      <c r="T187" s="507">
        <v>28612.081504017471</v>
      </c>
      <c r="U187" s="507">
        <v>21.141148202981753</v>
      </c>
      <c r="V187" s="507">
        <f>Port[[#This Row],[EAD_Drawn (CNY)]]*Port[[#This Row],[CNY -&gt; FCY]]</f>
        <v>35000000</v>
      </c>
      <c r="W187" s="507">
        <f>Port[[#This Row],[EAD_Undrawn (CNY)]]*Port[[#This Row],[CNY -&gt; FCY]]</f>
        <v>0</v>
      </c>
      <c r="X187" s="507">
        <f>Port[[#This Row],[EAD (CNY)]]*Port[[#This Row],[CNY -&gt; FCY]]</f>
        <v>35000000</v>
      </c>
      <c r="Y187" s="507">
        <f>Port[[#This Row],[EAD_Interest (CNY)]]*Port[[#This Row],[CNY -&gt; FCY]]</f>
        <v>25861.11</v>
      </c>
      <c r="Z187" s="507">
        <f>Port[[#This Row],[ECL_Drawn (CNY)]]*Port[[#This Row],[CNY -&gt; FCY]]</f>
        <v>28612.081504017471</v>
      </c>
      <c r="AA187" s="507">
        <f>Port[[#This Row],[ECL_Undrawn (CNY)]]*Port[[#This Row],[CNY -&gt; FCY]]</f>
        <v>0</v>
      </c>
      <c r="AB187" s="507">
        <f>Port[[#This Row],[ECL (CNY)]]*Port[[#This Row],[CNY -&gt; FCY]]</f>
        <v>28612.081504017471</v>
      </c>
      <c r="AC187" s="507">
        <f>Port[[#This Row],[ECL_Interest (CNY)]]*Port[[#This Row],[CNY -&gt; FCY]]</f>
        <v>21.141148202981753</v>
      </c>
      <c r="AD187" s="507">
        <f>Port[[#This Row],[EAD_Drawn (CNY)]]*Port[[#This Row],[CNY -&gt; THB]]</f>
        <v>183708000</v>
      </c>
      <c r="AE187" s="507">
        <f>Port[[#This Row],[EAD_Undrawn (CNY)]]*Port[[#This Row],[CNY -&gt; THB]]</f>
        <v>0</v>
      </c>
      <c r="AF187" s="507">
        <f>Port[[#This Row],[EAD (CNY)]]*Port[[#This Row],[CNY -&gt; THB]]</f>
        <v>183708000</v>
      </c>
      <c r="AG187" s="507">
        <f>Port[[#This Row],[EAD_Interest (CNY)]]*Port[[#This Row],[CNY -&gt; THB]]</f>
        <v>135739.79416799999</v>
      </c>
      <c r="AH187" s="507">
        <f>Port[[#This Row],[ECL_Drawn (CNY)]]*Port[[#This Row],[CNY -&gt; THB]]</f>
        <v>150179.0933982869</v>
      </c>
      <c r="AI187" s="507">
        <f>Port[[#This Row],[ECL_Undrawn (CNY)]]*Port[[#This Row],[CNY -&gt; THB]]</f>
        <v>0</v>
      </c>
      <c r="AJ187" s="507">
        <f>Port[[#This Row],[ECL (CNY)]]*Port[[#This Row],[CNY -&gt; THB]]</f>
        <v>150179.0933982869</v>
      </c>
      <c r="AK187" s="507">
        <f>Port[[#This Row],[ECL_Interest (CNY)]]*Port[[#This Row],[CNY -&gt; THB]]</f>
        <v>110.96565868781063</v>
      </c>
      <c r="AL187" s="507">
        <f>Port[[#This Row],[EAD (THB)]]*Port[[#This Row],[PD_avg]]</f>
        <v>166865.65933142992</v>
      </c>
      <c r="AM187" s="507">
        <f>Port[[#This Row],[EAD_Interest (THB)]]*Port[[#This Row],[PD_avg]]</f>
        <v>123.29517631978958</v>
      </c>
      <c r="AN187" s="507">
        <f>Port[[#This Row],[EAD (THB)]]*Port[[#This Row],[LGD_avg]]</f>
        <v>165337200</v>
      </c>
      <c r="AO187" s="507">
        <f>Port[[#This Row],[EAD_Interest (THB)]]*Port[[#This Row],[LGD_avg]]</f>
        <v>122165.8147512</v>
      </c>
      <c r="AP187" s="507">
        <f>Port[[#This Row],[EAD_Drawn (THB)]]+Port[[#This Row],[EAD_Interest (THB)]]</f>
        <v>183843739.794168</v>
      </c>
      <c r="AQ18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2755620</v>
      </c>
      <c r="AR187" s="522">
        <f>MAX(Port[[#This Row],[ECL (THB)]]+Port[[#This Row],[ECL_Interest (THB)]], Port[[#This Row],[ECL CBIRC (THB)]])</f>
        <v>2755620</v>
      </c>
    </row>
    <row r="188" spans="1:44">
      <c r="A188" s="2" t="s">
        <v>939</v>
      </c>
      <c r="B188" s="2" t="s">
        <v>926</v>
      </c>
      <c r="C188" s="2" t="s">
        <v>17</v>
      </c>
      <c r="D188" s="2" t="s">
        <v>25</v>
      </c>
      <c r="E188" s="2" t="s">
        <v>19</v>
      </c>
      <c r="F188" s="2" t="s">
        <v>20</v>
      </c>
      <c r="G188" s="2" t="s">
        <v>21</v>
      </c>
      <c r="H188">
        <v>1</v>
      </c>
      <c r="I188" s="2" t="s">
        <v>526</v>
      </c>
      <c r="J188" s="505">
        <v>2.0514833509807026E-2</v>
      </c>
      <c r="K188" s="505">
        <v>0.2558898901894136</v>
      </c>
      <c r="L188" s="3">
        <v>1</v>
      </c>
      <c r="M188" s="3">
        <v>5.2488000000000001</v>
      </c>
      <c r="N188" s="507">
        <v>20700000</v>
      </c>
      <c r="O188" s="507">
        <v>116545380</v>
      </c>
      <c r="P188" s="507">
        <v>137245380</v>
      </c>
      <c r="Q188" s="507">
        <v>17911.25</v>
      </c>
      <c r="R188" s="507">
        <v>338787.1350812125</v>
      </c>
      <c r="S188" s="507">
        <v>381489</v>
      </c>
      <c r="T188" s="507">
        <v>720276.1350812125</v>
      </c>
      <c r="U188" s="507">
        <v>293.14497938277134</v>
      </c>
      <c r="V188" s="507">
        <f>Port[[#This Row],[EAD_Drawn (CNY)]]*Port[[#This Row],[CNY -&gt; FCY]]</f>
        <v>20700000</v>
      </c>
      <c r="W188" s="507">
        <f>Port[[#This Row],[EAD_Undrawn (CNY)]]*Port[[#This Row],[CNY -&gt; FCY]]</f>
        <v>116545380</v>
      </c>
      <c r="X188" s="507">
        <f>Port[[#This Row],[EAD (CNY)]]*Port[[#This Row],[CNY -&gt; FCY]]</f>
        <v>137245380</v>
      </c>
      <c r="Y188" s="507">
        <f>Port[[#This Row],[EAD_Interest (CNY)]]*Port[[#This Row],[CNY -&gt; FCY]]</f>
        <v>17911.25</v>
      </c>
      <c r="Z188" s="507">
        <f>Port[[#This Row],[ECL_Drawn (CNY)]]*Port[[#This Row],[CNY -&gt; FCY]]</f>
        <v>338787.1350812125</v>
      </c>
      <c r="AA188" s="507">
        <f>Port[[#This Row],[ECL_Undrawn (CNY)]]*Port[[#This Row],[CNY -&gt; FCY]]</f>
        <v>381489</v>
      </c>
      <c r="AB188" s="507">
        <f>Port[[#This Row],[ECL (CNY)]]*Port[[#This Row],[CNY -&gt; FCY]]</f>
        <v>720276.1350812125</v>
      </c>
      <c r="AC188" s="507">
        <f>Port[[#This Row],[ECL_Interest (CNY)]]*Port[[#This Row],[CNY -&gt; FCY]]</f>
        <v>293.14497938277134</v>
      </c>
      <c r="AD188" s="507">
        <f>Port[[#This Row],[EAD_Drawn (CNY)]]*Port[[#This Row],[CNY -&gt; THB]]</f>
        <v>108650160</v>
      </c>
      <c r="AE188" s="507">
        <f>Port[[#This Row],[EAD_Undrawn (CNY)]]*Port[[#This Row],[CNY -&gt; THB]]</f>
        <v>611723390.54400003</v>
      </c>
      <c r="AF188" s="507">
        <f>Port[[#This Row],[EAD (CNY)]]*Port[[#This Row],[CNY -&gt; THB]]</f>
        <v>720373550.54400003</v>
      </c>
      <c r="AG188" s="507">
        <f>Port[[#This Row],[EAD_Interest (CNY)]]*Port[[#This Row],[CNY -&gt; THB]]</f>
        <v>94012.569000000003</v>
      </c>
      <c r="AH188" s="507">
        <f>Port[[#This Row],[ECL_Drawn (CNY)]]*Port[[#This Row],[CNY -&gt; THB]]</f>
        <v>1778225.9146142681</v>
      </c>
      <c r="AI188" s="507">
        <f>Port[[#This Row],[ECL_Undrawn (CNY)]]*Port[[#This Row],[CNY -&gt; THB]]</f>
        <v>2002359.4632000001</v>
      </c>
      <c r="AJ188" s="507">
        <f>Port[[#This Row],[ECL (CNY)]]*Port[[#This Row],[CNY -&gt; THB]]</f>
        <v>3780585.3778142682</v>
      </c>
      <c r="AK188" s="507">
        <f>Port[[#This Row],[ECL_Interest (CNY)]]*Port[[#This Row],[CNY -&gt; THB]]</f>
        <v>1538.6593677842902</v>
      </c>
      <c r="AL188" s="507">
        <f>Port[[#This Row],[EAD (THB)]]*Port[[#This Row],[PD_avg]]</f>
        <v>14778343.454278717</v>
      </c>
      <c r="AM188" s="507">
        <f>Port[[#This Row],[EAD_Interest (THB)]]*Port[[#This Row],[PD_avg]]</f>
        <v>1928.6522008642453</v>
      </c>
      <c r="AN188" s="507">
        <f>Port[[#This Row],[EAD (THB)]]*Port[[#This Row],[LGD_avg]]</f>
        <v>184336308.74406216</v>
      </c>
      <c r="AO188" s="507">
        <f>Port[[#This Row],[EAD_Interest (THB)]]*Port[[#This Row],[LGD_avg]]</f>
        <v>24056.865957834671</v>
      </c>
      <c r="AP188" s="507">
        <f>Port[[#This Row],[EAD_Drawn (THB)]]+Port[[#This Row],[EAD_Interest (THB)]]</f>
        <v>108744172.56900001</v>
      </c>
      <c r="AQ18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1629752.4</v>
      </c>
      <c r="AR188" s="522">
        <f>MAX(Port[[#This Row],[ECL (THB)]]+Port[[#This Row],[ECL_Interest (THB)]], Port[[#This Row],[ECL CBIRC (THB)]])</f>
        <v>3782124.0371820526</v>
      </c>
    </row>
    <row r="189" spans="1:44">
      <c r="A189" s="2" t="s">
        <v>940</v>
      </c>
      <c r="B189" s="2" t="s">
        <v>941</v>
      </c>
      <c r="C189" s="2" t="s">
        <v>17</v>
      </c>
      <c r="D189" s="2" t="s">
        <v>348</v>
      </c>
      <c r="E189" s="2" t="s">
        <v>19</v>
      </c>
      <c r="F189" s="2" t="s">
        <v>20</v>
      </c>
      <c r="G189" s="2" t="s">
        <v>21</v>
      </c>
      <c r="H189">
        <v>1</v>
      </c>
      <c r="I189" s="2" t="s">
        <v>526</v>
      </c>
      <c r="J189" s="505">
        <v>2.0514833509807026E-2</v>
      </c>
      <c r="K189" s="505">
        <v>0.90000000000000013</v>
      </c>
      <c r="L189" s="3">
        <v>1</v>
      </c>
      <c r="M189" s="3">
        <v>5.2488000000000001</v>
      </c>
      <c r="N189" s="507">
        <v>20000000</v>
      </c>
      <c r="O189" s="507">
        <v>0</v>
      </c>
      <c r="P189" s="507">
        <v>20000000</v>
      </c>
      <c r="Q189" s="507">
        <v>17500</v>
      </c>
      <c r="R189" s="507">
        <v>369267.00317652652</v>
      </c>
      <c r="S189" s="507">
        <v>0</v>
      </c>
      <c r="T189" s="507">
        <v>369267.00317652652</v>
      </c>
      <c r="U189" s="507">
        <v>323.10862777946068</v>
      </c>
      <c r="V189" s="507">
        <f>Port[[#This Row],[EAD_Drawn (CNY)]]*Port[[#This Row],[CNY -&gt; FCY]]</f>
        <v>20000000</v>
      </c>
      <c r="W189" s="507">
        <f>Port[[#This Row],[EAD_Undrawn (CNY)]]*Port[[#This Row],[CNY -&gt; FCY]]</f>
        <v>0</v>
      </c>
      <c r="X189" s="507">
        <f>Port[[#This Row],[EAD (CNY)]]*Port[[#This Row],[CNY -&gt; FCY]]</f>
        <v>20000000</v>
      </c>
      <c r="Y189" s="507">
        <f>Port[[#This Row],[EAD_Interest (CNY)]]*Port[[#This Row],[CNY -&gt; FCY]]</f>
        <v>17500</v>
      </c>
      <c r="Z189" s="507">
        <f>Port[[#This Row],[ECL_Drawn (CNY)]]*Port[[#This Row],[CNY -&gt; FCY]]</f>
        <v>369267.00317652652</v>
      </c>
      <c r="AA189" s="507">
        <f>Port[[#This Row],[ECL_Undrawn (CNY)]]*Port[[#This Row],[CNY -&gt; FCY]]</f>
        <v>0</v>
      </c>
      <c r="AB189" s="507">
        <f>Port[[#This Row],[ECL (CNY)]]*Port[[#This Row],[CNY -&gt; FCY]]</f>
        <v>369267.00317652652</v>
      </c>
      <c r="AC189" s="507">
        <f>Port[[#This Row],[ECL_Interest (CNY)]]*Port[[#This Row],[CNY -&gt; FCY]]</f>
        <v>323.10862777946068</v>
      </c>
      <c r="AD189" s="507">
        <f>Port[[#This Row],[EAD_Drawn (CNY)]]*Port[[#This Row],[CNY -&gt; THB]]</f>
        <v>104976000</v>
      </c>
      <c r="AE189" s="507">
        <f>Port[[#This Row],[EAD_Undrawn (CNY)]]*Port[[#This Row],[CNY -&gt; THB]]</f>
        <v>0</v>
      </c>
      <c r="AF189" s="507">
        <f>Port[[#This Row],[EAD (CNY)]]*Port[[#This Row],[CNY -&gt; THB]]</f>
        <v>104976000</v>
      </c>
      <c r="AG189" s="507">
        <f>Port[[#This Row],[EAD_Interest (CNY)]]*Port[[#This Row],[CNY -&gt; THB]]</f>
        <v>91854</v>
      </c>
      <c r="AH189" s="507">
        <f>Port[[#This Row],[ECL_Drawn (CNY)]]*Port[[#This Row],[CNY -&gt; THB]]</f>
        <v>1938208.6462729524</v>
      </c>
      <c r="AI189" s="507">
        <f>Port[[#This Row],[ECL_Undrawn (CNY)]]*Port[[#This Row],[CNY -&gt; THB]]</f>
        <v>0</v>
      </c>
      <c r="AJ189" s="507">
        <f>Port[[#This Row],[ECL (CNY)]]*Port[[#This Row],[CNY -&gt; THB]]</f>
        <v>1938208.6462729524</v>
      </c>
      <c r="AK189" s="507">
        <f>Port[[#This Row],[ECL_Interest (CNY)]]*Port[[#This Row],[CNY -&gt; THB]]</f>
        <v>1695.9325654888332</v>
      </c>
      <c r="AL189" s="507">
        <f>Port[[#This Row],[EAD (THB)]]*Port[[#This Row],[PD_avg]]</f>
        <v>2153565.1625255025</v>
      </c>
      <c r="AM189" s="507">
        <f>Port[[#This Row],[EAD_Interest (THB)]]*Port[[#This Row],[PD_avg]]</f>
        <v>1884.3695172098146</v>
      </c>
      <c r="AN189" s="507">
        <f>Port[[#This Row],[EAD (THB)]]*Port[[#This Row],[LGD_avg]]</f>
        <v>94478400.000000015</v>
      </c>
      <c r="AO189" s="507">
        <f>Port[[#This Row],[EAD_Interest (THB)]]*Port[[#This Row],[LGD_avg]]</f>
        <v>82668.600000000006</v>
      </c>
      <c r="AP189" s="507">
        <f>Port[[#This Row],[EAD_Drawn (THB)]]+Port[[#This Row],[EAD_Interest (THB)]]</f>
        <v>105067854</v>
      </c>
      <c r="AQ18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1574640</v>
      </c>
      <c r="AR189" s="522">
        <f>MAX(Port[[#This Row],[ECL (THB)]]+Port[[#This Row],[ECL_Interest (THB)]], Port[[#This Row],[ECL CBIRC (THB)]])</f>
        <v>1939904.5788384413</v>
      </c>
    </row>
    <row r="190" spans="1:44">
      <c r="A190" s="2" t="s">
        <v>942</v>
      </c>
      <c r="B190" s="2" t="s">
        <v>943</v>
      </c>
      <c r="C190" s="2" t="s">
        <v>17</v>
      </c>
      <c r="D190" s="2" t="s">
        <v>25</v>
      </c>
      <c r="E190" s="2" t="s">
        <v>19</v>
      </c>
      <c r="F190" s="2" t="s">
        <v>20</v>
      </c>
      <c r="G190" s="2" t="s">
        <v>21</v>
      </c>
      <c r="H190">
        <v>1</v>
      </c>
      <c r="I190" s="2" t="s">
        <v>526</v>
      </c>
      <c r="J190" s="505">
        <v>6.9397112156245985E-2</v>
      </c>
      <c r="K190" s="505">
        <v>0.7051534416646893</v>
      </c>
      <c r="L190" s="3">
        <v>1</v>
      </c>
      <c r="M190" s="3">
        <v>5.2488000000000001</v>
      </c>
      <c r="N190" s="507">
        <v>60000000</v>
      </c>
      <c r="O190" s="507">
        <v>0</v>
      </c>
      <c r="P190" s="507">
        <v>60000000</v>
      </c>
      <c r="Q190" s="507">
        <v>47250</v>
      </c>
      <c r="R190" s="507">
        <v>2936136.7487140382</v>
      </c>
      <c r="S190" s="507">
        <v>0</v>
      </c>
      <c r="T190" s="507">
        <v>2936136.7487140382</v>
      </c>
      <c r="U190" s="507">
        <v>2312.2076896123049</v>
      </c>
      <c r="V190" s="507">
        <f>Port[[#This Row],[EAD_Drawn (CNY)]]*Port[[#This Row],[CNY -&gt; FCY]]</f>
        <v>60000000</v>
      </c>
      <c r="W190" s="507">
        <f>Port[[#This Row],[EAD_Undrawn (CNY)]]*Port[[#This Row],[CNY -&gt; FCY]]</f>
        <v>0</v>
      </c>
      <c r="X190" s="507">
        <f>Port[[#This Row],[EAD (CNY)]]*Port[[#This Row],[CNY -&gt; FCY]]</f>
        <v>60000000</v>
      </c>
      <c r="Y190" s="507">
        <f>Port[[#This Row],[EAD_Interest (CNY)]]*Port[[#This Row],[CNY -&gt; FCY]]</f>
        <v>47250</v>
      </c>
      <c r="Z190" s="507">
        <f>Port[[#This Row],[ECL_Drawn (CNY)]]*Port[[#This Row],[CNY -&gt; FCY]]</f>
        <v>2936136.7487140382</v>
      </c>
      <c r="AA190" s="507">
        <f>Port[[#This Row],[ECL_Undrawn (CNY)]]*Port[[#This Row],[CNY -&gt; FCY]]</f>
        <v>0</v>
      </c>
      <c r="AB190" s="507">
        <f>Port[[#This Row],[ECL (CNY)]]*Port[[#This Row],[CNY -&gt; FCY]]</f>
        <v>2936136.7487140382</v>
      </c>
      <c r="AC190" s="507">
        <f>Port[[#This Row],[ECL_Interest (CNY)]]*Port[[#This Row],[CNY -&gt; FCY]]</f>
        <v>2312.2076896123049</v>
      </c>
      <c r="AD190" s="507">
        <f>Port[[#This Row],[EAD_Drawn (CNY)]]*Port[[#This Row],[CNY -&gt; THB]]</f>
        <v>314928000</v>
      </c>
      <c r="AE190" s="507">
        <f>Port[[#This Row],[EAD_Undrawn (CNY)]]*Port[[#This Row],[CNY -&gt; THB]]</f>
        <v>0</v>
      </c>
      <c r="AF190" s="507">
        <f>Port[[#This Row],[EAD (CNY)]]*Port[[#This Row],[CNY -&gt; THB]]</f>
        <v>314928000</v>
      </c>
      <c r="AG190" s="507">
        <f>Port[[#This Row],[EAD_Interest (CNY)]]*Port[[#This Row],[CNY -&gt; THB]]</f>
        <v>248005.80000000002</v>
      </c>
      <c r="AH190" s="507">
        <f>Port[[#This Row],[ECL_Drawn (CNY)]]*Port[[#This Row],[CNY -&gt; THB]]</f>
        <v>15411194.566650243</v>
      </c>
      <c r="AI190" s="507">
        <f>Port[[#This Row],[ECL_Undrawn (CNY)]]*Port[[#This Row],[CNY -&gt; THB]]</f>
        <v>0</v>
      </c>
      <c r="AJ190" s="507">
        <f>Port[[#This Row],[ECL (CNY)]]*Port[[#This Row],[CNY -&gt; THB]]</f>
        <v>15411194.566650243</v>
      </c>
      <c r="AK190" s="507">
        <f>Port[[#This Row],[ECL_Interest (CNY)]]*Port[[#This Row],[CNY -&gt; THB]]</f>
        <v>12136.315721237066</v>
      </c>
      <c r="AL190" s="507">
        <f>Port[[#This Row],[EAD (THB)]]*Port[[#This Row],[PD_avg]]</f>
        <v>21855093.737142235</v>
      </c>
      <c r="AM190" s="507">
        <f>Port[[#This Row],[EAD_Interest (THB)]]*Port[[#This Row],[PD_avg]]</f>
        <v>17210.886317999513</v>
      </c>
      <c r="AN190" s="507">
        <f>Port[[#This Row],[EAD (THB)]]*Port[[#This Row],[LGD_avg]]</f>
        <v>222072563.07657728</v>
      </c>
      <c r="AO190" s="507">
        <f>Port[[#This Row],[EAD_Interest (THB)]]*Port[[#This Row],[LGD_avg]]</f>
        <v>174882.14342280463</v>
      </c>
      <c r="AP190" s="507">
        <f>Port[[#This Row],[EAD_Drawn (THB)]]+Port[[#This Row],[EAD_Interest (THB)]]</f>
        <v>315176005.80000001</v>
      </c>
      <c r="AQ19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4723920</v>
      </c>
      <c r="AR190" s="522">
        <f>MAX(Port[[#This Row],[ECL (THB)]]+Port[[#This Row],[ECL_Interest (THB)]], Port[[#This Row],[ECL CBIRC (THB)]])</f>
        <v>15423330.88237148</v>
      </c>
    </row>
    <row r="191" spans="1:44">
      <c r="A191" s="2" t="s">
        <v>944</v>
      </c>
      <c r="B191" s="2" t="s">
        <v>945</v>
      </c>
      <c r="C191" s="2" t="s">
        <v>17</v>
      </c>
      <c r="D191" s="2" t="s">
        <v>25</v>
      </c>
      <c r="E191" s="2" t="s">
        <v>19</v>
      </c>
      <c r="F191" s="2" t="s">
        <v>20</v>
      </c>
      <c r="G191" s="2" t="s">
        <v>21</v>
      </c>
      <c r="H191">
        <v>1</v>
      </c>
      <c r="I191" s="2" t="s">
        <v>526</v>
      </c>
      <c r="J191" s="505">
        <v>4.8109749303825028E-2</v>
      </c>
      <c r="K191" s="505">
        <v>0.8999999999999998</v>
      </c>
      <c r="L191" s="3">
        <v>1</v>
      </c>
      <c r="M191" s="3">
        <v>5.2488000000000001</v>
      </c>
      <c r="N191" s="507">
        <v>25000000</v>
      </c>
      <c r="O191" s="507">
        <v>0</v>
      </c>
      <c r="P191" s="507">
        <v>25000000</v>
      </c>
      <c r="Q191" s="507">
        <v>24305.56</v>
      </c>
      <c r="R191" s="507">
        <v>1082469.359336063</v>
      </c>
      <c r="S191" s="507">
        <v>0</v>
      </c>
      <c r="T191" s="507">
        <v>1082469.359336063</v>
      </c>
      <c r="U191" s="507">
        <v>1052.4009584601699</v>
      </c>
      <c r="V191" s="507">
        <f>Port[[#This Row],[EAD_Drawn (CNY)]]*Port[[#This Row],[CNY -&gt; FCY]]</f>
        <v>25000000</v>
      </c>
      <c r="W191" s="507">
        <f>Port[[#This Row],[EAD_Undrawn (CNY)]]*Port[[#This Row],[CNY -&gt; FCY]]</f>
        <v>0</v>
      </c>
      <c r="X191" s="507">
        <f>Port[[#This Row],[EAD (CNY)]]*Port[[#This Row],[CNY -&gt; FCY]]</f>
        <v>25000000</v>
      </c>
      <c r="Y191" s="507">
        <f>Port[[#This Row],[EAD_Interest (CNY)]]*Port[[#This Row],[CNY -&gt; FCY]]</f>
        <v>24305.56</v>
      </c>
      <c r="Z191" s="507">
        <f>Port[[#This Row],[ECL_Drawn (CNY)]]*Port[[#This Row],[CNY -&gt; FCY]]</f>
        <v>1082469.359336063</v>
      </c>
      <c r="AA191" s="507">
        <f>Port[[#This Row],[ECL_Undrawn (CNY)]]*Port[[#This Row],[CNY -&gt; FCY]]</f>
        <v>0</v>
      </c>
      <c r="AB191" s="507">
        <f>Port[[#This Row],[ECL (CNY)]]*Port[[#This Row],[CNY -&gt; FCY]]</f>
        <v>1082469.359336063</v>
      </c>
      <c r="AC191" s="507">
        <f>Port[[#This Row],[ECL_Interest (CNY)]]*Port[[#This Row],[CNY -&gt; FCY]]</f>
        <v>1052.4009584601699</v>
      </c>
      <c r="AD191" s="507">
        <f>Port[[#This Row],[EAD_Drawn (CNY)]]*Port[[#This Row],[CNY -&gt; THB]]</f>
        <v>131220000</v>
      </c>
      <c r="AE191" s="507">
        <f>Port[[#This Row],[EAD_Undrawn (CNY)]]*Port[[#This Row],[CNY -&gt; THB]]</f>
        <v>0</v>
      </c>
      <c r="AF191" s="507">
        <f>Port[[#This Row],[EAD (CNY)]]*Port[[#This Row],[CNY -&gt; THB]]</f>
        <v>131220000</v>
      </c>
      <c r="AG191" s="507">
        <f>Port[[#This Row],[EAD_Interest (CNY)]]*Port[[#This Row],[CNY -&gt; THB]]</f>
        <v>127575.02332800001</v>
      </c>
      <c r="AH191" s="507">
        <f>Port[[#This Row],[ECL_Drawn (CNY)]]*Port[[#This Row],[CNY -&gt; THB]]</f>
        <v>5681665.1732831281</v>
      </c>
      <c r="AI191" s="507">
        <f>Port[[#This Row],[ECL_Undrawn (CNY)]]*Port[[#This Row],[CNY -&gt; THB]]</f>
        <v>0</v>
      </c>
      <c r="AJ191" s="507">
        <f>Port[[#This Row],[ECL (CNY)]]*Port[[#This Row],[CNY -&gt; THB]]</f>
        <v>5681665.1732831281</v>
      </c>
      <c r="AK191" s="507">
        <f>Port[[#This Row],[ECL_Interest (CNY)]]*Port[[#This Row],[CNY -&gt; THB]]</f>
        <v>5523.8421507657404</v>
      </c>
      <c r="AL191" s="507">
        <f>Port[[#This Row],[EAD (THB)]]*Port[[#This Row],[PD_avg]]</f>
        <v>6312961.3036479205</v>
      </c>
      <c r="AM191" s="507">
        <f>Port[[#This Row],[EAD_Interest (THB)]]*Port[[#This Row],[PD_avg]]</f>
        <v>6137.6023897397099</v>
      </c>
      <c r="AN191" s="507">
        <f>Port[[#This Row],[EAD (THB)]]*Port[[#This Row],[LGD_avg]]</f>
        <v>118097999.99999997</v>
      </c>
      <c r="AO191" s="507">
        <f>Port[[#This Row],[EAD_Interest (THB)]]*Port[[#This Row],[LGD_avg]]</f>
        <v>114817.52099519999</v>
      </c>
      <c r="AP191" s="507">
        <f>Port[[#This Row],[EAD_Drawn (THB)]]+Port[[#This Row],[EAD_Interest (THB)]]</f>
        <v>131347575.02332801</v>
      </c>
      <c r="AQ19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1968300</v>
      </c>
      <c r="AR191" s="522">
        <f>MAX(Port[[#This Row],[ECL (THB)]]+Port[[#This Row],[ECL_Interest (THB)]], Port[[#This Row],[ECL CBIRC (THB)]])</f>
        <v>5687189.0154338935</v>
      </c>
    </row>
    <row r="192" spans="1:44">
      <c r="A192" s="2" t="s">
        <v>946</v>
      </c>
      <c r="B192" s="2" t="s">
        <v>945</v>
      </c>
      <c r="C192" s="2" t="s">
        <v>17</v>
      </c>
      <c r="D192" s="2" t="s">
        <v>25</v>
      </c>
      <c r="E192" s="2" t="s">
        <v>19</v>
      </c>
      <c r="F192" s="2" t="s">
        <v>20</v>
      </c>
      <c r="G192" s="2" t="s">
        <v>21</v>
      </c>
      <c r="H192">
        <v>1</v>
      </c>
      <c r="I192" s="2" t="s">
        <v>526</v>
      </c>
      <c r="J192" s="505">
        <v>4.8109749303825028E-2</v>
      </c>
      <c r="K192" s="505">
        <v>0.8999999999999998</v>
      </c>
      <c r="L192" s="3">
        <v>1</v>
      </c>
      <c r="M192" s="3">
        <v>5.2488000000000001</v>
      </c>
      <c r="N192" s="507">
        <v>25000000</v>
      </c>
      <c r="O192" s="507">
        <v>0</v>
      </c>
      <c r="P192" s="507">
        <v>25000000</v>
      </c>
      <c r="Q192" s="507">
        <v>24305.56</v>
      </c>
      <c r="R192" s="507">
        <v>1082469.359336063</v>
      </c>
      <c r="S192" s="507">
        <v>0</v>
      </c>
      <c r="T192" s="507">
        <v>1082469.359336063</v>
      </c>
      <c r="U192" s="507">
        <v>1052.4009584601699</v>
      </c>
      <c r="V192" s="507">
        <f>Port[[#This Row],[EAD_Drawn (CNY)]]*Port[[#This Row],[CNY -&gt; FCY]]</f>
        <v>25000000</v>
      </c>
      <c r="W192" s="507">
        <f>Port[[#This Row],[EAD_Undrawn (CNY)]]*Port[[#This Row],[CNY -&gt; FCY]]</f>
        <v>0</v>
      </c>
      <c r="X192" s="507">
        <f>Port[[#This Row],[EAD (CNY)]]*Port[[#This Row],[CNY -&gt; FCY]]</f>
        <v>25000000</v>
      </c>
      <c r="Y192" s="507">
        <f>Port[[#This Row],[EAD_Interest (CNY)]]*Port[[#This Row],[CNY -&gt; FCY]]</f>
        <v>24305.56</v>
      </c>
      <c r="Z192" s="507">
        <f>Port[[#This Row],[ECL_Drawn (CNY)]]*Port[[#This Row],[CNY -&gt; FCY]]</f>
        <v>1082469.359336063</v>
      </c>
      <c r="AA192" s="507">
        <f>Port[[#This Row],[ECL_Undrawn (CNY)]]*Port[[#This Row],[CNY -&gt; FCY]]</f>
        <v>0</v>
      </c>
      <c r="AB192" s="507">
        <f>Port[[#This Row],[ECL (CNY)]]*Port[[#This Row],[CNY -&gt; FCY]]</f>
        <v>1082469.359336063</v>
      </c>
      <c r="AC192" s="507">
        <f>Port[[#This Row],[ECL_Interest (CNY)]]*Port[[#This Row],[CNY -&gt; FCY]]</f>
        <v>1052.4009584601699</v>
      </c>
      <c r="AD192" s="507">
        <f>Port[[#This Row],[EAD_Drawn (CNY)]]*Port[[#This Row],[CNY -&gt; THB]]</f>
        <v>131220000</v>
      </c>
      <c r="AE192" s="507">
        <f>Port[[#This Row],[EAD_Undrawn (CNY)]]*Port[[#This Row],[CNY -&gt; THB]]</f>
        <v>0</v>
      </c>
      <c r="AF192" s="507">
        <f>Port[[#This Row],[EAD (CNY)]]*Port[[#This Row],[CNY -&gt; THB]]</f>
        <v>131220000</v>
      </c>
      <c r="AG192" s="507">
        <f>Port[[#This Row],[EAD_Interest (CNY)]]*Port[[#This Row],[CNY -&gt; THB]]</f>
        <v>127575.02332800001</v>
      </c>
      <c r="AH192" s="507">
        <f>Port[[#This Row],[ECL_Drawn (CNY)]]*Port[[#This Row],[CNY -&gt; THB]]</f>
        <v>5681665.1732831281</v>
      </c>
      <c r="AI192" s="507">
        <f>Port[[#This Row],[ECL_Undrawn (CNY)]]*Port[[#This Row],[CNY -&gt; THB]]</f>
        <v>0</v>
      </c>
      <c r="AJ192" s="507">
        <f>Port[[#This Row],[ECL (CNY)]]*Port[[#This Row],[CNY -&gt; THB]]</f>
        <v>5681665.1732831281</v>
      </c>
      <c r="AK192" s="507">
        <f>Port[[#This Row],[ECL_Interest (CNY)]]*Port[[#This Row],[CNY -&gt; THB]]</f>
        <v>5523.8421507657404</v>
      </c>
      <c r="AL192" s="507">
        <f>Port[[#This Row],[EAD (THB)]]*Port[[#This Row],[PD_avg]]</f>
        <v>6312961.3036479205</v>
      </c>
      <c r="AM192" s="507">
        <f>Port[[#This Row],[EAD_Interest (THB)]]*Port[[#This Row],[PD_avg]]</f>
        <v>6137.6023897397099</v>
      </c>
      <c r="AN192" s="507">
        <f>Port[[#This Row],[EAD (THB)]]*Port[[#This Row],[LGD_avg]]</f>
        <v>118097999.99999997</v>
      </c>
      <c r="AO192" s="507">
        <f>Port[[#This Row],[EAD_Interest (THB)]]*Port[[#This Row],[LGD_avg]]</f>
        <v>114817.52099519999</v>
      </c>
      <c r="AP192" s="507">
        <f>Port[[#This Row],[EAD_Drawn (THB)]]+Port[[#This Row],[EAD_Interest (THB)]]</f>
        <v>131347575.02332801</v>
      </c>
      <c r="AQ19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1968300</v>
      </c>
      <c r="AR192" s="522">
        <f>MAX(Port[[#This Row],[ECL (THB)]]+Port[[#This Row],[ECL_Interest (THB)]], Port[[#This Row],[ECL CBIRC (THB)]])</f>
        <v>5687189.0154338935</v>
      </c>
    </row>
    <row r="193" spans="1:44">
      <c r="A193" s="2" t="s">
        <v>947</v>
      </c>
      <c r="B193" s="2" t="s">
        <v>948</v>
      </c>
      <c r="C193" s="2" t="s">
        <v>17</v>
      </c>
      <c r="D193" s="2" t="s">
        <v>25</v>
      </c>
      <c r="E193" s="2" t="s">
        <v>19</v>
      </c>
      <c r="F193" s="2" t="s">
        <v>20</v>
      </c>
      <c r="G193" s="2" t="s">
        <v>21</v>
      </c>
      <c r="H193">
        <v>1</v>
      </c>
      <c r="I193" s="2" t="s">
        <v>526</v>
      </c>
      <c r="J193" s="505">
        <v>1.3043899345507868E-2</v>
      </c>
      <c r="K193" s="505">
        <v>0.89999999999999991</v>
      </c>
      <c r="L193" s="3">
        <v>1</v>
      </c>
      <c r="M193" s="3">
        <v>5.2488000000000001</v>
      </c>
      <c r="N193" s="507">
        <v>5000000</v>
      </c>
      <c r="O193" s="507">
        <v>0</v>
      </c>
      <c r="P193" s="507">
        <v>5000000</v>
      </c>
      <c r="Q193" s="507">
        <v>4034.72</v>
      </c>
      <c r="R193" s="507">
        <v>58697.547054785406</v>
      </c>
      <c r="S193" s="507">
        <v>0</v>
      </c>
      <c r="T193" s="507">
        <v>58697.547054785406</v>
      </c>
      <c r="U193" s="507">
        <v>47.365633410576756</v>
      </c>
      <c r="V193" s="507">
        <f>Port[[#This Row],[EAD_Drawn (CNY)]]*Port[[#This Row],[CNY -&gt; FCY]]</f>
        <v>5000000</v>
      </c>
      <c r="W193" s="507">
        <f>Port[[#This Row],[EAD_Undrawn (CNY)]]*Port[[#This Row],[CNY -&gt; FCY]]</f>
        <v>0</v>
      </c>
      <c r="X193" s="507">
        <f>Port[[#This Row],[EAD (CNY)]]*Port[[#This Row],[CNY -&gt; FCY]]</f>
        <v>5000000</v>
      </c>
      <c r="Y193" s="507">
        <f>Port[[#This Row],[EAD_Interest (CNY)]]*Port[[#This Row],[CNY -&gt; FCY]]</f>
        <v>4034.72</v>
      </c>
      <c r="Z193" s="507">
        <f>Port[[#This Row],[ECL_Drawn (CNY)]]*Port[[#This Row],[CNY -&gt; FCY]]</f>
        <v>58697.547054785406</v>
      </c>
      <c r="AA193" s="507">
        <f>Port[[#This Row],[ECL_Undrawn (CNY)]]*Port[[#This Row],[CNY -&gt; FCY]]</f>
        <v>0</v>
      </c>
      <c r="AB193" s="507">
        <f>Port[[#This Row],[ECL (CNY)]]*Port[[#This Row],[CNY -&gt; FCY]]</f>
        <v>58697.547054785406</v>
      </c>
      <c r="AC193" s="507">
        <f>Port[[#This Row],[ECL_Interest (CNY)]]*Port[[#This Row],[CNY -&gt; FCY]]</f>
        <v>47.365633410576756</v>
      </c>
      <c r="AD193" s="507">
        <f>Port[[#This Row],[EAD_Drawn (CNY)]]*Port[[#This Row],[CNY -&gt; THB]]</f>
        <v>26244000</v>
      </c>
      <c r="AE193" s="507">
        <f>Port[[#This Row],[EAD_Undrawn (CNY)]]*Port[[#This Row],[CNY -&gt; THB]]</f>
        <v>0</v>
      </c>
      <c r="AF193" s="507">
        <f>Port[[#This Row],[EAD (CNY)]]*Port[[#This Row],[CNY -&gt; THB]]</f>
        <v>26244000</v>
      </c>
      <c r="AG193" s="507">
        <f>Port[[#This Row],[EAD_Interest (CNY)]]*Port[[#This Row],[CNY -&gt; THB]]</f>
        <v>21177.438335999999</v>
      </c>
      <c r="AH193" s="507">
        <f>Port[[#This Row],[ECL_Drawn (CNY)]]*Port[[#This Row],[CNY -&gt; THB]]</f>
        <v>308091.68498115765</v>
      </c>
      <c r="AI193" s="507">
        <f>Port[[#This Row],[ECL_Undrawn (CNY)]]*Port[[#This Row],[CNY -&gt; THB]]</f>
        <v>0</v>
      </c>
      <c r="AJ193" s="507">
        <f>Port[[#This Row],[ECL (CNY)]]*Port[[#This Row],[CNY -&gt; THB]]</f>
        <v>308091.68498115765</v>
      </c>
      <c r="AK193" s="507">
        <f>Port[[#This Row],[ECL_Interest (CNY)]]*Port[[#This Row],[CNY -&gt; THB]]</f>
        <v>248.61273664543529</v>
      </c>
      <c r="AL193" s="507">
        <f>Port[[#This Row],[EAD (THB)]]*Port[[#This Row],[PD_avg]]</f>
        <v>342324.0944235085</v>
      </c>
      <c r="AM193" s="507">
        <f>Port[[#This Row],[EAD_Interest (THB)]]*Port[[#This Row],[PD_avg]]</f>
        <v>276.23637405048362</v>
      </c>
      <c r="AN193" s="507">
        <f>Port[[#This Row],[EAD (THB)]]*Port[[#This Row],[LGD_avg]]</f>
        <v>23619599.999999996</v>
      </c>
      <c r="AO193" s="507">
        <f>Port[[#This Row],[EAD_Interest (THB)]]*Port[[#This Row],[LGD_avg]]</f>
        <v>19059.694502399998</v>
      </c>
      <c r="AP193" s="507">
        <f>Port[[#This Row],[EAD_Drawn (THB)]]+Port[[#This Row],[EAD_Interest (THB)]]</f>
        <v>26265177.438336</v>
      </c>
      <c r="AQ19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193" s="522">
        <f>MAX(Port[[#This Row],[ECL (THB)]]+Port[[#This Row],[ECL_Interest (THB)]], Port[[#This Row],[ECL CBIRC (THB)]])</f>
        <v>393660</v>
      </c>
    </row>
    <row r="194" spans="1:44">
      <c r="A194" s="2" t="s">
        <v>949</v>
      </c>
      <c r="B194" s="2" t="s">
        <v>948</v>
      </c>
      <c r="C194" s="2" t="s">
        <v>17</v>
      </c>
      <c r="D194" s="2" t="s">
        <v>25</v>
      </c>
      <c r="E194" s="2" t="s">
        <v>19</v>
      </c>
      <c r="F194" s="2" t="s">
        <v>20</v>
      </c>
      <c r="G194" s="2" t="s">
        <v>21</v>
      </c>
      <c r="H194">
        <v>1</v>
      </c>
      <c r="I194" s="2" t="s">
        <v>526</v>
      </c>
      <c r="J194" s="505">
        <v>1.3043899345507868E-2</v>
      </c>
      <c r="K194" s="505">
        <v>0.9</v>
      </c>
      <c r="L194" s="3">
        <v>1</v>
      </c>
      <c r="M194" s="3">
        <v>5.2488000000000001</v>
      </c>
      <c r="N194" s="507">
        <v>15000000</v>
      </c>
      <c r="O194" s="507">
        <v>0</v>
      </c>
      <c r="P194" s="507">
        <v>15000000</v>
      </c>
      <c r="Q194" s="507">
        <v>12104.17</v>
      </c>
      <c r="R194" s="507">
        <v>176092.64116435623</v>
      </c>
      <c r="S194" s="507">
        <v>0</v>
      </c>
      <c r="T194" s="507">
        <v>176092.64116435623</v>
      </c>
      <c r="U194" s="507">
        <v>142.0970176268244</v>
      </c>
      <c r="V194" s="507">
        <f>Port[[#This Row],[EAD_Drawn (CNY)]]*Port[[#This Row],[CNY -&gt; FCY]]</f>
        <v>15000000</v>
      </c>
      <c r="W194" s="507">
        <f>Port[[#This Row],[EAD_Undrawn (CNY)]]*Port[[#This Row],[CNY -&gt; FCY]]</f>
        <v>0</v>
      </c>
      <c r="X194" s="507">
        <f>Port[[#This Row],[EAD (CNY)]]*Port[[#This Row],[CNY -&gt; FCY]]</f>
        <v>15000000</v>
      </c>
      <c r="Y194" s="507">
        <f>Port[[#This Row],[EAD_Interest (CNY)]]*Port[[#This Row],[CNY -&gt; FCY]]</f>
        <v>12104.17</v>
      </c>
      <c r="Z194" s="507">
        <f>Port[[#This Row],[ECL_Drawn (CNY)]]*Port[[#This Row],[CNY -&gt; FCY]]</f>
        <v>176092.64116435623</v>
      </c>
      <c r="AA194" s="507">
        <f>Port[[#This Row],[ECL_Undrawn (CNY)]]*Port[[#This Row],[CNY -&gt; FCY]]</f>
        <v>0</v>
      </c>
      <c r="AB194" s="507">
        <f>Port[[#This Row],[ECL (CNY)]]*Port[[#This Row],[CNY -&gt; FCY]]</f>
        <v>176092.64116435623</v>
      </c>
      <c r="AC194" s="507">
        <f>Port[[#This Row],[ECL_Interest (CNY)]]*Port[[#This Row],[CNY -&gt; FCY]]</f>
        <v>142.0970176268244</v>
      </c>
      <c r="AD194" s="507">
        <f>Port[[#This Row],[EAD_Drawn (CNY)]]*Port[[#This Row],[CNY -&gt; THB]]</f>
        <v>78732000</v>
      </c>
      <c r="AE194" s="507">
        <f>Port[[#This Row],[EAD_Undrawn (CNY)]]*Port[[#This Row],[CNY -&gt; THB]]</f>
        <v>0</v>
      </c>
      <c r="AF194" s="507">
        <f>Port[[#This Row],[EAD (CNY)]]*Port[[#This Row],[CNY -&gt; THB]]</f>
        <v>78732000</v>
      </c>
      <c r="AG194" s="507">
        <f>Port[[#This Row],[EAD_Interest (CNY)]]*Port[[#This Row],[CNY -&gt; THB]]</f>
        <v>63532.367495999999</v>
      </c>
      <c r="AH194" s="507">
        <f>Port[[#This Row],[ECL_Drawn (CNY)]]*Port[[#This Row],[CNY -&gt; THB]]</f>
        <v>924275.05494347296</v>
      </c>
      <c r="AI194" s="507">
        <f>Port[[#This Row],[ECL_Undrawn (CNY)]]*Port[[#This Row],[CNY -&gt; THB]]</f>
        <v>0</v>
      </c>
      <c r="AJ194" s="507">
        <f>Port[[#This Row],[ECL (CNY)]]*Port[[#This Row],[CNY -&gt; THB]]</f>
        <v>924275.05494347296</v>
      </c>
      <c r="AK194" s="507">
        <f>Port[[#This Row],[ECL_Interest (CNY)]]*Port[[#This Row],[CNY -&gt; THB]]</f>
        <v>745.8388261196759</v>
      </c>
      <c r="AL194" s="507">
        <f>Port[[#This Row],[EAD (THB)]]*Port[[#This Row],[PD_avg]]</f>
        <v>1026972.2832705255</v>
      </c>
      <c r="AM194" s="507">
        <f>Port[[#This Row],[EAD_Interest (THB)]]*Port[[#This Row],[PD_avg]]</f>
        <v>828.70980679963975</v>
      </c>
      <c r="AN194" s="507">
        <f>Port[[#This Row],[EAD (THB)]]*Port[[#This Row],[LGD_avg]]</f>
        <v>70858800</v>
      </c>
      <c r="AO194" s="507">
        <f>Port[[#This Row],[EAD_Interest (THB)]]*Port[[#This Row],[LGD_avg]]</f>
        <v>57179.130746399998</v>
      </c>
      <c r="AP194" s="507">
        <f>Port[[#This Row],[EAD_Drawn (THB)]]+Port[[#This Row],[EAD_Interest (THB)]]</f>
        <v>78795532.367495999</v>
      </c>
      <c r="AQ19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1180980</v>
      </c>
      <c r="AR194" s="522">
        <f>MAX(Port[[#This Row],[ECL (THB)]]+Port[[#This Row],[ECL_Interest (THB)]], Port[[#This Row],[ECL CBIRC (THB)]])</f>
        <v>1180980</v>
      </c>
    </row>
    <row r="195" spans="1:44">
      <c r="A195" s="2" t="s">
        <v>950</v>
      </c>
      <c r="B195" s="2" t="s">
        <v>951</v>
      </c>
      <c r="C195" s="2" t="s">
        <v>17</v>
      </c>
      <c r="D195" s="2" t="s">
        <v>30</v>
      </c>
      <c r="E195" s="2" t="s">
        <v>19</v>
      </c>
      <c r="F195" s="2" t="s">
        <v>20</v>
      </c>
      <c r="G195" s="2" t="s">
        <v>21</v>
      </c>
      <c r="H195">
        <v>1</v>
      </c>
      <c r="I195" s="2" t="s">
        <v>526</v>
      </c>
      <c r="J195" s="505">
        <v>4.8109749303825028E-2</v>
      </c>
      <c r="K195" s="505">
        <v>0.9</v>
      </c>
      <c r="L195" s="3">
        <v>1</v>
      </c>
      <c r="M195" s="3">
        <v>5.2488000000000001</v>
      </c>
      <c r="N195" s="507">
        <v>12000000</v>
      </c>
      <c r="O195" s="507">
        <v>0</v>
      </c>
      <c r="P195" s="507">
        <v>12000000</v>
      </c>
      <c r="Q195" s="507">
        <v>10966.67</v>
      </c>
      <c r="R195" s="507">
        <v>519585.29248131026</v>
      </c>
      <c r="S195" s="507">
        <v>0</v>
      </c>
      <c r="T195" s="507">
        <v>519585.29248131026</v>
      </c>
      <c r="U195" s="507">
        <v>474.84336995800095</v>
      </c>
      <c r="V195" s="507">
        <f>Port[[#This Row],[EAD_Drawn (CNY)]]*Port[[#This Row],[CNY -&gt; FCY]]</f>
        <v>12000000</v>
      </c>
      <c r="W195" s="507">
        <f>Port[[#This Row],[EAD_Undrawn (CNY)]]*Port[[#This Row],[CNY -&gt; FCY]]</f>
        <v>0</v>
      </c>
      <c r="X195" s="507">
        <f>Port[[#This Row],[EAD (CNY)]]*Port[[#This Row],[CNY -&gt; FCY]]</f>
        <v>12000000</v>
      </c>
      <c r="Y195" s="507">
        <f>Port[[#This Row],[EAD_Interest (CNY)]]*Port[[#This Row],[CNY -&gt; FCY]]</f>
        <v>10966.67</v>
      </c>
      <c r="Z195" s="507">
        <f>Port[[#This Row],[ECL_Drawn (CNY)]]*Port[[#This Row],[CNY -&gt; FCY]]</f>
        <v>519585.29248131026</v>
      </c>
      <c r="AA195" s="507">
        <f>Port[[#This Row],[ECL_Undrawn (CNY)]]*Port[[#This Row],[CNY -&gt; FCY]]</f>
        <v>0</v>
      </c>
      <c r="AB195" s="507">
        <f>Port[[#This Row],[ECL (CNY)]]*Port[[#This Row],[CNY -&gt; FCY]]</f>
        <v>519585.29248131026</v>
      </c>
      <c r="AC195" s="507">
        <f>Port[[#This Row],[ECL_Interest (CNY)]]*Port[[#This Row],[CNY -&gt; FCY]]</f>
        <v>474.84336995800095</v>
      </c>
      <c r="AD195" s="507">
        <f>Port[[#This Row],[EAD_Drawn (CNY)]]*Port[[#This Row],[CNY -&gt; THB]]</f>
        <v>62985600</v>
      </c>
      <c r="AE195" s="507">
        <f>Port[[#This Row],[EAD_Undrawn (CNY)]]*Port[[#This Row],[CNY -&gt; THB]]</f>
        <v>0</v>
      </c>
      <c r="AF195" s="507">
        <f>Port[[#This Row],[EAD (CNY)]]*Port[[#This Row],[CNY -&gt; THB]]</f>
        <v>62985600</v>
      </c>
      <c r="AG195" s="507">
        <f>Port[[#This Row],[EAD_Interest (CNY)]]*Port[[#This Row],[CNY -&gt; THB]]</f>
        <v>57561.857496000004</v>
      </c>
      <c r="AH195" s="507">
        <f>Port[[#This Row],[ECL_Drawn (CNY)]]*Port[[#This Row],[CNY -&gt; THB]]</f>
        <v>2727199.2831759015</v>
      </c>
      <c r="AI195" s="507">
        <f>Port[[#This Row],[ECL_Undrawn (CNY)]]*Port[[#This Row],[CNY -&gt; THB]]</f>
        <v>0</v>
      </c>
      <c r="AJ195" s="507">
        <f>Port[[#This Row],[ECL (CNY)]]*Port[[#This Row],[CNY -&gt; THB]]</f>
        <v>2727199.2831759015</v>
      </c>
      <c r="AK195" s="507">
        <f>Port[[#This Row],[ECL_Interest (CNY)]]*Port[[#This Row],[CNY -&gt; THB]]</f>
        <v>2492.3578802355555</v>
      </c>
      <c r="AL195" s="507">
        <f>Port[[#This Row],[EAD (THB)]]*Port[[#This Row],[PD_avg]]</f>
        <v>3030221.4257510016</v>
      </c>
      <c r="AM195" s="507">
        <f>Port[[#This Row],[EAD_Interest (THB)]]*Port[[#This Row],[PD_avg]]</f>
        <v>2769.2865335950619</v>
      </c>
      <c r="AN195" s="507">
        <f>Port[[#This Row],[EAD (THB)]]*Port[[#This Row],[LGD_avg]]</f>
        <v>56687040</v>
      </c>
      <c r="AO195" s="507">
        <f>Port[[#This Row],[EAD_Interest (THB)]]*Port[[#This Row],[LGD_avg]]</f>
        <v>51805.671746400003</v>
      </c>
      <c r="AP195" s="507">
        <f>Port[[#This Row],[EAD_Drawn (THB)]]+Port[[#This Row],[EAD_Interest (THB)]]</f>
        <v>63043161.857496001</v>
      </c>
      <c r="AQ19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944784</v>
      </c>
      <c r="AR195" s="522">
        <f>MAX(Port[[#This Row],[ECL (THB)]]+Port[[#This Row],[ECL_Interest (THB)]], Port[[#This Row],[ECL CBIRC (THB)]])</f>
        <v>2729691.6410561372</v>
      </c>
    </row>
    <row r="196" spans="1:44">
      <c r="A196" s="2" t="s">
        <v>952</v>
      </c>
      <c r="B196" s="2" t="s">
        <v>953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21</v>
      </c>
      <c r="H196">
        <v>1</v>
      </c>
      <c r="I196" s="2" t="s">
        <v>526</v>
      </c>
      <c r="J196" s="505">
        <v>2.0514833509807026E-2</v>
      </c>
      <c r="K196" s="505">
        <v>0.9</v>
      </c>
      <c r="L196" s="3">
        <v>1</v>
      </c>
      <c r="M196" s="3">
        <v>5.2488000000000001</v>
      </c>
      <c r="N196" s="507">
        <v>3000000</v>
      </c>
      <c r="O196" s="507">
        <v>0</v>
      </c>
      <c r="P196" s="507">
        <v>3000000</v>
      </c>
      <c r="Q196" s="507">
        <v>10500</v>
      </c>
      <c r="R196" s="507">
        <v>55390.050476478973</v>
      </c>
      <c r="S196" s="507">
        <v>0</v>
      </c>
      <c r="T196" s="507">
        <v>55390.050476478973</v>
      </c>
      <c r="U196" s="507">
        <v>193.86517666767639</v>
      </c>
      <c r="V196" s="507">
        <f>Port[[#This Row],[EAD_Drawn (CNY)]]*Port[[#This Row],[CNY -&gt; FCY]]</f>
        <v>3000000</v>
      </c>
      <c r="W196" s="507">
        <f>Port[[#This Row],[EAD_Undrawn (CNY)]]*Port[[#This Row],[CNY -&gt; FCY]]</f>
        <v>0</v>
      </c>
      <c r="X196" s="507">
        <f>Port[[#This Row],[EAD (CNY)]]*Port[[#This Row],[CNY -&gt; FCY]]</f>
        <v>3000000</v>
      </c>
      <c r="Y196" s="507">
        <f>Port[[#This Row],[EAD_Interest (CNY)]]*Port[[#This Row],[CNY -&gt; FCY]]</f>
        <v>10500</v>
      </c>
      <c r="Z196" s="507">
        <f>Port[[#This Row],[ECL_Drawn (CNY)]]*Port[[#This Row],[CNY -&gt; FCY]]</f>
        <v>55390.050476478973</v>
      </c>
      <c r="AA196" s="507">
        <f>Port[[#This Row],[ECL_Undrawn (CNY)]]*Port[[#This Row],[CNY -&gt; FCY]]</f>
        <v>0</v>
      </c>
      <c r="AB196" s="507">
        <f>Port[[#This Row],[ECL (CNY)]]*Port[[#This Row],[CNY -&gt; FCY]]</f>
        <v>55390.050476478973</v>
      </c>
      <c r="AC196" s="507">
        <f>Port[[#This Row],[ECL_Interest (CNY)]]*Port[[#This Row],[CNY -&gt; FCY]]</f>
        <v>193.86517666767639</v>
      </c>
      <c r="AD196" s="507">
        <f>Port[[#This Row],[EAD_Drawn (CNY)]]*Port[[#This Row],[CNY -&gt; THB]]</f>
        <v>15746400</v>
      </c>
      <c r="AE196" s="507">
        <f>Port[[#This Row],[EAD_Undrawn (CNY)]]*Port[[#This Row],[CNY -&gt; THB]]</f>
        <v>0</v>
      </c>
      <c r="AF196" s="507">
        <f>Port[[#This Row],[EAD (CNY)]]*Port[[#This Row],[CNY -&gt; THB]]</f>
        <v>15746400</v>
      </c>
      <c r="AG196" s="507">
        <f>Port[[#This Row],[EAD_Interest (CNY)]]*Port[[#This Row],[CNY -&gt; THB]]</f>
        <v>55112.4</v>
      </c>
      <c r="AH196" s="507">
        <f>Port[[#This Row],[ECL_Drawn (CNY)]]*Port[[#This Row],[CNY -&gt; THB]]</f>
        <v>290731.29694094282</v>
      </c>
      <c r="AI196" s="507">
        <f>Port[[#This Row],[ECL_Undrawn (CNY)]]*Port[[#This Row],[CNY -&gt; THB]]</f>
        <v>0</v>
      </c>
      <c r="AJ196" s="507">
        <f>Port[[#This Row],[ECL (CNY)]]*Port[[#This Row],[CNY -&gt; THB]]</f>
        <v>290731.29694094282</v>
      </c>
      <c r="AK196" s="507">
        <f>Port[[#This Row],[ECL_Interest (CNY)]]*Port[[#This Row],[CNY -&gt; THB]]</f>
        <v>1017.5595392932998</v>
      </c>
      <c r="AL196" s="507">
        <f>Port[[#This Row],[EAD (THB)]]*Port[[#This Row],[PD_avg]]</f>
        <v>323034.77437882533</v>
      </c>
      <c r="AM196" s="507">
        <f>Port[[#This Row],[EAD_Interest (THB)]]*Port[[#This Row],[PD_avg]]</f>
        <v>1130.6217103258887</v>
      </c>
      <c r="AN196" s="507">
        <f>Port[[#This Row],[EAD (THB)]]*Port[[#This Row],[LGD_avg]]</f>
        <v>14171760</v>
      </c>
      <c r="AO196" s="507">
        <f>Port[[#This Row],[EAD_Interest (THB)]]*Port[[#This Row],[LGD_avg]]</f>
        <v>49601.16</v>
      </c>
      <c r="AP196" s="507">
        <f>Port[[#This Row],[EAD_Drawn (THB)]]+Port[[#This Row],[EAD_Interest (THB)]]</f>
        <v>15801512.4</v>
      </c>
      <c r="AQ19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236196</v>
      </c>
      <c r="AR196" s="522">
        <f>MAX(Port[[#This Row],[ECL (THB)]]+Port[[#This Row],[ECL_Interest (THB)]], Port[[#This Row],[ECL CBIRC (THB)]])</f>
        <v>291748.85648023611</v>
      </c>
    </row>
    <row r="197" spans="1:44">
      <c r="A197" s="2" t="s">
        <v>954</v>
      </c>
      <c r="B197" s="2" t="s">
        <v>151</v>
      </c>
      <c r="C197" s="2" t="s">
        <v>17</v>
      </c>
      <c r="D197" s="2" t="s">
        <v>25</v>
      </c>
      <c r="E197" s="2" t="s">
        <v>19</v>
      </c>
      <c r="F197" s="2" t="s">
        <v>20</v>
      </c>
      <c r="G197" s="2" t="s">
        <v>21</v>
      </c>
      <c r="H197">
        <v>1</v>
      </c>
      <c r="I197" s="2" t="s">
        <v>526</v>
      </c>
      <c r="J197" s="505">
        <v>4.8109749303825028E-2</v>
      </c>
      <c r="K197" s="505">
        <v>0.69484086749365159</v>
      </c>
      <c r="L197" s="3">
        <v>1</v>
      </c>
      <c r="M197" s="3">
        <v>5.2488000000000001</v>
      </c>
      <c r="N197" s="507">
        <v>14112396.58</v>
      </c>
      <c r="O197" s="507">
        <v>0</v>
      </c>
      <c r="P197" s="507">
        <v>14112396.58</v>
      </c>
      <c r="Q197" s="507">
        <v>14955.22</v>
      </c>
      <c r="R197" s="507">
        <v>471757.94173191389</v>
      </c>
      <c r="S197" s="507">
        <v>0</v>
      </c>
      <c r="T197" s="507">
        <v>471757.94173191389</v>
      </c>
      <c r="U197" s="507">
        <v>499.93236551661255</v>
      </c>
      <c r="V197" s="507">
        <f>Port[[#This Row],[EAD_Drawn (CNY)]]*Port[[#This Row],[CNY -&gt; FCY]]</f>
        <v>14112396.58</v>
      </c>
      <c r="W197" s="507">
        <f>Port[[#This Row],[EAD_Undrawn (CNY)]]*Port[[#This Row],[CNY -&gt; FCY]]</f>
        <v>0</v>
      </c>
      <c r="X197" s="507">
        <f>Port[[#This Row],[EAD (CNY)]]*Port[[#This Row],[CNY -&gt; FCY]]</f>
        <v>14112396.58</v>
      </c>
      <c r="Y197" s="507">
        <f>Port[[#This Row],[EAD_Interest (CNY)]]*Port[[#This Row],[CNY -&gt; FCY]]</f>
        <v>14955.22</v>
      </c>
      <c r="Z197" s="507">
        <f>Port[[#This Row],[ECL_Drawn (CNY)]]*Port[[#This Row],[CNY -&gt; FCY]]</f>
        <v>471757.94173191389</v>
      </c>
      <c r="AA197" s="507">
        <f>Port[[#This Row],[ECL_Undrawn (CNY)]]*Port[[#This Row],[CNY -&gt; FCY]]</f>
        <v>0</v>
      </c>
      <c r="AB197" s="507">
        <f>Port[[#This Row],[ECL (CNY)]]*Port[[#This Row],[CNY -&gt; FCY]]</f>
        <v>471757.94173191389</v>
      </c>
      <c r="AC197" s="507">
        <f>Port[[#This Row],[ECL_Interest (CNY)]]*Port[[#This Row],[CNY -&gt; FCY]]</f>
        <v>499.93236551661255</v>
      </c>
      <c r="AD197" s="507">
        <f>Port[[#This Row],[EAD_Drawn (CNY)]]*Port[[#This Row],[CNY -&gt; THB]]</f>
        <v>74073147.169103995</v>
      </c>
      <c r="AE197" s="507">
        <f>Port[[#This Row],[EAD_Undrawn (CNY)]]*Port[[#This Row],[CNY -&gt; THB]]</f>
        <v>0</v>
      </c>
      <c r="AF197" s="507">
        <f>Port[[#This Row],[EAD (CNY)]]*Port[[#This Row],[CNY -&gt; THB]]</f>
        <v>74073147.169103995</v>
      </c>
      <c r="AG197" s="507">
        <f>Port[[#This Row],[EAD_Interest (CNY)]]*Port[[#This Row],[CNY -&gt; THB]]</f>
        <v>78496.958736</v>
      </c>
      <c r="AH197" s="507">
        <f>Port[[#This Row],[ECL_Drawn (CNY)]]*Port[[#This Row],[CNY -&gt; THB]]</f>
        <v>2476163.0845624697</v>
      </c>
      <c r="AI197" s="507">
        <f>Port[[#This Row],[ECL_Undrawn (CNY)]]*Port[[#This Row],[CNY -&gt; THB]]</f>
        <v>0</v>
      </c>
      <c r="AJ197" s="507">
        <f>Port[[#This Row],[ECL (CNY)]]*Port[[#This Row],[CNY -&gt; THB]]</f>
        <v>2476163.0845624697</v>
      </c>
      <c r="AK197" s="507">
        <f>Port[[#This Row],[ECL_Interest (CNY)]]*Port[[#This Row],[CNY -&gt; THB]]</f>
        <v>2624.0450001235959</v>
      </c>
      <c r="AL197" s="507">
        <f>Port[[#This Row],[EAD (THB)]]*Port[[#This Row],[PD_avg]]</f>
        <v>3563640.5404509297</v>
      </c>
      <c r="AM197" s="507">
        <f>Port[[#This Row],[EAD_Interest (THB)]]*Port[[#This Row],[PD_avg]]</f>
        <v>3776.469005901658</v>
      </c>
      <c r="AN197" s="507">
        <f>Port[[#This Row],[EAD (THB)]]*Port[[#This Row],[LGD_avg]]</f>
        <v>51469049.836965144</v>
      </c>
      <c r="AO197" s="507">
        <f>Port[[#This Row],[EAD_Interest (THB)]]*Port[[#This Row],[LGD_avg]]</f>
        <v>54542.894903735614</v>
      </c>
      <c r="AP197" s="507">
        <f>Port[[#This Row],[EAD_Drawn (THB)]]+Port[[#This Row],[EAD_Interest (THB)]]</f>
        <v>74151644.127839997</v>
      </c>
      <c r="AQ19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1111097.2075365598</v>
      </c>
      <c r="AR197" s="522">
        <f>MAX(Port[[#This Row],[ECL (THB)]]+Port[[#This Row],[ECL_Interest (THB)]], Port[[#This Row],[ECL CBIRC (THB)]])</f>
        <v>2478787.1295625935</v>
      </c>
    </row>
    <row r="198" spans="1:44">
      <c r="A198" s="2" t="s">
        <v>955</v>
      </c>
      <c r="B198" s="2" t="s">
        <v>956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>
        <v>1</v>
      </c>
      <c r="I198" s="2" t="s">
        <v>526</v>
      </c>
      <c r="J198" s="505">
        <v>2.0514833509807026E-2</v>
      </c>
      <c r="K198" s="505">
        <v>0.90000000000000013</v>
      </c>
      <c r="L198" s="3">
        <v>1</v>
      </c>
      <c r="M198" s="3">
        <v>5.2488000000000001</v>
      </c>
      <c r="N198" s="507">
        <v>20407672.829999998</v>
      </c>
      <c r="O198" s="507">
        <v>0</v>
      </c>
      <c r="P198" s="507">
        <v>20407672.829999998</v>
      </c>
      <c r="Q198" s="507">
        <v>13888.56</v>
      </c>
      <c r="R198" s="507">
        <v>376794.00938705617</v>
      </c>
      <c r="S198" s="507">
        <v>0</v>
      </c>
      <c r="T198" s="507">
        <v>376794.00938705617</v>
      </c>
      <c r="U198" s="507">
        <v>256.42934648186895</v>
      </c>
      <c r="V198" s="507">
        <f>Port[[#This Row],[EAD_Drawn (CNY)]]*Port[[#This Row],[CNY -&gt; FCY]]</f>
        <v>20407672.829999998</v>
      </c>
      <c r="W198" s="507">
        <f>Port[[#This Row],[EAD_Undrawn (CNY)]]*Port[[#This Row],[CNY -&gt; FCY]]</f>
        <v>0</v>
      </c>
      <c r="X198" s="507">
        <f>Port[[#This Row],[EAD (CNY)]]*Port[[#This Row],[CNY -&gt; FCY]]</f>
        <v>20407672.829999998</v>
      </c>
      <c r="Y198" s="507">
        <f>Port[[#This Row],[EAD_Interest (CNY)]]*Port[[#This Row],[CNY -&gt; FCY]]</f>
        <v>13888.56</v>
      </c>
      <c r="Z198" s="507">
        <f>Port[[#This Row],[ECL_Drawn (CNY)]]*Port[[#This Row],[CNY -&gt; FCY]]</f>
        <v>376794.00938705617</v>
      </c>
      <c r="AA198" s="507">
        <f>Port[[#This Row],[ECL_Undrawn (CNY)]]*Port[[#This Row],[CNY -&gt; FCY]]</f>
        <v>0</v>
      </c>
      <c r="AB198" s="507">
        <f>Port[[#This Row],[ECL (CNY)]]*Port[[#This Row],[CNY -&gt; FCY]]</f>
        <v>376794.00938705617</v>
      </c>
      <c r="AC198" s="507">
        <f>Port[[#This Row],[ECL_Interest (CNY)]]*Port[[#This Row],[CNY -&gt; FCY]]</f>
        <v>256.42934648186895</v>
      </c>
      <c r="AD198" s="507">
        <f>Port[[#This Row],[EAD_Drawn (CNY)]]*Port[[#This Row],[CNY -&gt; THB]]</f>
        <v>107115793.15010399</v>
      </c>
      <c r="AE198" s="507">
        <f>Port[[#This Row],[EAD_Undrawn (CNY)]]*Port[[#This Row],[CNY -&gt; THB]]</f>
        <v>0</v>
      </c>
      <c r="AF198" s="507">
        <f>Port[[#This Row],[EAD (CNY)]]*Port[[#This Row],[CNY -&gt; THB]]</f>
        <v>107115793.15010399</v>
      </c>
      <c r="AG198" s="507">
        <f>Port[[#This Row],[EAD_Interest (CNY)]]*Port[[#This Row],[CNY -&gt; THB]]</f>
        <v>72898.273728</v>
      </c>
      <c r="AH198" s="507">
        <f>Port[[#This Row],[ECL_Drawn (CNY)]]*Port[[#This Row],[CNY -&gt; THB]]</f>
        <v>1977716.3964707805</v>
      </c>
      <c r="AI198" s="507">
        <f>Port[[#This Row],[ECL_Undrawn (CNY)]]*Port[[#This Row],[CNY -&gt; THB]]</f>
        <v>0</v>
      </c>
      <c r="AJ198" s="507">
        <f>Port[[#This Row],[ECL (CNY)]]*Port[[#This Row],[CNY -&gt; THB]]</f>
        <v>1977716.3964707805</v>
      </c>
      <c r="AK198" s="507">
        <f>Port[[#This Row],[ECL_Interest (CNY)]]*Port[[#This Row],[CNY -&gt; THB]]</f>
        <v>1345.9463538140337</v>
      </c>
      <c r="AL198" s="507">
        <f>Port[[#This Row],[EAD (THB)]]*Port[[#This Row],[PD_avg]]</f>
        <v>2197462.6627453114</v>
      </c>
      <c r="AM198" s="507">
        <f>Port[[#This Row],[EAD_Interest (THB)]]*Port[[#This Row],[PD_avg]]</f>
        <v>1495.4959486822595</v>
      </c>
      <c r="AN198" s="507">
        <f>Port[[#This Row],[EAD (THB)]]*Port[[#This Row],[LGD_avg]]</f>
        <v>96404213.835093603</v>
      </c>
      <c r="AO198" s="507">
        <f>Port[[#This Row],[EAD_Interest (THB)]]*Port[[#This Row],[LGD_avg]]</f>
        <v>65608.446355200009</v>
      </c>
      <c r="AP198" s="507">
        <f>Port[[#This Row],[EAD_Drawn (THB)]]+Port[[#This Row],[EAD_Interest (THB)]]</f>
        <v>107188691.42383198</v>
      </c>
      <c r="AQ19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1606736.8972515597</v>
      </c>
      <c r="AR198" s="522">
        <f>MAX(Port[[#This Row],[ECL (THB)]]+Port[[#This Row],[ECL_Interest (THB)]], Port[[#This Row],[ECL CBIRC (THB)]])</f>
        <v>1979062.3428245946</v>
      </c>
    </row>
    <row r="199" spans="1:44">
      <c r="A199" s="2" t="s">
        <v>957</v>
      </c>
      <c r="B199" s="2" t="s">
        <v>928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>
        <v>1</v>
      </c>
      <c r="I199" s="2" t="s">
        <v>526</v>
      </c>
      <c r="J199" s="505">
        <v>2.0514833509807026E-2</v>
      </c>
      <c r="K199" s="505">
        <v>0.90000000000000013</v>
      </c>
      <c r="L199" s="3">
        <v>1</v>
      </c>
      <c r="M199" s="3">
        <v>5.2488000000000001</v>
      </c>
      <c r="N199" s="507">
        <v>50000000</v>
      </c>
      <c r="O199" s="507">
        <v>0</v>
      </c>
      <c r="P199" s="507">
        <v>50000000</v>
      </c>
      <c r="Q199" s="507">
        <v>22777.78</v>
      </c>
      <c r="R199" s="507">
        <v>923167.50794131635</v>
      </c>
      <c r="S199" s="507">
        <v>0</v>
      </c>
      <c r="T199" s="507">
        <v>923167.50794131635</v>
      </c>
      <c r="U199" s="507">
        <v>420.55412798071103</v>
      </c>
      <c r="V199" s="507">
        <f>Port[[#This Row],[EAD_Drawn (CNY)]]*Port[[#This Row],[CNY -&gt; FCY]]</f>
        <v>50000000</v>
      </c>
      <c r="W199" s="507">
        <f>Port[[#This Row],[EAD_Undrawn (CNY)]]*Port[[#This Row],[CNY -&gt; FCY]]</f>
        <v>0</v>
      </c>
      <c r="X199" s="507">
        <f>Port[[#This Row],[EAD (CNY)]]*Port[[#This Row],[CNY -&gt; FCY]]</f>
        <v>50000000</v>
      </c>
      <c r="Y199" s="507">
        <f>Port[[#This Row],[EAD_Interest (CNY)]]*Port[[#This Row],[CNY -&gt; FCY]]</f>
        <v>22777.78</v>
      </c>
      <c r="Z199" s="507">
        <f>Port[[#This Row],[ECL_Drawn (CNY)]]*Port[[#This Row],[CNY -&gt; FCY]]</f>
        <v>923167.50794131635</v>
      </c>
      <c r="AA199" s="507">
        <f>Port[[#This Row],[ECL_Undrawn (CNY)]]*Port[[#This Row],[CNY -&gt; FCY]]</f>
        <v>0</v>
      </c>
      <c r="AB199" s="507">
        <f>Port[[#This Row],[ECL (CNY)]]*Port[[#This Row],[CNY -&gt; FCY]]</f>
        <v>923167.50794131635</v>
      </c>
      <c r="AC199" s="507">
        <f>Port[[#This Row],[ECL_Interest (CNY)]]*Port[[#This Row],[CNY -&gt; FCY]]</f>
        <v>420.55412798071103</v>
      </c>
      <c r="AD199" s="507">
        <f>Port[[#This Row],[EAD_Drawn (CNY)]]*Port[[#This Row],[CNY -&gt; THB]]</f>
        <v>262440000</v>
      </c>
      <c r="AE199" s="507">
        <f>Port[[#This Row],[EAD_Undrawn (CNY)]]*Port[[#This Row],[CNY -&gt; THB]]</f>
        <v>0</v>
      </c>
      <c r="AF199" s="507">
        <f>Port[[#This Row],[EAD (CNY)]]*Port[[#This Row],[CNY -&gt; THB]]</f>
        <v>262440000</v>
      </c>
      <c r="AG199" s="507">
        <f>Port[[#This Row],[EAD_Interest (CNY)]]*Port[[#This Row],[CNY -&gt; THB]]</f>
        <v>119556.01166399999</v>
      </c>
      <c r="AH199" s="507">
        <f>Port[[#This Row],[ECL_Drawn (CNY)]]*Port[[#This Row],[CNY -&gt; THB]]</f>
        <v>4845521.6156823812</v>
      </c>
      <c r="AI199" s="507">
        <f>Port[[#This Row],[ECL_Undrawn (CNY)]]*Port[[#This Row],[CNY -&gt; THB]]</f>
        <v>0</v>
      </c>
      <c r="AJ199" s="507">
        <f>Port[[#This Row],[ECL (CNY)]]*Port[[#This Row],[CNY -&gt; THB]]</f>
        <v>4845521.6156823812</v>
      </c>
      <c r="AK199" s="507">
        <f>Port[[#This Row],[ECL_Interest (CNY)]]*Port[[#This Row],[CNY -&gt; THB]]</f>
        <v>2207.4045069451563</v>
      </c>
      <c r="AL199" s="507">
        <f>Port[[#This Row],[EAD (THB)]]*Port[[#This Row],[PD_avg]]</f>
        <v>5383912.9063137555</v>
      </c>
      <c r="AM199" s="507">
        <f>Port[[#This Row],[EAD_Interest (THB)]]*Port[[#This Row],[PD_avg]]</f>
        <v>2452.6716743835068</v>
      </c>
      <c r="AN199" s="507">
        <f>Port[[#This Row],[EAD (THB)]]*Port[[#This Row],[LGD_avg]]</f>
        <v>236196000.00000003</v>
      </c>
      <c r="AO199" s="507">
        <f>Port[[#This Row],[EAD_Interest (THB)]]*Port[[#This Row],[LGD_avg]]</f>
        <v>107600.41049760001</v>
      </c>
      <c r="AP199" s="507">
        <f>Port[[#This Row],[EAD_Drawn (THB)]]+Port[[#This Row],[EAD_Interest (THB)]]</f>
        <v>262559556.011664</v>
      </c>
      <c r="AQ19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199" s="522">
        <f>MAX(Port[[#This Row],[ECL (THB)]]+Port[[#This Row],[ECL_Interest (THB)]], Port[[#This Row],[ECL CBIRC (THB)]])</f>
        <v>4847729.0201893263</v>
      </c>
    </row>
    <row r="200" spans="1:44">
      <c r="A200" s="2" t="s">
        <v>958</v>
      </c>
      <c r="B200" s="2" t="s">
        <v>956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21</v>
      </c>
      <c r="H200">
        <v>1</v>
      </c>
      <c r="I200" s="2" t="s">
        <v>526</v>
      </c>
      <c r="J200" s="505">
        <v>2.0514833509807026E-2</v>
      </c>
      <c r="K200" s="505">
        <v>0.90000000000000013</v>
      </c>
      <c r="L200" s="3">
        <v>1</v>
      </c>
      <c r="M200" s="3">
        <v>5.2488000000000001</v>
      </c>
      <c r="N200" s="507">
        <v>19407936.289999999</v>
      </c>
      <c r="O200" s="507">
        <v>0</v>
      </c>
      <c r="P200" s="507">
        <v>19407936.289999999</v>
      </c>
      <c r="Q200" s="507">
        <v>10566.54</v>
      </c>
      <c r="R200" s="507">
        <v>358335.52358246269</v>
      </c>
      <c r="S200" s="507">
        <v>0</v>
      </c>
      <c r="T200" s="507">
        <v>358335.52358246269</v>
      </c>
      <c r="U200" s="507">
        <v>195.09372798724473</v>
      </c>
      <c r="V200" s="507">
        <f>Port[[#This Row],[EAD_Drawn (CNY)]]*Port[[#This Row],[CNY -&gt; FCY]]</f>
        <v>19407936.289999999</v>
      </c>
      <c r="W200" s="507">
        <f>Port[[#This Row],[EAD_Undrawn (CNY)]]*Port[[#This Row],[CNY -&gt; FCY]]</f>
        <v>0</v>
      </c>
      <c r="X200" s="507">
        <f>Port[[#This Row],[EAD (CNY)]]*Port[[#This Row],[CNY -&gt; FCY]]</f>
        <v>19407936.289999999</v>
      </c>
      <c r="Y200" s="507">
        <f>Port[[#This Row],[EAD_Interest (CNY)]]*Port[[#This Row],[CNY -&gt; FCY]]</f>
        <v>10566.54</v>
      </c>
      <c r="Z200" s="507">
        <f>Port[[#This Row],[ECL_Drawn (CNY)]]*Port[[#This Row],[CNY -&gt; FCY]]</f>
        <v>358335.52358246269</v>
      </c>
      <c r="AA200" s="507">
        <f>Port[[#This Row],[ECL_Undrawn (CNY)]]*Port[[#This Row],[CNY -&gt; FCY]]</f>
        <v>0</v>
      </c>
      <c r="AB200" s="507">
        <f>Port[[#This Row],[ECL (CNY)]]*Port[[#This Row],[CNY -&gt; FCY]]</f>
        <v>358335.52358246269</v>
      </c>
      <c r="AC200" s="507">
        <f>Port[[#This Row],[ECL_Interest (CNY)]]*Port[[#This Row],[CNY -&gt; FCY]]</f>
        <v>195.09372798724473</v>
      </c>
      <c r="AD200" s="507">
        <f>Port[[#This Row],[EAD_Drawn (CNY)]]*Port[[#This Row],[CNY -&gt; THB]]</f>
        <v>101868375.998952</v>
      </c>
      <c r="AE200" s="507">
        <f>Port[[#This Row],[EAD_Undrawn (CNY)]]*Port[[#This Row],[CNY -&gt; THB]]</f>
        <v>0</v>
      </c>
      <c r="AF200" s="507">
        <f>Port[[#This Row],[EAD (CNY)]]*Port[[#This Row],[CNY -&gt; THB]]</f>
        <v>101868375.998952</v>
      </c>
      <c r="AG200" s="507">
        <f>Port[[#This Row],[EAD_Interest (CNY)]]*Port[[#This Row],[CNY -&gt; THB]]</f>
        <v>55461.655152000007</v>
      </c>
      <c r="AH200" s="507">
        <f>Port[[#This Row],[ECL_Drawn (CNY)]]*Port[[#This Row],[CNY -&gt; THB]]</f>
        <v>1880831.4961796303</v>
      </c>
      <c r="AI200" s="507">
        <f>Port[[#This Row],[ECL_Undrawn (CNY)]]*Port[[#This Row],[CNY -&gt; THB]]</f>
        <v>0</v>
      </c>
      <c r="AJ200" s="507">
        <f>Port[[#This Row],[ECL (CNY)]]*Port[[#This Row],[CNY -&gt; THB]]</f>
        <v>1880831.4961796303</v>
      </c>
      <c r="AK200" s="507">
        <f>Port[[#This Row],[ECL_Interest (CNY)]]*Port[[#This Row],[CNY -&gt; THB]]</f>
        <v>1024.0079594594501</v>
      </c>
      <c r="AL200" s="507">
        <f>Port[[#This Row],[EAD (THB)]]*Port[[#This Row],[PD_avg]]</f>
        <v>2089812.7735329224</v>
      </c>
      <c r="AM200" s="507">
        <f>Port[[#This Row],[EAD_Interest (THB)]]*Port[[#This Row],[PD_avg]]</f>
        <v>1137.7866216216112</v>
      </c>
      <c r="AN200" s="507">
        <f>Port[[#This Row],[EAD (THB)]]*Port[[#This Row],[LGD_avg]]</f>
        <v>91681538.399056822</v>
      </c>
      <c r="AO200" s="507">
        <f>Port[[#This Row],[EAD_Interest (THB)]]*Port[[#This Row],[LGD_avg]]</f>
        <v>49915.489636800012</v>
      </c>
      <c r="AP200" s="507">
        <f>Port[[#This Row],[EAD_Drawn (THB)]]+Port[[#This Row],[EAD_Interest (THB)]]</f>
        <v>101923837.65410399</v>
      </c>
      <c r="AQ20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1528025.6399842799</v>
      </c>
      <c r="AR200" s="522">
        <f>MAX(Port[[#This Row],[ECL (THB)]]+Port[[#This Row],[ECL_Interest (THB)]], Port[[#This Row],[ECL CBIRC (THB)]])</f>
        <v>1881855.5041390897</v>
      </c>
    </row>
    <row r="201" spans="1:44">
      <c r="A201" s="2" t="s">
        <v>159</v>
      </c>
      <c r="B201" s="2" t="s">
        <v>160</v>
      </c>
      <c r="C201" s="2" t="s">
        <v>17</v>
      </c>
      <c r="D201" s="2" t="s">
        <v>95</v>
      </c>
      <c r="E201" s="2" t="s">
        <v>19</v>
      </c>
      <c r="F201" s="2" t="s">
        <v>20</v>
      </c>
      <c r="G201" s="2" t="s">
        <v>57</v>
      </c>
      <c r="H201">
        <v>1</v>
      </c>
      <c r="I201" s="2" t="s">
        <v>526</v>
      </c>
      <c r="J201" s="505">
        <v>2.0514833509807026E-2</v>
      </c>
      <c r="K201" s="505">
        <v>0.89999999999999991</v>
      </c>
      <c r="L201" s="3">
        <v>0.15684552284455039</v>
      </c>
      <c r="M201" s="3">
        <v>5.2488000000000001</v>
      </c>
      <c r="N201" s="507">
        <v>98315262.5</v>
      </c>
      <c r="O201" s="507">
        <v>0</v>
      </c>
      <c r="P201" s="507">
        <v>98315262.5</v>
      </c>
      <c r="Q201" s="507">
        <v>180578.723444</v>
      </c>
      <c r="R201" s="507">
        <v>1815229.1174944267</v>
      </c>
      <c r="S201" s="507">
        <v>0</v>
      </c>
      <c r="T201" s="507">
        <v>1815229.1174944267</v>
      </c>
      <c r="U201" s="507">
        <v>3334.0882021804323</v>
      </c>
      <c r="V201" s="507">
        <f>Port[[#This Row],[EAD_Drawn (CNY)]]*Port[[#This Row],[CNY -&gt; FCY]]</f>
        <v>15420308.750411719</v>
      </c>
      <c r="W201" s="507">
        <f>Port[[#This Row],[EAD_Undrawn (CNY)]]*Port[[#This Row],[CNY -&gt; FCY]]</f>
        <v>0</v>
      </c>
      <c r="X201" s="507">
        <f>Port[[#This Row],[EAD (CNY)]]*Port[[#This Row],[CNY -&gt; FCY]]</f>
        <v>15420308.750411719</v>
      </c>
      <c r="Y201" s="507">
        <f>Port[[#This Row],[EAD_Interest (CNY)]]*Port[[#This Row],[CNY -&gt; FCY]]</f>
        <v>28322.96429317565</v>
      </c>
      <c r="Z201" s="507">
        <f>Port[[#This Row],[ECL_Drawn (CNY)]]*Port[[#This Row],[CNY -&gt; FCY]]</f>
        <v>284710.56001606514</v>
      </c>
      <c r="AA201" s="507">
        <f>Port[[#This Row],[ECL_Undrawn (CNY)]]*Port[[#This Row],[CNY -&gt; FCY]]</f>
        <v>0</v>
      </c>
      <c r="AB201" s="507">
        <f>Port[[#This Row],[ECL (CNY)]]*Port[[#This Row],[CNY -&gt; FCY]]</f>
        <v>284710.56001606514</v>
      </c>
      <c r="AC201" s="507">
        <f>Port[[#This Row],[ECL_Interest (CNY)]]*Port[[#This Row],[CNY -&gt; FCY]]</f>
        <v>522.93680728083689</v>
      </c>
      <c r="AD201" s="507">
        <f>Port[[#This Row],[EAD_Drawn (CNY)]]*Port[[#This Row],[CNY -&gt; THB]]</f>
        <v>516037149.81</v>
      </c>
      <c r="AE201" s="507">
        <f>Port[[#This Row],[EAD_Undrawn (CNY)]]*Port[[#This Row],[CNY -&gt; THB]]</f>
        <v>0</v>
      </c>
      <c r="AF201" s="507">
        <f>Port[[#This Row],[EAD (CNY)]]*Port[[#This Row],[CNY -&gt; THB]]</f>
        <v>516037149.81</v>
      </c>
      <c r="AG201" s="507">
        <f>Port[[#This Row],[EAD_Interest (CNY)]]*Port[[#This Row],[CNY -&gt; THB]]</f>
        <v>947821.60361286718</v>
      </c>
      <c r="AH201" s="507">
        <f>Port[[#This Row],[ECL_Drawn (CNY)]]*Port[[#This Row],[CNY -&gt; THB]]</f>
        <v>9527774.5919047464</v>
      </c>
      <c r="AI201" s="507">
        <f>Port[[#This Row],[ECL_Undrawn (CNY)]]*Port[[#This Row],[CNY -&gt; THB]]</f>
        <v>0</v>
      </c>
      <c r="AJ201" s="507">
        <f>Port[[#This Row],[ECL (CNY)]]*Port[[#This Row],[CNY -&gt; THB]]</f>
        <v>9527774.5919047464</v>
      </c>
      <c r="AK201" s="507">
        <f>Port[[#This Row],[ECL_Interest (CNY)]]*Port[[#This Row],[CNY -&gt; THB]]</f>
        <v>17499.962155604655</v>
      </c>
      <c r="AL201" s="507">
        <f>Port[[#This Row],[EAD (THB)]]*Port[[#This Row],[PD_avg]]</f>
        <v>10586416.213227497</v>
      </c>
      <c r="AM201" s="507">
        <f>Port[[#This Row],[EAD_Interest (THB)]]*Port[[#This Row],[PD_avg]]</f>
        <v>19444.402395116282</v>
      </c>
      <c r="AN201" s="507">
        <f>Port[[#This Row],[EAD (THB)]]*Port[[#This Row],[LGD_avg]]</f>
        <v>464433434.82899994</v>
      </c>
      <c r="AO201" s="507">
        <f>Port[[#This Row],[EAD_Interest (THB)]]*Port[[#This Row],[LGD_avg]]</f>
        <v>853039.44325158035</v>
      </c>
      <c r="AP201" s="507">
        <f>Port[[#This Row],[EAD_Drawn (THB)]]+Port[[#This Row],[EAD_Interest (THB)]]</f>
        <v>516984971.41361284</v>
      </c>
      <c r="AQ20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7740557.2471500002</v>
      </c>
      <c r="AR201" s="522">
        <f>MAX(Port[[#This Row],[ECL (THB)]]+Port[[#This Row],[ECL_Interest (THB)]], Port[[#This Row],[ECL CBIRC (THB)]])</f>
        <v>9545274.5540603511</v>
      </c>
    </row>
    <row r="202" spans="1:44">
      <c r="A202" s="2" t="s">
        <v>161</v>
      </c>
      <c r="B202" s="2" t="s">
        <v>162</v>
      </c>
      <c r="C202" s="2" t="s">
        <v>17</v>
      </c>
      <c r="D202" s="2" t="s">
        <v>163</v>
      </c>
      <c r="E202" s="2" t="s">
        <v>19</v>
      </c>
      <c r="F202" s="2" t="s">
        <v>20</v>
      </c>
      <c r="G202" s="2" t="s">
        <v>164</v>
      </c>
      <c r="H202">
        <v>1</v>
      </c>
      <c r="I202" s="2" t="s">
        <v>526</v>
      </c>
      <c r="J202" s="505">
        <v>3.0745295499522811E-2</v>
      </c>
      <c r="K202" s="505">
        <v>0.90000000000000024</v>
      </c>
      <c r="L202" s="3">
        <v>1.2230919765166341</v>
      </c>
      <c r="M202" s="3">
        <v>5.2488000000000001</v>
      </c>
      <c r="N202" s="507">
        <v>35929960</v>
      </c>
      <c r="O202" s="507">
        <v>0</v>
      </c>
      <c r="P202" s="507">
        <v>35929960</v>
      </c>
      <c r="Q202" s="507">
        <v>55055.583864700006</v>
      </c>
      <c r="R202" s="507">
        <v>994209.51373743138</v>
      </c>
      <c r="S202" s="507">
        <v>0</v>
      </c>
      <c r="T202" s="507">
        <v>994209.51373743138</v>
      </c>
      <c r="U202" s="507">
        <v>1523.4301753370657</v>
      </c>
      <c r="V202" s="507">
        <f>Port[[#This Row],[EAD_Drawn (CNY)]]*Port[[#This Row],[CNY -&gt; FCY]]</f>
        <v>43945645.792563602</v>
      </c>
      <c r="W202" s="507">
        <f>Port[[#This Row],[EAD_Undrawn (CNY)]]*Port[[#This Row],[CNY -&gt; FCY]]</f>
        <v>0</v>
      </c>
      <c r="X202" s="507">
        <f>Port[[#This Row],[EAD (CNY)]]*Port[[#This Row],[CNY -&gt; FCY]]</f>
        <v>43945645.792563602</v>
      </c>
      <c r="Y202" s="507">
        <f>Port[[#This Row],[EAD_Interest (CNY)]]*Port[[#This Row],[CNY -&gt; FCY]]</f>
        <v>67338.042887353236</v>
      </c>
      <c r="Z202" s="507">
        <f>Port[[#This Row],[ECL_Drawn (CNY)]]*Port[[#This Row],[CNY -&gt; FCY]]</f>
        <v>1216009.6792287566</v>
      </c>
      <c r="AA202" s="507">
        <f>Port[[#This Row],[ECL_Undrawn (CNY)]]*Port[[#This Row],[CNY -&gt; FCY]]</f>
        <v>0</v>
      </c>
      <c r="AB202" s="507">
        <f>Port[[#This Row],[ECL (CNY)]]*Port[[#This Row],[CNY -&gt; FCY]]</f>
        <v>1216009.6792287566</v>
      </c>
      <c r="AC202" s="507">
        <f>Port[[#This Row],[ECL_Interest (CNY)]]*Port[[#This Row],[CNY -&gt; FCY]]</f>
        <v>1863.2952242380943</v>
      </c>
      <c r="AD202" s="507">
        <f>Port[[#This Row],[EAD_Drawn (CNY)]]*Port[[#This Row],[CNY -&gt; THB]]</f>
        <v>188589174.04800001</v>
      </c>
      <c r="AE202" s="507">
        <f>Port[[#This Row],[EAD_Undrawn (CNY)]]*Port[[#This Row],[CNY -&gt; THB]]</f>
        <v>0</v>
      </c>
      <c r="AF202" s="507">
        <f>Port[[#This Row],[EAD (CNY)]]*Port[[#This Row],[CNY -&gt; THB]]</f>
        <v>188589174.04800001</v>
      </c>
      <c r="AG202" s="507">
        <f>Port[[#This Row],[EAD_Interest (CNY)]]*Port[[#This Row],[CNY -&gt; THB]]</f>
        <v>288975.74858903739</v>
      </c>
      <c r="AH202" s="507">
        <f>Port[[#This Row],[ECL_Drawn (CNY)]]*Port[[#This Row],[CNY -&gt; THB]]</f>
        <v>5218406.8957050303</v>
      </c>
      <c r="AI202" s="507">
        <f>Port[[#This Row],[ECL_Undrawn (CNY)]]*Port[[#This Row],[CNY -&gt; THB]]</f>
        <v>0</v>
      </c>
      <c r="AJ202" s="507">
        <f>Port[[#This Row],[ECL (CNY)]]*Port[[#This Row],[CNY -&gt; THB]]</f>
        <v>5218406.8957050303</v>
      </c>
      <c r="AK202" s="507">
        <f>Port[[#This Row],[ECL_Interest (CNY)]]*Port[[#This Row],[CNY -&gt; THB]]</f>
        <v>7996.1803043091913</v>
      </c>
      <c r="AL202" s="507">
        <f>Port[[#This Row],[EAD (THB)]]*Port[[#This Row],[PD_avg]]</f>
        <v>5798229.884116699</v>
      </c>
      <c r="AM202" s="507">
        <f>Port[[#This Row],[EAD_Interest (THB)]]*Port[[#This Row],[PD_avg]]</f>
        <v>8884.6447825657669</v>
      </c>
      <c r="AN202" s="507">
        <f>Port[[#This Row],[EAD (THB)]]*Port[[#This Row],[LGD_avg]]</f>
        <v>169730256.64320004</v>
      </c>
      <c r="AO202" s="507">
        <f>Port[[#This Row],[EAD_Interest (THB)]]*Port[[#This Row],[LGD_avg]]</f>
        <v>260078.17373013371</v>
      </c>
      <c r="AP202" s="507">
        <f>Port[[#This Row],[EAD_Drawn (THB)]]+Port[[#This Row],[EAD_Interest (THB)]]</f>
        <v>188878149.79658905</v>
      </c>
      <c r="AQ20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2828837.6107200002</v>
      </c>
      <c r="AR202" s="522">
        <f>MAX(Port[[#This Row],[ECL (THB)]]+Port[[#This Row],[ECL_Interest (THB)]], Port[[#This Row],[ECL CBIRC (THB)]])</f>
        <v>5226403.0760093397</v>
      </c>
    </row>
    <row r="203" spans="1:44">
      <c r="A203" s="2" t="s">
        <v>165</v>
      </c>
      <c r="B203" s="2" t="s">
        <v>166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57</v>
      </c>
      <c r="H203">
        <v>1</v>
      </c>
      <c r="I203" s="2" t="s">
        <v>526</v>
      </c>
      <c r="J203" s="505">
        <v>3.0745295499522811E-2</v>
      </c>
      <c r="K203" s="505">
        <v>0.9</v>
      </c>
      <c r="L203" s="3">
        <v>0.15684552284455039</v>
      </c>
      <c r="M203" s="3">
        <v>5.2488000000000001</v>
      </c>
      <c r="N203" s="507">
        <v>50948800</v>
      </c>
      <c r="O203" s="507">
        <v>0</v>
      </c>
      <c r="P203" s="507">
        <v>50948800</v>
      </c>
      <c r="Q203" s="507">
        <v>245939.4105</v>
      </c>
      <c r="R203" s="507">
        <v>1409792.320211479</v>
      </c>
      <c r="S203" s="507">
        <v>0</v>
      </c>
      <c r="T203" s="507">
        <v>1409792.320211479</v>
      </c>
      <c r="U203" s="507">
        <v>6805.3318657208501</v>
      </c>
      <c r="V203" s="507">
        <f>Port[[#This Row],[EAD_Drawn (CNY)]]*Port[[#This Row],[CNY -&gt; FCY]]</f>
        <v>7991091.174302429</v>
      </c>
      <c r="W203" s="507">
        <f>Port[[#This Row],[EAD_Undrawn (CNY)]]*Port[[#This Row],[CNY -&gt; FCY]]</f>
        <v>0</v>
      </c>
      <c r="X203" s="507">
        <f>Port[[#This Row],[EAD (CNY)]]*Port[[#This Row],[CNY -&gt; FCY]]</f>
        <v>7991091.174302429</v>
      </c>
      <c r="Y203" s="507">
        <f>Port[[#This Row],[EAD_Interest (CNY)]]*Port[[#This Row],[CNY -&gt; FCY]]</f>
        <v>38574.495427953007</v>
      </c>
      <c r="Z203" s="507">
        <f>Port[[#This Row],[ECL_Drawn (CNY)]]*Port[[#This Row],[CNY -&gt; FCY]]</f>
        <v>221119.61356580124</v>
      </c>
      <c r="AA203" s="507">
        <f>Port[[#This Row],[ECL_Undrawn (CNY)]]*Port[[#This Row],[CNY -&gt; FCY]]</f>
        <v>0</v>
      </c>
      <c r="AB203" s="507">
        <f>Port[[#This Row],[ECL (CNY)]]*Port[[#This Row],[CNY -&gt; FCY]]</f>
        <v>221119.61356580124</v>
      </c>
      <c r="AC203" s="507">
        <f>Port[[#This Row],[ECL_Interest (CNY)]]*Port[[#This Row],[CNY -&gt; FCY]]</f>
        <v>1067.3858346096663</v>
      </c>
      <c r="AD203" s="507">
        <f>Port[[#This Row],[EAD_Drawn (CNY)]]*Port[[#This Row],[CNY -&gt; THB]]</f>
        <v>267420061.44</v>
      </c>
      <c r="AE203" s="507">
        <f>Port[[#This Row],[EAD_Undrawn (CNY)]]*Port[[#This Row],[CNY -&gt; THB]]</f>
        <v>0</v>
      </c>
      <c r="AF203" s="507">
        <f>Port[[#This Row],[EAD (CNY)]]*Port[[#This Row],[CNY -&gt; THB]]</f>
        <v>267420061.44</v>
      </c>
      <c r="AG203" s="507">
        <f>Port[[#This Row],[EAD_Interest (CNY)]]*Port[[#This Row],[CNY -&gt; THB]]</f>
        <v>1290886.7778324001</v>
      </c>
      <c r="AH203" s="507">
        <f>Port[[#This Row],[ECL_Drawn (CNY)]]*Port[[#This Row],[CNY -&gt; THB]]</f>
        <v>7399717.930326011</v>
      </c>
      <c r="AI203" s="507">
        <f>Port[[#This Row],[ECL_Undrawn (CNY)]]*Port[[#This Row],[CNY -&gt; THB]]</f>
        <v>0</v>
      </c>
      <c r="AJ203" s="507">
        <f>Port[[#This Row],[ECL (CNY)]]*Port[[#This Row],[CNY -&gt; THB]]</f>
        <v>7399717.930326011</v>
      </c>
      <c r="AK203" s="507">
        <f>Port[[#This Row],[ECL_Interest (CNY)]]*Port[[#This Row],[CNY -&gt; THB]]</f>
        <v>35719.825896795599</v>
      </c>
      <c r="AL203" s="507">
        <f>Port[[#This Row],[EAD (THB)]]*Port[[#This Row],[PD_avg]]</f>
        <v>8221908.8114733454</v>
      </c>
      <c r="AM203" s="507">
        <f>Port[[#This Row],[EAD_Interest (THB)]]*Port[[#This Row],[PD_avg]]</f>
        <v>39688.695440883996</v>
      </c>
      <c r="AN203" s="507">
        <f>Port[[#This Row],[EAD (THB)]]*Port[[#This Row],[LGD_avg]]</f>
        <v>240678055.296</v>
      </c>
      <c r="AO203" s="507">
        <f>Port[[#This Row],[EAD_Interest (THB)]]*Port[[#This Row],[LGD_avg]]</f>
        <v>1161798.1000491602</v>
      </c>
      <c r="AP203" s="507">
        <f>Port[[#This Row],[EAD_Drawn (THB)]]+Port[[#This Row],[EAD_Interest (THB)]]</f>
        <v>268710948.21783239</v>
      </c>
      <c r="AQ20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4011300.9216</v>
      </c>
      <c r="AR203" s="522">
        <f>MAX(Port[[#This Row],[ECL (THB)]]+Port[[#This Row],[ECL_Interest (THB)]], Port[[#This Row],[ECL CBIRC (THB)]])</f>
        <v>7435437.7562228069</v>
      </c>
    </row>
    <row r="204" spans="1:44">
      <c r="A204" s="2" t="s">
        <v>167</v>
      </c>
      <c r="B204" s="2" t="s">
        <v>168</v>
      </c>
      <c r="C204" s="2" t="s">
        <v>17</v>
      </c>
      <c r="D204" s="2" t="s">
        <v>25</v>
      </c>
      <c r="E204" s="2" t="s">
        <v>19</v>
      </c>
      <c r="F204" s="2" t="s">
        <v>20</v>
      </c>
      <c r="G204" s="2" t="s">
        <v>57</v>
      </c>
      <c r="H204">
        <v>1</v>
      </c>
      <c r="I204" s="2" t="s">
        <v>526</v>
      </c>
      <c r="J204" s="505">
        <v>1.3043899345507868E-2</v>
      </c>
      <c r="K204" s="505">
        <v>0.9</v>
      </c>
      <c r="L204" s="3">
        <v>0.15684552284455039</v>
      </c>
      <c r="M204" s="3">
        <v>5.2488000000000001</v>
      </c>
      <c r="N204" s="507">
        <v>63686000</v>
      </c>
      <c r="O204" s="507">
        <v>0</v>
      </c>
      <c r="P204" s="507">
        <v>63686000</v>
      </c>
      <c r="Q204" s="507">
        <v>248069.38876999996</v>
      </c>
      <c r="R204" s="507">
        <v>747642.39634621271</v>
      </c>
      <c r="S204" s="507">
        <v>0</v>
      </c>
      <c r="T204" s="507">
        <v>747642.39634621271</v>
      </c>
      <c r="U204" s="507">
        <v>2912.2129240357858</v>
      </c>
      <c r="V204" s="507">
        <f>Port[[#This Row],[EAD_Drawn (CNY)]]*Port[[#This Row],[CNY -&gt; FCY]]</f>
        <v>9988863.9678780362</v>
      </c>
      <c r="W204" s="507">
        <f>Port[[#This Row],[EAD_Undrawn (CNY)]]*Port[[#This Row],[CNY -&gt; FCY]]</f>
        <v>0</v>
      </c>
      <c r="X204" s="507">
        <f>Port[[#This Row],[EAD (CNY)]]*Port[[#This Row],[CNY -&gt; FCY]]</f>
        <v>9988863.9678780362</v>
      </c>
      <c r="Y204" s="507">
        <f>Port[[#This Row],[EAD_Interest (CNY)]]*Port[[#This Row],[CNY -&gt; FCY]]</f>
        <v>38908.572983358681</v>
      </c>
      <c r="Z204" s="507">
        <f>Port[[#This Row],[ECL_Drawn (CNY)]]*Port[[#This Row],[CNY -&gt; FCY]]</f>
        <v>117264.36255567431</v>
      </c>
      <c r="AA204" s="507">
        <f>Port[[#This Row],[ECL_Undrawn (CNY)]]*Port[[#This Row],[CNY -&gt; FCY]]</f>
        <v>0</v>
      </c>
      <c r="AB204" s="507">
        <f>Port[[#This Row],[ECL (CNY)]]*Port[[#This Row],[CNY -&gt; FCY]]</f>
        <v>117264.36255567431</v>
      </c>
      <c r="AC204" s="507">
        <f>Port[[#This Row],[ECL_Interest (CNY)]]*Port[[#This Row],[CNY -&gt; FCY]]</f>
        <v>456.76755870504974</v>
      </c>
      <c r="AD204" s="507">
        <f>Port[[#This Row],[EAD_Drawn (CNY)]]*Port[[#This Row],[CNY -&gt; THB]]</f>
        <v>334275076.80000001</v>
      </c>
      <c r="AE204" s="507">
        <f>Port[[#This Row],[EAD_Undrawn (CNY)]]*Port[[#This Row],[CNY -&gt; THB]]</f>
        <v>0</v>
      </c>
      <c r="AF204" s="507">
        <f>Port[[#This Row],[EAD (CNY)]]*Port[[#This Row],[CNY -&gt; THB]]</f>
        <v>334275076.80000001</v>
      </c>
      <c r="AG204" s="507">
        <f>Port[[#This Row],[EAD_Interest (CNY)]]*Port[[#This Row],[CNY -&gt; THB]]</f>
        <v>1302066.6077759757</v>
      </c>
      <c r="AH204" s="507">
        <f>Port[[#This Row],[ECL_Drawn (CNY)]]*Port[[#This Row],[CNY -&gt; THB]]</f>
        <v>3924225.4099420016</v>
      </c>
      <c r="AI204" s="507">
        <f>Port[[#This Row],[ECL_Undrawn (CNY)]]*Port[[#This Row],[CNY -&gt; THB]]</f>
        <v>0</v>
      </c>
      <c r="AJ204" s="507">
        <f>Port[[#This Row],[ECL (CNY)]]*Port[[#This Row],[CNY -&gt; THB]]</f>
        <v>3924225.4099420016</v>
      </c>
      <c r="AK204" s="507">
        <f>Port[[#This Row],[ECL_Interest (CNY)]]*Port[[#This Row],[CNY -&gt; THB]]</f>
        <v>15285.623195679033</v>
      </c>
      <c r="AL204" s="507">
        <f>Port[[#This Row],[EAD (THB)]]*Port[[#This Row],[PD_avg]]</f>
        <v>4360250.4554911125</v>
      </c>
      <c r="AM204" s="507">
        <f>Port[[#This Row],[EAD_Interest (THB)]]*Port[[#This Row],[PD_avg]]</f>
        <v>16984.0257729767</v>
      </c>
      <c r="AN204" s="507">
        <f>Port[[#This Row],[EAD (THB)]]*Port[[#This Row],[LGD_avg]]</f>
        <v>300847569.12</v>
      </c>
      <c r="AO204" s="507">
        <f>Port[[#This Row],[EAD_Interest (THB)]]*Port[[#This Row],[LGD_avg]]</f>
        <v>1171859.9469983783</v>
      </c>
      <c r="AP204" s="507">
        <f>Port[[#This Row],[EAD_Drawn (THB)]]+Port[[#This Row],[EAD_Interest (THB)]]</f>
        <v>335577143.407776</v>
      </c>
      <c r="AQ20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5014126.1519999998</v>
      </c>
      <c r="AR204" s="522">
        <f>MAX(Port[[#This Row],[ECL (THB)]]+Port[[#This Row],[ECL_Interest (THB)]], Port[[#This Row],[ECL CBIRC (THB)]])</f>
        <v>5014126.1519999998</v>
      </c>
    </row>
    <row r="205" spans="1:44">
      <c r="A205" s="2" t="s">
        <v>959</v>
      </c>
      <c r="B205" s="2" t="s">
        <v>169</v>
      </c>
      <c r="C205" s="2" t="s">
        <v>17</v>
      </c>
      <c r="D205" s="2" t="s">
        <v>25</v>
      </c>
      <c r="E205" s="2" t="s">
        <v>19</v>
      </c>
      <c r="F205" s="2" t="s">
        <v>20</v>
      </c>
      <c r="G205" s="2" t="s">
        <v>170</v>
      </c>
      <c r="H205">
        <v>1</v>
      </c>
      <c r="I205" s="2" t="s">
        <v>526</v>
      </c>
      <c r="J205" s="505">
        <v>1.3043899345507868E-2</v>
      </c>
      <c r="K205" s="505">
        <v>0.9</v>
      </c>
      <c r="L205" s="3">
        <v>5.2308000000000003</v>
      </c>
      <c r="M205" s="3">
        <v>5.2488000000000001</v>
      </c>
      <c r="N205" s="507">
        <v>47629934.461210176</v>
      </c>
      <c r="O205" s="507">
        <v>0</v>
      </c>
      <c r="P205" s="507">
        <v>47629934.461210176</v>
      </c>
      <c r="Q205" s="507">
        <v>27784.127800640144</v>
      </c>
      <c r="R205" s="507">
        <v>559152.06385064591</v>
      </c>
      <c r="S205" s="507">
        <v>0</v>
      </c>
      <c r="T205" s="507">
        <v>559152.06385064591</v>
      </c>
      <c r="U205" s="507">
        <v>326.17202979084925</v>
      </c>
      <c r="V205" s="507">
        <f>Port[[#This Row],[EAD_Drawn (CNY)]]*Port[[#This Row],[CNY -&gt; FCY]]</f>
        <v>249142661.1796982</v>
      </c>
      <c r="W205" s="507">
        <f>Port[[#This Row],[EAD_Undrawn (CNY)]]*Port[[#This Row],[CNY -&gt; FCY]]</f>
        <v>0</v>
      </c>
      <c r="X205" s="507">
        <f>Port[[#This Row],[EAD (CNY)]]*Port[[#This Row],[CNY -&gt; FCY]]</f>
        <v>249142661.1796982</v>
      </c>
      <c r="Y205" s="507">
        <f>Port[[#This Row],[EAD_Interest (CNY)]]*Port[[#This Row],[CNY -&gt; FCY]]</f>
        <v>145333.21569958847</v>
      </c>
      <c r="Z205" s="507">
        <f>Port[[#This Row],[ECL_Drawn (CNY)]]*Port[[#This Row],[CNY -&gt; FCY]]</f>
        <v>2924812.6155899586</v>
      </c>
      <c r="AA205" s="507">
        <f>Port[[#This Row],[ECL_Undrawn (CNY)]]*Port[[#This Row],[CNY -&gt; FCY]]</f>
        <v>0</v>
      </c>
      <c r="AB205" s="507">
        <f>Port[[#This Row],[ECL (CNY)]]*Port[[#This Row],[CNY -&gt; FCY]]</f>
        <v>2924812.6155899586</v>
      </c>
      <c r="AC205" s="507">
        <f>Port[[#This Row],[ECL_Interest (CNY)]]*Port[[#This Row],[CNY -&gt; FCY]]</f>
        <v>1706.1406534299745</v>
      </c>
      <c r="AD205" s="507">
        <f>Port[[#This Row],[EAD_Drawn (CNY)]]*Port[[#This Row],[CNY -&gt; THB]]</f>
        <v>249999999.99999997</v>
      </c>
      <c r="AE205" s="507">
        <f>Port[[#This Row],[EAD_Undrawn (CNY)]]*Port[[#This Row],[CNY -&gt; THB]]</f>
        <v>0</v>
      </c>
      <c r="AF205" s="507">
        <f>Port[[#This Row],[EAD (CNY)]]*Port[[#This Row],[CNY -&gt; THB]]</f>
        <v>249999999.99999997</v>
      </c>
      <c r="AG205" s="507">
        <f>Port[[#This Row],[EAD_Interest (CNY)]]*Port[[#This Row],[CNY -&gt; THB]]</f>
        <v>145833.32999999999</v>
      </c>
      <c r="AH205" s="507">
        <f>Port[[#This Row],[ECL_Drawn (CNY)]]*Port[[#This Row],[CNY -&gt; THB]]</f>
        <v>2934877.3527392703</v>
      </c>
      <c r="AI205" s="507">
        <f>Port[[#This Row],[ECL_Undrawn (CNY)]]*Port[[#This Row],[CNY -&gt; THB]]</f>
        <v>0</v>
      </c>
      <c r="AJ205" s="507">
        <f>Port[[#This Row],[ECL (CNY)]]*Port[[#This Row],[CNY -&gt; THB]]</f>
        <v>2934877.3527392703</v>
      </c>
      <c r="AK205" s="507">
        <f>Port[[#This Row],[ECL_Interest (CNY)]]*Port[[#This Row],[CNY -&gt; THB]]</f>
        <v>1712.0117499662097</v>
      </c>
      <c r="AL205" s="507">
        <f>Port[[#This Row],[EAD (THB)]]*Port[[#This Row],[PD_avg]]</f>
        <v>3260974.8363769669</v>
      </c>
      <c r="AM205" s="507">
        <f>Port[[#This Row],[EAD_Interest (THB)]]*Port[[#This Row],[PD_avg]]</f>
        <v>1902.2352777402327</v>
      </c>
      <c r="AN205" s="507">
        <f>Port[[#This Row],[EAD (THB)]]*Port[[#This Row],[LGD_avg]]</f>
        <v>224999999.99999997</v>
      </c>
      <c r="AO205" s="507">
        <f>Port[[#This Row],[EAD_Interest (THB)]]*Port[[#This Row],[LGD_avg]]</f>
        <v>131249.997</v>
      </c>
      <c r="AP205" s="507">
        <f>Port[[#This Row],[EAD_Drawn (THB)]]+Port[[#This Row],[EAD_Interest (THB)]]</f>
        <v>250145833.32999998</v>
      </c>
      <c r="AQ20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3749999.9999999995</v>
      </c>
      <c r="AR205" s="522">
        <f>MAX(Port[[#This Row],[ECL (THB)]]+Port[[#This Row],[ECL_Interest (THB)]], Port[[#This Row],[ECL CBIRC (THB)]])</f>
        <v>3749999.9999999995</v>
      </c>
    </row>
    <row r="206" spans="1:44">
      <c r="A206" s="2" t="s">
        <v>960</v>
      </c>
      <c r="B206" s="2" t="s">
        <v>169</v>
      </c>
      <c r="C206" s="2" t="s">
        <v>17</v>
      </c>
      <c r="D206" s="2" t="s">
        <v>25</v>
      </c>
      <c r="E206" s="2" t="s">
        <v>19</v>
      </c>
      <c r="F206" s="2" t="s">
        <v>20</v>
      </c>
      <c r="G206" s="2" t="s">
        <v>170</v>
      </c>
      <c r="H206">
        <v>1</v>
      </c>
      <c r="I206" s="2" t="s">
        <v>526</v>
      </c>
      <c r="J206" s="505">
        <v>1.3043899345507868E-2</v>
      </c>
      <c r="K206" s="505">
        <v>0.9</v>
      </c>
      <c r="L206" s="3">
        <v>5.2308000000000003</v>
      </c>
      <c r="M206" s="3">
        <v>5.2488000000000001</v>
      </c>
      <c r="N206" s="507">
        <v>95259868.922420353</v>
      </c>
      <c r="O206" s="507">
        <v>0</v>
      </c>
      <c r="P206" s="507">
        <v>95259868.922420353</v>
      </c>
      <c r="Q206" s="507">
        <v>55568.257506477668</v>
      </c>
      <c r="R206" s="507">
        <v>1118304.1277012918</v>
      </c>
      <c r="S206" s="507">
        <v>0</v>
      </c>
      <c r="T206" s="507">
        <v>1118304.1277012918</v>
      </c>
      <c r="U206" s="507">
        <v>652.34408194778109</v>
      </c>
      <c r="V206" s="507">
        <f>Port[[#This Row],[EAD_Drawn (CNY)]]*Port[[#This Row],[CNY -&gt; FCY]]</f>
        <v>498285322.3593964</v>
      </c>
      <c r="W206" s="507">
        <f>Port[[#This Row],[EAD_Undrawn (CNY)]]*Port[[#This Row],[CNY -&gt; FCY]]</f>
        <v>0</v>
      </c>
      <c r="X206" s="507">
        <f>Port[[#This Row],[EAD (CNY)]]*Port[[#This Row],[CNY -&gt; FCY]]</f>
        <v>498285322.3593964</v>
      </c>
      <c r="Y206" s="507">
        <f>Port[[#This Row],[EAD_Interest (CNY)]]*Port[[#This Row],[CNY -&gt; FCY]]</f>
        <v>290666.44136488339</v>
      </c>
      <c r="Z206" s="507">
        <f>Port[[#This Row],[ECL_Drawn (CNY)]]*Port[[#This Row],[CNY -&gt; FCY]]</f>
        <v>5849625.2311799172</v>
      </c>
      <c r="AA206" s="507">
        <f>Port[[#This Row],[ECL_Undrawn (CNY)]]*Port[[#This Row],[CNY -&gt; FCY]]</f>
        <v>0</v>
      </c>
      <c r="AB206" s="507">
        <f>Port[[#This Row],[ECL (CNY)]]*Port[[#This Row],[CNY -&gt; FCY]]</f>
        <v>5849625.2311799172</v>
      </c>
      <c r="AC206" s="507">
        <f>Port[[#This Row],[ECL_Interest (CNY)]]*Port[[#This Row],[CNY -&gt; FCY]]</f>
        <v>3412.2814238524534</v>
      </c>
      <c r="AD206" s="507">
        <f>Port[[#This Row],[EAD_Drawn (CNY)]]*Port[[#This Row],[CNY -&gt; THB]]</f>
        <v>499999999.99999994</v>
      </c>
      <c r="AE206" s="507">
        <f>Port[[#This Row],[EAD_Undrawn (CNY)]]*Port[[#This Row],[CNY -&gt; THB]]</f>
        <v>0</v>
      </c>
      <c r="AF206" s="507">
        <f>Port[[#This Row],[EAD (CNY)]]*Port[[#This Row],[CNY -&gt; THB]]</f>
        <v>499999999.99999994</v>
      </c>
      <c r="AG206" s="507">
        <f>Port[[#This Row],[EAD_Interest (CNY)]]*Port[[#This Row],[CNY -&gt; THB]]</f>
        <v>291666.67</v>
      </c>
      <c r="AH206" s="507">
        <f>Port[[#This Row],[ECL_Drawn (CNY)]]*Port[[#This Row],[CNY -&gt; THB]]</f>
        <v>5869754.7054785406</v>
      </c>
      <c r="AI206" s="507">
        <f>Port[[#This Row],[ECL_Undrawn (CNY)]]*Port[[#This Row],[CNY -&gt; THB]]</f>
        <v>0</v>
      </c>
      <c r="AJ206" s="507">
        <f>Port[[#This Row],[ECL (CNY)]]*Port[[#This Row],[CNY -&gt; THB]]</f>
        <v>5869754.7054785406</v>
      </c>
      <c r="AK206" s="507">
        <f>Port[[#This Row],[ECL_Interest (CNY)]]*Port[[#This Row],[CNY -&gt; THB]]</f>
        <v>3424.0236173275134</v>
      </c>
      <c r="AL206" s="507">
        <f>Port[[#This Row],[EAD (THB)]]*Port[[#This Row],[PD_avg]]</f>
        <v>6521949.6727539338</v>
      </c>
      <c r="AM206" s="507">
        <f>Port[[#This Row],[EAD_Interest (THB)]]*Port[[#This Row],[PD_avg]]</f>
        <v>3804.4706859194594</v>
      </c>
      <c r="AN206" s="507">
        <f>Port[[#This Row],[EAD (THB)]]*Port[[#This Row],[LGD_avg]]</f>
        <v>449999999.99999994</v>
      </c>
      <c r="AO206" s="507">
        <f>Port[[#This Row],[EAD_Interest (THB)]]*Port[[#This Row],[LGD_avg]]</f>
        <v>262500.00299999997</v>
      </c>
      <c r="AP206" s="507">
        <f>Port[[#This Row],[EAD_Drawn (THB)]]+Port[[#This Row],[EAD_Interest (THB)]]</f>
        <v>500291666.66999996</v>
      </c>
      <c r="AQ20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7499999.9999999991</v>
      </c>
      <c r="AR206" s="522">
        <f>MAX(Port[[#This Row],[ECL (THB)]]+Port[[#This Row],[ECL_Interest (THB)]], Port[[#This Row],[ECL CBIRC (THB)]])</f>
        <v>7499999.9999999991</v>
      </c>
    </row>
    <row r="207" spans="1:44">
      <c r="A207" s="2" t="s">
        <v>961</v>
      </c>
      <c r="B207" s="2" t="s">
        <v>962</v>
      </c>
      <c r="C207" s="2" t="s">
        <v>667</v>
      </c>
      <c r="D207" s="2" t="s">
        <v>30</v>
      </c>
      <c r="E207" s="2" t="s">
        <v>19</v>
      </c>
      <c r="F207" s="2" t="s">
        <v>20</v>
      </c>
      <c r="G207" s="2" t="s">
        <v>21</v>
      </c>
      <c r="H207">
        <v>1</v>
      </c>
      <c r="I207" s="2" t="s">
        <v>526</v>
      </c>
      <c r="J207" s="505">
        <v>3.0745295499522811E-2</v>
      </c>
      <c r="K207" s="505">
        <v>0.9</v>
      </c>
      <c r="L207" s="3">
        <v>1</v>
      </c>
      <c r="M207" s="3">
        <v>5.2488000000000001</v>
      </c>
      <c r="N207" s="507">
        <v>872039.16</v>
      </c>
      <c r="O207" s="507">
        <v>0</v>
      </c>
      <c r="P207" s="507">
        <v>872039.16</v>
      </c>
      <c r="Q207" s="507">
        <v>0</v>
      </c>
      <c r="R207" s="507">
        <v>24129.991495220089</v>
      </c>
      <c r="S207" s="507">
        <v>0</v>
      </c>
      <c r="T207" s="507">
        <v>24129.991495220089</v>
      </c>
      <c r="U207" s="507">
        <v>0</v>
      </c>
      <c r="V207" s="507">
        <f>Port[[#This Row],[EAD_Drawn (CNY)]]*Port[[#This Row],[CNY -&gt; FCY]]</f>
        <v>872039.16</v>
      </c>
      <c r="W207" s="507">
        <f>Port[[#This Row],[EAD_Undrawn (CNY)]]*Port[[#This Row],[CNY -&gt; FCY]]</f>
        <v>0</v>
      </c>
      <c r="X207" s="507">
        <f>Port[[#This Row],[EAD (CNY)]]*Port[[#This Row],[CNY -&gt; FCY]]</f>
        <v>872039.16</v>
      </c>
      <c r="Y207" s="507">
        <f>Port[[#This Row],[EAD_Interest (CNY)]]*Port[[#This Row],[CNY -&gt; FCY]]</f>
        <v>0</v>
      </c>
      <c r="Z207" s="507">
        <f>Port[[#This Row],[ECL_Drawn (CNY)]]*Port[[#This Row],[CNY -&gt; FCY]]</f>
        <v>24129.991495220089</v>
      </c>
      <c r="AA207" s="507">
        <f>Port[[#This Row],[ECL_Undrawn (CNY)]]*Port[[#This Row],[CNY -&gt; FCY]]</f>
        <v>0</v>
      </c>
      <c r="AB207" s="507">
        <f>Port[[#This Row],[ECL (CNY)]]*Port[[#This Row],[CNY -&gt; FCY]]</f>
        <v>24129.991495220089</v>
      </c>
      <c r="AC207" s="507">
        <f>Port[[#This Row],[ECL_Interest (CNY)]]*Port[[#This Row],[CNY -&gt; FCY]]</f>
        <v>0</v>
      </c>
      <c r="AD207" s="507">
        <f>Port[[#This Row],[EAD_Drawn (CNY)]]*Port[[#This Row],[CNY -&gt; THB]]</f>
        <v>4577159.1430080002</v>
      </c>
      <c r="AE207" s="507">
        <f>Port[[#This Row],[EAD_Undrawn (CNY)]]*Port[[#This Row],[CNY -&gt; THB]]</f>
        <v>0</v>
      </c>
      <c r="AF207" s="507">
        <f>Port[[#This Row],[EAD (CNY)]]*Port[[#This Row],[CNY -&gt; THB]]</f>
        <v>4577159.1430080002</v>
      </c>
      <c r="AG207" s="507">
        <f>Port[[#This Row],[EAD_Interest (CNY)]]*Port[[#This Row],[CNY -&gt; THB]]</f>
        <v>0</v>
      </c>
      <c r="AH207" s="507">
        <f>Port[[#This Row],[ECL_Drawn (CNY)]]*Port[[#This Row],[CNY -&gt; THB]]</f>
        <v>126653.49936011121</v>
      </c>
      <c r="AI207" s="507">
        <f>Port[[#This Row],[ECL_Undrawn (CNY)]]*Port[[#This Row],[CNY -&gt; THB]]</f>
        <v>0</v>
      </c>
      <c r="AJ207" s="507">
        <f>Port[[#This Row],[ECL (CNY)]]*Port[[#This Row],[CNY -&gt; THB]]</f>
        <v>126653.49936011121</v>
      </c>
      <c r="AK207" s="507">
        <f>Port[[#This Row],[ECL_Interest (CNY)]]*Port[[#This Row],[CNY -&gt; THB]]</f>
        <v>0</v>
      </c>
      <c r="AL207" s="507">
        <f>Port[[#This Row],[EAD (THB)]]*Port[[#This Row],[PD_avg]]</f>
        <v>140726.11040012355</v>
      </c>
      <c r="AM207" s="507">
        <f>Port[[#This Row],[EAD_Interest (THB)]]*Port[[#This Row],[PD_avg]]</f>
        <v>0</v>
      </c>
      <c r="AN207" s="507">
        <f>Port[[#This Row],[EAD (THB)]]*Port[[#This Row],[LGD_avg]]</f>
        <v>4119443.2287072004</v>
      </c>
      <c r="AO207" s="507">
        <f>Port[[#This Row],[EAD_Interest (THB)]]*Port[[#This Row],[LGD_avg]]</f>
        <v>0</v>
      </c>
      <c r="AP207" s="507">
        <f>Port[[#This Row],[EAD_Drawn (THB)]]+Port[[#This Row],[EAD_Interest (THB)]]</f>
        <v>4577159.1430080002</v>
      </c>
      <c r="AQ20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68657.387145119996</v>
      </c>
      <c r="AR207" s="522">
        <f>MAX(Port[[#This Row],[ECL (THB)]]+Port[[#This Row],[ECL_Interest (THB)]], Port[[#This Row],[ECL CBIRC (THB)]])</f>
        <v>126653.49936011121</v>
      </c>
    </row>
    <row r="208" spans="1:44">
      <c r="A208" s="2" t="s">
        <v>963</v>
      </c>
      <c r="B208" s="2" t="s">
        <v>964</v>
      </c>
      <c r="C208" s="2" t="s">
        <v>667</v>
      </c>
      <c r="D208" s="2" t="s">
        <v>30</v>
      </c>
      <c r="E208" s="2" t="s">
        <v>19</v>
      </c>
      <c r="F208" s="2" t="s">
        <v>20</v>
      </c>
      <c r="G208" s="2" t="s">
        <v>21</v>
      </c>
      <c r="H208">
        <v>1</v>
      </c>
      <c r="I208" s="2" t="s">
        <v>526</v>
      </c>
      <c r="J208" s="505">
        <v>2.0514833509807026E-2</v>
      </c>
      <c r="K208" s="505">
        <v>0.9</v>
      </c>
      <c r="L208" s="3">
        <v>1</v>
      </c>
      <c r="M208" s="3">
        <v>5.2488000000000001</v>
      </c>
      <c r="N208" s="507">
        <v>2705059.01</v>
      </c>
      <c r="O208" s="507">
        <v>0</v>
      </c>
      <c r="P208" s="507">
        <v>2705059.01</v>
      </c>
      <c r="Q208" s="507">
        <v>0</v>
      </c>
      <c r="R208" s="507">
        <v>49944.451701918078</v>
      </c>
      <c r="S208" s="507">
        <v>0</v>
      </c>
      <c r="T208" s="507">
        <v>49944.451701918078</v>
      </c>
      <c r="U208" s="507">
        <v>0</v>
      </c>
      <c r="V208" s="507">
        <f>Port[[#This Row],[EAD_Drawn (CNY)]]*Port[[#This Row],[CNY -&gt; FCY]]</f>
        <v>2705059.01</v>
      </c>
      <c r="W208" s="507">
        <f>Port[[#This Row],[EAD_Undrawn (CNY)]]*Port[[#This Row],[CNY -&gt; FCY]]</f>
        <v>0</v>
      </c>
      <c r="X208" s="507">
        <f>Port[[#This Row],[EAD (CNY)]]*Port[[#This Row],[CNY -&gt; FCY]]</f>
        <v>2705059.01</v>
      </c>
      <c r="Y208" s="507">
        <f>Port[[#This Row],[EAD_Interest (CNY)]]*Port[[#This Row],[CNY -&gt; FCY]]</f>
        <v>0</v>
      </c>
      <c r="Z208" s="507">
        <f>Port[[#This Row],[ECL_Drawn (CNY)]]*Port[[#This Row],[CNY -&gt; FCY]]</f>
        <v>49944.451701918078</v>
      </c>
      <c r="AA208" s="507">
        <f>Port[[#This Row],[ECL_Undrawn (CNY)]]*Port[[#This Row],[CNY -&gt; FCY]]</f>
        <v>0</v>
      </c>
      <c r="AB208" s="507">
        <f>Port[[#This Row],[ECL (CNY)]]*Port[[#This Row],[CNY -&gt; FCY]]</f>
        <v>49944.451701918078</v>
      </c>
      <c r="AC208" s="507">
        <f>Port[[#This Row],[ECL_Interest (CNY)]]*Port[[#This Row],[CNY -&gt; FCY]]</f>
        <v>0</v>
      </c>
      <c r="AD208" s="507">
        <f>Port[[#This Row],[EAD_Drawn (CNY)]]*Port[[#This Row],[CNY -&gt; THB]]</f>
        <v>14198313.731687998</v>
      </c>
      <c r="AE208" s="507">
        <f>Port[[#This Row],[EAD_Undrawn (CNY)]]*Port[[#This Row],[CNY -&gt; THB]]</f>
        <v>0</v>
      </c>
      <c r="AF208" s="507">
        <f>Port[[#This Row],[EAD (CNY)]]*Port[[#This Row],[CNY -&gt; THB]]</f>
        <v>14198313.731687998</v>
      </c>
      <c r="AG208" s="507">
        <f>Port[[#This Row],[EAD_Interest (CNY)]]*Port[[#This Row],[CNY -&gt; THB]]</f>
        <v>0</v>
      </c>
      <c r="AH208" s="507">
        <f>Port[[#This Row],[ECL_Drawn (CNY)]]*Port[[#This Row],[CNY -&gt; THB]]</f>
        <v>262148.43809302762</v>
      </c>
      <c r="AI208" s="507">
        <f>Port[[#This Row],[ECL_Undrawn (CNY)]]*Port[[#This Row],[CNY -&gt; THB]]</f>
        <v>0</v>
      </c>
      <c r="AJ208" s="507">
        <f>Port[[#This Row],[ECL (CNY)]]*Port[[#This Row],[CNY -&gt; THB]]</f>
        <v>262148.43809302762</v>
      </c>
      <c r="AK208" s="507">
        <f>Port[[#This Row],[ECL_Interest (CNY)]]*Port[[#This Row],[CNY -&gt; THB]]</f>
        <v>0</v>
      </c>
      <c r="AL208" s="507">
        <f>Port[[#This Row],[EAD (THB)]]*Port[[#This Row],[PD_avg]]</f>
        <v>291276.0423255862</v>
      </c>
      <c r="AM208" s="507">
        <f>Port[[#This Row],[EAD_Interest (THB)]]*Port[[#This Row],[PD_avg]]</f>
        <v>0</v>
      </c>
      <c r="AN208" s="507">
        <f>Port[[#This Row],[EAD (THB)]]*Port[[#This Row],[LGD_avg]]</f>
        <v>12778482.358519198</v>
      </c>
      <c r="AO208" s="507">
        <f>Port[[#This Row],[EAD_Interest (THB)]]*Port[[#This Row],[LGD_avg]]</f>
        <v>0</v>
      </c>
      <c r="AP208" s="507">
        <f>Port[[#This Row],[EAD_Drawn (THB)]]+Port[[#This Row],[EAD_Interest (THB)]]</f>
        <v>14198313.731687998</v>
      </c>
      <c r="AQ20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212974.70597531996</v>
      </c>
      <c r="AR208" s="522">
        <f>MAX(Port[[#This Row],[ECL (THB)]]+Port[[#This Row],[ECL_Interest (THB)]], Port[[#This Row],[ECL CBIRC (THB)]])</f>
        <v>262148.43809302762</v>
      </c>
    </row>
    <row r="209" spans="1:44">
      <c r="A209" s="2" t="s">
        <v>965</v>
      </c>
      <c r="B209" s="2" t="s">
        <v>966</v>
      </c>
      <c r="C209" s="2" t="s">
        <v>667</v>
      </c>
      <c r="D209" s="2" t="s">
        <v>30</v>
      </c>
      <c r="E209" s="2" t="s">
        <v>19</v>
      </c>
      <c r="F209" s="2" t="s">
        <v>20</v>
      </c>
      <c r="G209" s="2" t="s">
        <v>21</v>
      </c>
      <c r="H209">
        <v>1</v>
      </c>
      <c r="I209" s="2" t="s">
        <v>526</v>
      </c>
      <c r="J209" s="505">
        <v>2.0514833509807026E-2</v>
      </c>
      <c r="K209" s="505">
        <v>0.9</v>
      </c>
      <c r="L209" s="3">
        <v>1</v>
      </c>
      <c r="M209" s="3">
        <v>5.2488000000000001</v>
      </c>
      <c r="N209" s="507">
        <v>1586809.18</v>
      </c>
      <c r="O209" s="507">
        <v>0</v>
      </c>
      <c r="P209" s="507">
        <v>1586809.18</v>
      </c>
      <c r="Q209" s="507">
        <v>0</v>
      </c>
      <c r="R209" s="507">
        <v>29297.813525580066</v>
      </c>
      <c r="S209" s="507">
        <v>0</v>
      </c>
      <c r="T209" s="507">
        <v>29297.813525580066</v>
      </c>
      <c r="U209" s="507">
        <v>0</v>
      </c>
      <c r="V209" s="507">
        <f>Port[[#This Row],[EAD_Drawn (CNY)]]*Port[[#This Row],[CNY -&gt; FCY]]</f>
        <v>1586809.18</v>
      </c>
      <c r="W209" s="507">
        <f>Port[[#This Row],[EAD_Undrawn (CNY)]]*Port[[#This Row],[CNY -&gt; FCY]]</f>
        <v>0</v>
      </c>
      <c r="X209" s="507">
        <f>Port[[#This Row],[EAD (CNY)]]*Port[[#This Row],[CNY -&gt; FCY]]</f>
        <v>1586809.18</v>
      </c>
      <c r="Y209" s="507">
        <f>Port[[#This Row],[EAD_Interest (CNY)]]*Port[[#This Row],[CNY -&gt; FCY]]</f>
        <v>0</v>
      </c>
      <c r="Z209" s="507">
        <f>Port[[#This Row],[ECL_Drawn (CNY)]]*Port[[#This Row],[CNY -&gt; FCY]]</f>
        <v>29297.813525580066</v>
      </c>
      <c r="AA209" s="507">
        <f>Port[[#This Row],[ECL_Undrawn (CNY)]]*Port[[#This Row],[CNY -&gt; FCY]]</f>
        <v>0</v>
      </c>
      <c r="AB209" s="507">
        <f>Port[[#This Row],[ECL (CNY)]]*Port[[#This Row],[CNY -&gt; FCY]]</f>
        <v>29297.813525580066</v>
      </c>
      <c r="AC209" s="507">
        <f>Port[[#This Row],[ECL_Interest (CNY)]]*Port[[#This Row],[CNY -&gt; FCY]]</f>
        <v>0</v>
      </c>
      <c r="AD209" s="507">
        <f>Port[[#This Row],[EAD_Drawn (CNY)]]*Port[[#This Row],[CNY -&gt; THB]]</f>
        <v>8328844.0239840001</v>
      </c>
      <c r="AE209" s="507">
        <f>Port[[#This Row],[EAD_Undrawn (CNY)]]*Port[[#This Row],[CNY -&gt; THB]]</f>
        <v>0</v>
      </c>
      <c r="AF209" s="507">
        <f>Port[[#This Row],[EAD (CNY)]]*Port[[#This Row],[CNY -&gt; THB]]</f>
        <v>8328844.0239840001</v>
      </c>
      <c r="AG209" s="507">
        <f>Port[[#This Row],[EAD_Interest (CNY)]]*Port[[#This Row],[CNY -&gt; THB]]</f>
        <v>0</v>
      </c>
      <c r="AH209" s="507">
        <f>Port[[#This Row],[ECL_Drawn (CNY)]]*Port[[#This Row],[CNY -&gt; THB]]</f>
        <v>153778.36363306467</v>
      </c>
      <c r="AI209" s="507">
        <f>Port[[#This Row],[ECL_Undrawn (CNY)]]*Port[[#This Row],[CNY -&gt; THB]]</f>
        <v>0</v>
      </c>
      <c r="AJ209" s="507">
        <f>Port[[#This Row],[ECL (CNY)]]*Port[[#This Row],[CNY -&gt; THB]]</f>
        <v>153778.36363306467</v>
      </c>
      <c r="AK209" s="507">
        <f>Port[[#This Row],[ECL_Interest (CNY)]]*Port[[#This Row],[CNY -&gt; THB]]</f>
        <v>0</v>
      </c>
      <c r="AL209" s="507">
        <f>Port[[#This Row],[EAD (THB)]]*Port[[#This Row],[PD_avg]]</f>
        <v>170864.84848118297</v>
      </c>
      <c r="AM209" s="507">
        <f>Port[[#This Row],[EAD_Interest (THB)]]*Port[[#This Row],[PD_avg]]</f>
        <v>0</v>
      </c>
      <c r="AN209" s="507">
        <f>Port[[#This Row],[EAD (THB)]]*Port[[#This Row],[LGD_avg]]</f>
        <v>7495959.6215856001</v>
      </c>
      <c r="AO209" s="507">
        <f>Port[[#This Row],[EAD_Interest (THB)]]*Port[[#This Row],[LGD_avg]]</f>
        <v>0</v>
      </c>
      <c r="AP209" s="507">
        <f>Port[[#This Row],[EAD_Drawn (THB)]]+Port[[#This Row],[EAD_Interest (THB)]]</f>
        <v>8328844.0239840001</v>
      </c>
      <c r="AQ20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124932.66035975999</v>
      </c>
      <c r="AR209" s="522">
        <f>MAX(Port[[#This Row],[ECL (THB)]]+Port[[#This Row],[ECL_Interest (THB)]], Port[[#This Row],[ECL CBIRC (THB)]])</f>
        <v>153778.36363306467</v>
      </c>
    </row>
    <row r="210" spans="1:44">
      <c r="A210" s="2" t="s">
        <v>967</v>
      </c>
      <c r="B210" s="2" t="s">
        <v>968</v>
      </c>
      <c r="C210" s="2" t="s">
        <v>667</v>
      </c>
      <c r="D210" s="2" t="s">
        <v>933</v>
      </c>
      <c r="E210" s="2" t="s">
        <v>19</v>
      </c>
      <c r="F210" s="2" t="s">
        <v>20</v>
      </c>
      <c r="G210" s="2" t="s">
        <v>21</v>
      </c>
      <c r="H210">
        <v>1</v>
      </c>
      <c r="I210" s="2" t="s">
        <v>526</v>
      </c>
      <c r="J210" s="505">
        <v>2.0514833509807026E-2</v>
      </c>
      <c r="K210" s="505">
        <v>0.90000000000000013</v>
      </c>
      <c r="L210" s="3">
        <v>1</v>
      </c>
      <c r="M210" s="3">
        <v>5.2488000000000001</v>
      </c>
      <c r="N210" s="507">
        <v>652596.4</v>
      </c>
      <c r="O210" s="507">
        <v>0</v>
      </c>
      <c r="P210" s="507">
        <v>652596.4</v>
      </c>
      <c r="Q210" s="507">
        <v>0</v>
      </c>
      <c r="R210" s="507">
        <v>12049.115845589489</v>
      </c>
      <c r="S210" s="507">
        <v>0</v>
      </c>
      <c r="T210" s="507">
        <v>12049.115845589489</v>
      </c>
      <c r="U210" s="507">
        <v>0</v>
      </c>
      <c r="V210" s="507">
        <f>Port[[#This Row],[EAD_Drawn (CNY)]]*Port[[#This Row],[CNY -&gt; FCY]]</f>
        <v>652596.4</v>
      </c>
      <c r="W210" s="507">
        <f>Port[[#This Row],[EAD_Undrawn (CNY)]]*Port[[#This Row],[CNY -&gt; FCY]]</f>
        <v>0</v>
      </c>
      <c r="X210" s="507">
        <f>Port[[#This Row],[EAD (CNY)]]*Port[[#This Row],[CNY -&gt; FCY]]</f>
        <v>652596.4</v>
      </c>
      <c r="Y210" s="507">
        <f>Port[[#This Row],[EAD_Interest (CNY)]]*Port[[#This Row],[CNY -&gt; FCY]]</f>
        <v>0</v>
      </c>
      <c r="Z210" s="507">
        <f>Port[[#This Row],[ECL_Drawn (CNY)]]*Port[[#This Row],[CNY -&gt; FCY]]</f>
        <v>12049.115845589489</v>
      </c>
      <c r="AA210" s="507">
        <f>Port[[#This Row],[ECL_Undrawn (CNY)]]*Port[[#This Row],[CNY -&gt; FCY]]</f>
        <v>0</v>
      </c>
      <c r="AB210" s="507">
        <f>Port[[#This Row],[ECL (CNY)]]*Port[[#This Row],[CNY -&gt; FCY]]</f>
        <v>12049.115845589489</v>
      </c>
      <c r="AC210" s="507">
        <f>Port[[#This Row],[ECL_Interest (CNY)]]*Port[[#This Row],[CNY -&gt; FCY]]</f>
        <v>0</v>
      </c>
      <c r="AD210" s="507">
        <f>Port[[#This Row],[EAD_Drawn (CNY)]]*Port[[#This Row],[CNY -&gt; THB]]</f>
        <v>3425347.9843200003</v>
      </c>
      <c r="AE210" s="507">
        <f>Port[[#This Row],[EAD_Undrawn (CNY)]]*Port[[#This Row],[CNY -&gt; THB]]</f>
        <v>0</v>
      </c>
      <c r="AF210" s="507">
        <f>Port[[#This Row],[EAD (CNY)]]*Port[[#This Row],[CNY -&gt; THB]]</f>
        <v>3425347.9843200003</v>
      </c>
      <c r="AG210" s="507">
        <f>Port[[#This Row],[EAD_Interest (CNY)]]*Port[[#This Row],[CNY -&gt; THB]]</f>
        <v>0</v>
      </c>
      <c r="AH210" s="507">
        <f>Port[[#This Row],[ECL_Drawn (CNY)]]*Port[[#This Row],[CNY -&gt; THB]]</f>
        <v>63243.399250330112</v>
      </c>
      <c r="AI210" s="507">
        <f>Port[[#This Row],[ECL_Undrawn (CNY)]]*Port[[#This Row],[CNY -&gt; THB]]</f>
        <v>0</v>
      </c>
      <c r="AJ210" s="507">
        <f>Port[[#This Row],[ECL (CNY)]]*Port[[#This Row],[CNY -&gt; THB]]</f>
        <v>63243.399250330112</v>
      </c>
      <c r="AK210" s="507">
        <f>Port[[#This Row],[ECL_Interest (CNY)]]*Port[[#This Row],[CNY -&gt; THB]]</f>
        <v>0</v>
      </c>
      <c r="AL210" s="507">
        <f>Port[[#This Row],[EAD (THB)]]*Port[[#This Row],[PD_avg]]</f>
        <v>70270.443611477895</v>
      </c>
      <c r="AM210" s="507">
        <f>Port[[#This Row],[EAD_Interest (THB)]]*Port[[#This Row],[PD_avg]]</f>
        <v>0</v>
      </c>
      <c r="AN210" s="507">
        <f>Port[[#This Row],[EAD (THB)]]*Port[[#This Row],[LGD_avg]]</f>
        <v>3082813.1858880008</v>
      </c>
      <c r="AO210" s="507">
        <f>Port[[#This Row],[EAD_Interest (THB)]]*Port[[#This Row],[LGD_avg]]</f>
        <v>0</v>
      </c>
      <c r="AP210" s="507">
        <f>Port[[#This Row],[EAD_Drawn (THB)]]+Port[[#This Row],[EAD_Interest (THB)]]</f>
        <v>3425347.9843200003</v>
      </c>
      <c r="AQ2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51380.2197648</v>
      </c>
      <c r="AR210" s="522">
        <f>MAX(Port[[#This Row],[ECL (THB)]]+Port[[#This Row],[ECL_Interest (THB)]], Port[[#This Row],[ECL CBIRC (THB)]])</f>
        <v>63243.399250330112</v>
      </c>
    </row>
    <row r="211" spans="1:44">
      <c r="A211" s="2" t="s">
        <v>969</v>
      </c>
      <c r="B211" s="2" t="s">
        <v>970</v>
      </c>
      <c r="C211" s="2" t="s">
        <v>667</v>
      </c>
      <c r="D211" s="2" t="s">
        <v>30</v>
      </c>
      <c r="E211" s="2" t="s">
        <v>19</v>
      </c>
      <c r="F211" s="2" t="s">
        <v>20</v>
      </c>
      <c r="G211" s="2" t="s">
        <v>21</v>
      </c>
      <c r="H211">
        <v>1</v>
      </c>
      <c r="I211" s="2" t="s">
        <v>526</v>
      </c>
      <c r="J211" s="505">
        <v>4.8109749303825028E-2</v>
      </c>
      <c r="K211" s="505">
        <v>0.9</v>
      </c>
      <c r="L211" s="3">
        <v>1</v>
      </c>
      <c r="M211" s="3">
        <v>5.2488000000000001</v>
      </c>
      <c r="N211" s="507">
        <v>713283.93</v>
      </c>
      <c r="O211" s="507">
        <v>0</v>
      </c>
      <c r="P211" s="507">
        <v>713283.93</v>
      </c>
      <c r="Q211" s="507">
        <v>0</v>
      </c>
      <c r="R211" s="507">
        <v>30884.319949272376</v>
      </c>
      <c r="S211" s="507">
        <v>0</v>
      </c>
      <c r="T211" s="507">
        <v>30884.319949272376</v>
      </c>
      <c r="U211" s="507">
        <v>0</v>
      </c>
      <c r="V211" s="507">
        <f>Port[[#This Row],[EAD_Drawn (CNY)]]*Port[[#This Row],[CNY -&gt; FCY]]</f>
        <v>713283.93</v>
      </c>
      <c r="W211" s="507">
        <f>Port[[#This Row],[EAD_Undrawn (CNY)]]*Port[[#This Row],[CNY -&gt; FCY]]</f>
        <v>0</v>
      </c>
      <c r="X211" s="507">
        <f>Port[[#This Row],[EAD (CNY)]]*Port[[#This Row],[CNY -&gt; FCY]]</f>
        <v>713283.93</v>
      </c>
      <c r="Y211" s="507">
        <f>Port[[#This Row],[EAD_Interest (CNY)]]*Port[[#This Row],[CNY -&gt; FCY]]</f>
        <v>0</v>
      </c>
      <c r="Z211" s="507">
        <f>Port[[#This Row],[ECL_Drawn (CNY)]]*Port[[#This Row],[CNY -&gt; FCY]]</f>
        <v>30884.319949272376</v>
      </c>
      <c r="AA211" s="507">
        <f>Port[[#This Row],[ECL_Undrawn (CNY)]]*Port[[#This Row],[CNY -&gt; FCY]]</f>
        <v>0</v>
      </c>
      <c r="AB211" s="507">
        <f>Port[[#This Row],[ECL (CNY)]]*Port[[#This Row],[CNY -&gt; FCY]]</f>
        <v>30884.319949272376</v>
      </c>
      <c r="AC211" s="507">
        <f>Port[[#This Row],[ECL_Interest (CNY)]]*Port[[#This Row],[CNY -&gt; FCY]]</f>
        <v>0</v>
      </c>
      <c r="AD211" s="507">
        <f>Port[[#This Row],[EAD_Drawn (CNY)]]*Port[[#This Row],[CNY -&gt; THB]]</f>
        <v>3743884.6917840005</v>
      </c>
      <c r="AE211" s="507">
        <f>Port[[#This Row],[EAD_Undrawn (CNY)]]*Port[[#This Row],[CNY -&gt; THB]]</f>
        <v>0</v>
      </c>
      <c r="AF211" s="507">
        <f>Port[[#This Row],[EAD (CNY)]]*Port[[#This Row],[CNY -&gt; THB]]</f>
        <v>3743884.6917840005</v>
      </c>
      <c r="AG211" s="507">
        <f>Port[[#This Row],[EAD_Interest (CNY)]]*Port[[#This Row],[CNY -&gt; THB]]</f>
        <v>0</v>
      </c>
      <c r="AH211" s="507">
        <f>Port[[#This Row],[ECL_Drawn (CNY)]]*Port[[#This Row],[CNY -&gt; THB]]</f>
        <v>162105.61854974084</v>
      </c>
      <c r="AI211" s="507">
        <f>Port[[#This Row],[ECL_Undrawn (CNY)]]*Port[[#This Row],[CNY -&gt; THB]]</f>
        <v>0</v>
      </c>
      <c r="AJ211" s="507">
        <f>Port[[#This Row],[ECL (CNY)]]*Port[[#This Row],[CNY -&gt; THB]]</f>
        <v>162105.61854974084</v>
      </c>
      <c r="AK211" s="507">
        <f>Port[[#This Row],[ECL_Interest (CNY)]]*Port[[#This Row],[CNY -&gt; THB]]</f>
        <v>0</v>
      </c>
      <c r="AL211" s="507">
        <f>Port[[#This Row],[EAD (THB)]]*Port[[#This Row],[PD_avg]]</f>
        <v>180117.35394415649</v>
      </c>
      <c r="AM211" s="507">
        <f>Port[[#This Row],[EAD_Interest (THB)]]*Port[[#This Row],[PD_avg]]</f>
        <v>0</v>
      </c>
      <c r="AN211" s="507">
        <f>Port[[#This Row],[EAD (THB)]]*Port[[#This Row],[LGD_avg]]</f>
        <v>3369496.2226056005</v>
      </c>
      <c r="AO211" s="507">
        <f>Port[[#This Row],[EAD_Interest (THB)]]*Port[[#This Row],[LGD_avg]]</f>
        <v>0</v>
      </c>
      <c r="AP211" s="507">
        <f>Port[[#This Row],[EAD_Drawn (THB)]]+Port[[#This Row],[EAD_Interest (THB)]]</f>
        <v>3743884.6917840005</v>
      </c>
      <c r="AQ2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56158.270376760003</v>
      </c>
      <c r="AR211" s="522">
        <f>MAX(Port[[#This Row],[ECL (THB)]]+Port[[#This Row],[ECL_Interest (THB)]], Port[[#This Row],[ECL CBIRC (THB)]])</f>
        <v>162105.61854974084</v>
      </c>
    </row>
    <row r="212" spans="1:44">
      <c r="A212" s="2" t="s">
        <v>971</v>
      </c>
      <c r="B212" s="2" t="s">
        <v>972</v>
      </c>
      <c r="C212" s="2" t="s">
        <v>667</v>
      </c>
      <c r="D212" s="2" t="s">
        <v>30</v>
      </c>
      <c r="E212" s="2" t="s">
        <v>19</v>
      </c>
      <c r="F212" s="2" t="s">
        <v>20</v>
      </c>
      <c r="G212" s="2" t="s">
        <v>21</v>
      </c>
      <c r="H212">
        <v>1</v>
      </c>
      <c r="I212" s="2" t="s">
        <v>526</v>
      </c>
      <c r="J212" s="505">
        <v>4.8109749303825028E-2</v>
      </c>
      <c r="K212" s="505">
        <v>0.9</v>
      </c>
      <c r="L212" s="3">
        <v>1</v>
      </c>
      <c r="M212" s="3">
        <v>5.2488000000000001</v>
      </c>
      <c r="N212" s="507">
        <v>627442.05000000005</v>
      </c>
      <c r="O212" s="507">
        <v>0</v>
      </c>
      <c r="P212" s="507">
        <v>627442.05000000005</v>
      </c>
      <c r="Q212" s="507">
        <v>0</v>
      </c>
      <c r="R212" s="507">
        <v>27167.471755360246</v>
      </c>
      <c r="S212" s="507">
        <v>0</v>
      </c>
      <c r="T212" s="507">
        <v>27167.471755360246</v>
      </c>
      <c r="U212" s="507">
        <v>0</v>
      </c>
      <c r="V212" s="507">
        <f>Port[[#This Row],[EAD_Drawn (CNY)]]*Port[[#This Row],[CNY -&gt; FCY]]</f>
        <v>627442.05000000005</v>
      </c>
      <c r="W212" s="507">
        <f>Port[[#This Row],[EAD_Undrawn (CNY)]]*Port[[#This Row],[CNY -&gt; FCY]]</f>
        <v>0</v>
      </c>
      <c r="X212" s="507">
        <f>Port[[#This Row],[EAD (CNY)]]*Port[[#This Row],[CNY -&gt; FCY]]</f>
        <v>627442.05000000005</v>
      </c>
      <c r="Y212" s="507">
        <f>Port[[#This Row],[EAD_Interest (CNY)]]*Port[[#This Row],[CNY -&gt; FCY]]</f>
        <v>0</v>
      </c>
      <c r="Z212" s="507">
        <f>Port[[#This Row],[ECL_Drawn (CNY)]]*Port[[#This Row],[CNY -&gt; FCY]]</f>
        <v>27167.471755360246</v>
      </c>
      <c r="AA212" s="507">
        <f>Port[[#This Row],[ECL_Undrawn (CNY)]]*Port[[#This Row],[CNY -&gt; FCY]]</f>
        <v>0</v>
      </c>
      <c r="AB212" s="507">
        <f>Port[[#This Row],[ECL (CNY)]]*Port[[#This Row],[CNY -&gt; FCY]]</f>
        <v>27167.471755360246</v>
      </c>
      <c r="AC212" s="507">
        <f>Port[[#This Row],[ECL_Interest (CNY)]]*Port[[#This Row],[CNY -&gt; FCY]]</f>
        <v>0</v>
      </c>
      <c r="AD212" s="507">
        <f>Port[[#This Row],[EAD_Drawn (CNY)]]*Port[[#This Row],[CNY -&gt; THB]]</f>
        <v>3293317.8320400002</v>
      </c>
      <c r="AE212" s="507">
        <f>Port[[#This Row],[EAD_Undrawn (CNY)]]*Port[[#This Row],[CNY -&gt; THB]]</f>
        <v>0</v>
      </c>
      <c r="AF212" s="507">
        <f>Port[[#This Row],[EAD (CNY)]]*Port[[#This Row],[CNY -&gt; THB]]</f>
        <v>3293317.8320400002</v>
      </c>
      <c r="AG212" s="507">
        <f>Port[[#This Row],[EAD_Interest (CNY)]]*Port[[#This Row],[CNY -&gt; THB]]</f>
        <v>0</v>
      </c>
      <c r="AH212" s="507">
        <f>Port[[#This Row],[ECL_Drawn (CNY)]]*Port[[#This Row],[CNY -&gt; THB]]</f>
        <v>142596.62574953487</v>
      </c>
      <c r="AI212" s="507">
        <f>Port[[#This Row],[ECL_Undrawn (CNY)]]*Port[[#This Row],[CNY -&gt; THB]]</f>
        <v>0</v>
      </c>
      <c r="AJ212" s="507">
        <f>Port[[#This Row],[ECL (CNY)]]*Port[[#This Row],[CNY -&gt; THB]]</f>
        <v>142596.62574953487</v>
      </c>
      <c r="AK212" s="507">
        <f>Port[[#This Row],[ECL_Interest (CNY)]]*Port[[#This Row],[CNY -&gt; THB]]</f>
        <v>0</v>
      </c>
      <c r="AL212" s="507">
        <f>Port[[#This Row],[EAD (THB)]]*Port[[#This Row],[PD_avg]]</f>
        <v>158440.69527726097</v>
      </c>
      <c r="AM212" s="507">
        <f>Port[[#This Row],[EAD_Interest (THB)]]*Port[[#This Row],[PD_avg]]</f>
        <v>0</v>
      </c>
      <c r="AN212" s="507">
        <f>Port[[#This Row],[EAD (THB)]]*Port[[#This Row],[LGD_avg]]</f>
        <v>2963986.0488360003</v>
      </c>
      <c r="AO212" s="507">
        <f>Port[[#This Row],[EAD_Interest (THB)]]*Port[[#This Row],[LGD_avg]]</f>
        <v>0</v>
      </c>
      <c r="AP212" s="507">
        <f>Port[[#This Row],[EAD_Drawn (THB)]]+Port[[#This Row],[EAD_Interest (THB)]]</f>
        <v>3293317.8320400002</v>
      </c>
      <c r="AQ2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49399.7674806</v>
      </c>
      <c r="AR212" s="522">
        <f>MAX(Port[[#This Row],[ECL (THB)]]+Port[[#This Row],[ECL_Interest (THB)]], Port[[#This Row],[ECL CBIRC (THB)]])</f>
        <v>142596.62574953487</v>
      </c>
    </row>
    <row r="213" spans="1:44">
      <c r="A213" s="2" t="s">
        <v>973</v>
      </c>
      <c r="B213" s="2" t="s">
        <v>236</v>
      </c>
      <c r="C213" s="2" t="s">
        <v>171</v>
      </c>
      <c r="D213" s="2" t="s">
        <v>25</v>
      </c>
      <c r="E213" s="2" t="s">
        <v>172</v>
      </c>
      <c r="F213" s="2" t="s">
        <v>173</v>
      </c>
      <c r="G213" s="2" t="s">
        <v>57</v>
      </c>
      <c r="H213">
        <v>1</v>
      </c>
      <c r="I213" s="2" t="s">
        <v>526</v>
      </c>
      <c r="J213" s="505">
        <v>9.0832004774658653E-4</v>
      </c>
      <c r="K213" s="505">
        <v>0.9</v>
      </c>
      <c r="L213" s="3">
        <v>0.15684552284455039</v>
      </c>
      <c r="M213" s="3">
        <v>5.2488000000000001</v>
      </c>
      <c r="N213" s="507">
        <v>38211600</v>
      </c>
      <c r="O213" s="507">
        <v>0</v>
      </c>
      <c r="P213" s="507">
        <v>38211600</v>
      </c>
      <c r="Q213" s="507">
        <v>1326.770438</v>
      </c>
      <c r="R213" s="507">
        <v>31237.526102826119</v>
      </c>
      <c r="S213" s="507">
        <v>0</v>
      </c>
      <c r="T213" s="507">
        <v>31237.526102826119</v>
      </c>
      <c r="U213" s="507">
        <v>1.0846189688336276</v>
      </c>
      <c r="V213" s="507">
        <f>Port[[#This Row],[EAD_Drawn (CNY)]]*Port[[#This Row],[CNY -&gt; FCY]]</f>
        <v>5993318.3807268217</v>
      </c>
      <c r="W213" s="507">
        <f>Port[[#This Row],[EAD_Undrawn (CNY)]]*Port[[#This Row],[CNY -&gt; FCY]]</f>
        <v>0</v>
      </c>
      <c r="X213" s="507">
        <f>Port[[#This Row],[EAD (CNY)]]*Port[[#This Row],[CNY -&gt; FCY]]</f>
        <v>5993318.3807268217</v>
      </c>
      <c r="Y213" s="507">
        <f>Port[[#This Row],[EAD_Interest (CNY)]]*Port[[#This Row],[CNY -&gt; FCY]]</f>
        <v>208.09800304280313</v>
      </c>
      <c r="Z213" s="507">
        <f>Port[[#This Row],[ECL_Drawn (CNY)]]*Port[[#This Row],[CNY -&gt; FCY]]</f>
        <v>4899.4661139680529</v>
      </c>
      <c r="AA213" s="507">
        <f>Port[[#This Row],[ECL_Undrawn (CNY)]]*Port[[#This Row],[CNY -&gt; FCY]]</f>
        <v>0</v>
      </c>
      <c r="AB213" s="507">
        <f>Port[[#This Row],[ECL (CNY)]]*Port[[#This Row],[CNY -&gt; FCY]]</f>
        <v>4899.4661139680529</v>
      </c>
      <c r="AC213" s="507">
        <f>Port[[#This Row],[ECL_Interest (CNY)]]*Port[[#This Row],[CNY -&gt; FCY]]</f>
        <v>0.17011762925382742</v>
      </c>
      <c r="AD213" s="507">
        <f>Port[[#This Row],[EAD_Drawn (CNY)]]*Port[[#This Row],[CNY -&gt; THB]]</f>
        <v>200565046.08000001</v>
      </c>
      <c r="AE213" s="507">
        <f>Port[[#This Row],[EAD_Undrawn (CNY)]]*Port[[#This Row],[CNY -&gt; THB]]</f>
        <v>0</v>
      </c>
      <c r="AF213" s="507">
        <f>Port[[#This Row],[EAD (CNY)]]*Port[[#This Row],[CNY -&gt; THB]]</f>
        <v>200565046.08000001</v>
      </c>
      <c r="AG213" s="507">
        <f>Port[[#This Row],[EAD_Interest (CNY)]]*Port[[#This Row],[CNY -&gt; THB]]</f>
        <v>6963.9526749744</v>
      </c>
      <c r="AH213" s="507">
        <f>Port[[#This Row],[ECL_Drawn (CNY)]]*Port[[#This Row],[CNY -&gt; THB]]</f>
        <v>163959.52700851375</v>
      </c>
      <c r="AI213" s="507">
        <f>Port[[#This Row],[ECL_Undrawn (CNY)]]*Port[[#This Row],[CNY -&gt; THB]]</f>
        <v>0</v>
      </c>
      <c r="AJ213" s="507">
        <f>Port[[#This Row],[ECL (CNY)]]*Port[[#This Row],[CNY -&gt; THB]]</f>
        <v>163959.52700851375</v>
      </c>
      <c r="AK213" s="507">
        <f>Port[[#This Row],[ECL_Interest (CNY)]]*Port[[#This Row],[CNY -&gt; THB]]</f>
        <v>5.6929480436139448</v>
      </c>
      <c r="AL213" s="507">
        <f>Port[[#This Row],[EAD (THB)]]*Port[[#This Row],[PD_avg]]</f>
        <v>182177.25223168195</v>
      </c>
      <c r="AM213" s="507">
        <f>Port[[#This Row],[EAD_Interest (THB)]]*Port[[#This Row],[PD_avg]]</f>
        <v>6.3254978262377159</v>
      </c>
      <c r="AN213" s="507">
        <f>Port[[#This Row],[EAD (THB)]]*Port[[#This Row],[LGD_avg]]</f>
        <v>180508541.472</v>
      </c>
      <c r="AO213" s="507">
        <f>Port[[#This Row],[EAD_Interest (THB)]]*Port[[#This Row],[LGD_avg]]</f>
        <v>6267.5574074769602</v>
      </c>
      <c r="AP213" s="507">
        <f>Port[[#This Row],[EAD_Drawn (THB)]]+Port[[#This Row],[EAD_Interest (THB)]]</f>
        <v>200572010.032675</v>
      </c>
      <c r="AQ2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163965.21995655735</v>
      </c>
      <c r="AR213" s="522">
        <f>MAX(Port[[#This Row],[ECL (THB)]]+Port[[#This Row],[ECL_Interest (THB)]], Port[[#This Row],[ECL CBIRC (THB)]])</f>
        <v>163965.21995655735</v>
      </c>
    </row>
    <row r="214" spans="1:44">
      <c r="A214" s="2" t="s">
        <v>974</v>
      </c>
      <c r="B214" s="2" t="s">
        <v>975</v>
      </c>
      <c r="C214" s="2" t="s">
        <v>175</v>
      </c>
      <c r="D214" s="2" t="s">
        <v>25</v>
      </c>
      <c r="E214" s="2" t="s">
        <v>172</v>
      </c>
      <c r="F214" s="2" t="s">
        <v>173</v>
      </c>
      <c r="G214" s="2" t="s">
        <v>21</v>
      </c>
      <c r="H214">
        <v>1</v>
      </c>
      <c r="I214" s="2" t="s">
        <v>526</v>
      </c>
      <c r="J214" s="505">
        <v>9.0832004774658653E-4</v>
      </c>
      <c r="K214" s="505">
        <v>0.8999999999999998</v>
      </c>
      <c r="L214" s="3">
        <v>1</v>
      </c>
      <c r="M214" s="3">
        <v>5.2488000000000001</v>
      </c>
      <c r="N214" s="507">
        <v>60000000</v>
      </c>
      <c r="O214" s="507">
        <v>0</v>
      </c>
      <c r="P214" s="507">
        <v>60000000</v>
      </c>
      <c r="Q214" s="507">
        <v>2963.33</v>
      </c>
      <c r="R214" s="507">
        <v>49049.282578315666</v>
      </c>
      <c r="S214" s="507">
        <v>0</v>
      </c>
      <c r="T214" s="507">
        <v>49049.282578315666</v>
      </c>
      <c r="U214" s="507">
        <v>2.4224868423800023</v>
      </c>
      <c r="V214" s="507">
        <f>Port[[#This Row],[EAD_Drawn (CNY)]]*Port[[#This Row],[CNY -&gt; FCY]]</f>
        <v>60000000</v>
      </c>
      <c r="W214" s="507">
        <f>Port[[#This Row],[EAD_Undrawn (CNY)]]*Port[[#This Row],[CNY -&gt; FCY]]</f>
        <v>0</v>
      </c>
      <c r="X214" s="507">
        <f>Port[[#This Row],[EAD (CNY)]]*Port[[#This Row],[CNY -&gt; FCY]]</f>
        <v>60000000</v>
      </c>
      <c r="Y214" s="507">
        <f>Port[[#This Row],[EAD_Interest (CNY)]]*Port[[#This Row],[CNY -&gt; FCY]]</f>
        <v>2963.33</v>
      </c>
      <c r="Z214" s="507">
        <f>Port[[#This Row],[ECL_Drawn (CNY)]]*Port[[#This Row],[CNY -&gt; FCY]]</f>
        <v>49049.282578315666</v>
      </c>
      <c r="AA214" s="507">
        <f>Port[[#This Row],[ECL_Undrawn (CNY)]]*Port[[#This Row],[CNY -&gt; FCY]]</f>
        <v>0</v>
      </c>
      <c r="AB214" s="507">
        <f>Port[[#This Row],[ECL (CNY)]]*Port[[#This Row],[CNY -&gt; FCY]]</f>
        <v>49049.282578315666</v>
      </c>
      <c r="AC214" s="507">
        <f>Port[[#This Row],[ECL_Interest (CNY)]]*Port[[#This Row],[CNY -&gt; FCY]]</f>
        <v>2.4224868423800023</v>
      </c>
      <c r="AD214" s="507">
        <f>Port[[#This Row],[EAD_Drawn (CNY)]]*Port[[#This Row],[CNY -&gt; THB]]</f>
        <v>314928000</v>
      </c>
      <c r="AE214" s="507">
        <f>Port[[#This Row],[EAD_Undrawn (CNY)]]*Port[[#This Row],[CNY -&gt; THB]]</f>
        <v>0</v>
      </c>
      <c r="AF214" s="507">
        <f>Port[[#This Row],[EAD (CNY)]]*Port[[#This Row],[CNY -&gt; THB]]</f>
        <v>314928000</v>
      </c>
      <c r="AG214" s="507">
        <f>Port[[#This Row],[EAD_Interest (CNY)]]*Port[[#This Row],[CNY -&gt; THB]]</f>
        <v>15553.926503999999</v>
      </c>
      <c r="AH214" s="507">
        <f>Port[[#This Row],[ECL_Drawn (CNY)]]*Port[[#This Row],[CNY -&gt; THB]]</f>
        <v>257449.87439706328</v>
      </c>
      <c r="AI214" s="507">
        <f>Port[[#This Row],[ECL_Undrawn (CNY)]]*Port[[#This Row],[CNY -&gt; THB]]</f>
        <v>0</v>
      </c>
      <c r="AJ214" s="507">
        <f>Port[[#This Row],[ECL (CNY)]]*Port[[#This Row],[CNY -&gt; THB]]</f>
        <v>257449.87439706328</v>
      </c>
      <c r="AK214" s="507">
        <f>Port[[#This Row],[ECL_Interest (CNY)]]*Port[[#This Row],[CNY -&gt; THB]]</f>
        <v>12.715148938284157</v>
      </c>
      <c r="AL214" s="507">
        <f>Port[[#This Row],[EAD (THB)]]*Port[[#This Row],[PD_avg]]</f>
        <v>286055.41599673702</v>
      </c>
      <c r="AM214" s="507">
        <f>Port[[#This Row],[EAD_Interest (THB)]]*Port[[#This Row],[PD_avg]]</f>
        <v>14.127943264760177</v>
      </c>
      <c r="AN214" s="507">
        <f>Port[[#This Row],[EAD (THB)]]*Port[[#This Row],[LGD_avg]]</f>
        <v>283435199.99999994</v>
      </c>
      <c r="AO214" s="507">
        <f>Port[[#This Row],[EAD_Interest (THB)]]*Port[[#This Row],[LGD_avg]]</f>
        <v>13998.533853599996</v>
      </c>
      <c r="AP214" s="507">
        <f>Port[[#This Row],[EAD_Drawn (THB)]]+Port[[#This Row],[EAD_Interest (THB)]]</f>
        <v>314943553.92650402</v>
      </c>
      <c r="AQ2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257462.58954600157</v>
      </c>
      <c r="AR214" s="522">
        <f>MAX(Port[[#This Row],[ECL (THB)]]+Port[[#This Row],[ECL_Interest (THB)]], Port[[#This Row],[ECL CBIRC (THB)]])</f>
        <v>257462.58954600157</v>
      </c>
    </row>
    <row r="215" spans="1:44">
      <c r="A215" s="2" t="s">
        <v>174</v>
      </c>
      <c r="B215" s="2" t="s">
        <v>176</v>
      </c>
      <c r="C215" s="2" t="s">
        <v>175</v>
      </c>
      <c r="D215" s="2" t="s">
        <v>25</v>
      </c>
      <c r="E215" s="2" t="s">
        <v>172</v>
      </c>
      <c r="F215" s="2" t="s">
        <v>173</v>
      </c>
      <c r="G215" s="2" t="s">
        <v>21</v>
      </c>
      <c r="H215">
        <v>1</v>
      </c>
      <c r="I215" s="2" t="s">
        <v>526</v>
      </c>
      <c r="J215" s="505">
        <v>5.2260409683794924E-3</v>
      </c>
      <c r="K215" s="505">
        <v>0.89999999999999991</v>
      </c>
      <c r="L215" s="3">
        <v>1</v>
      </c>
      <c r="M215" s="3">
        <v>5.2488000000000001</v>
      </c>
      <c r="N215" s="507">
        <v>100000000</v>
      </c>
      <c r="O215" s="507">
        <v>0</v>
      </c>
      <c r="P215" s="507">
        <v>100000000</v>
      </c>
      <c r="Q215" s="507">
        <v>0</v>
      </c>
      <c r="R215" s="507">
        <v>470343.68715415429</v>
      </c>
      <c r="S215" s="507">
        <v>0</v>
      </c>
      <c r="T215" s="507">
        <v>470343.68715415429</v>
      </c>
      <c r="U215" s="507">
        <v>0</v>
      </c>
      <c r="V215" s="507">
        <f>Port[[#This Row],[EAD_Drawn (CNY)]]*Port[[#This Row],[CNY -&gt; FCY]]</f>
        <v>100000000</v>
      </c>
      <c r="W215" s="507">
        <f>Port[[#This Row],[EAD_Undrawn (CNY)]]*Port[[#This Row],[CNY -&gt; FCY]]</f>
        <v>0</v>
      </c>
      <c r="X215" s="507">
        <f>Port[[#This Row],[EAD (CNY)]]*Port[[#This Row],[CNY -&gt; FCY]]</f>
        <v>100000000</v>
      </c>
      <c r="Y215" s="507">
        <f>Port[[#This Row],[EAD_Interest (CNY)]]*Port[[#This Row],[CNY -&gt; FCY]]</f>
        <v>0</v>
      </c>
      <c r="Z215" s="507">
        <f>Port[[#This Row],[ECL_Drawn (CNY)]]*Port[[#This Row],[CNY -&gt; FCY]]</f>
        <v>470343.68715415429</v>
      </c>
      <c r="AA215" s="507">
        <f>Port[[#This Row],[ECL_Undrawn (CNY)]]*Port[[#This Row],[CNY -&gt; FCY]]</f>
        <v>0</v>
      </c>
      <c r="AB215" s="507">
        <f>Port[[#This Row],[ECL (CNY)]]*Port[[#This Row],[CNY -&gt; FCY]]</f>
        <v>470343.68715415429</v>
      </c>
      <c r="AC215" s="507">
        <f>Port[[#This Row],[ECL_Interest (CNY)]]*Port[[#This Row],[CNY -&gt; FCY]]</f>
        <v>0</v>
      </c>
      <c r="AD215" s="507">
        <f>Port[[#This Row],[EAD_Drawn (CNY)]]*Port[[#This Row],[CNY -&gt; THB]]</f>
        <v>524880000</v>
      </c>
      <c r="AE215" s="507">
        <f>Port[[#This Row],[EAD_Undrawn (CNY)]]*Port[[#This Row],[CNY -&gt; THB]]</f>
        <v>0</v>
      </c>
      <c r="AF215" s="507">
        <f>Port[[#This Row],[EAD (CNY)]]*Port[[#This Row],[CNY -&gt; THB]]</f>
        <v>524880000</v>
      </c>
      <c r="AG215" s="507">
        <f>Port[[#This Row],[EAD_Interest (CNY)]]*Port[[#This Row],[CNY -&gt; THB]]</f>
        <v>0</v>
      </c>
      <c r="AH215" s="507">
        <f>Port[[#This Row],[ECL_Drawn (CNY)]]*Port[[#This Row],[CNY -&gt; THB]]</f>
        <v>2468739.945134725</v>
      </c>
      <c r="AI215" s="507">
        <f>Port[[#This Row],[ECL_Undrawn (CNY)]]*Port[[#This Row],[CNY -&gt; THB]]</f>
        <v>0</v>
      </c>
      <c r="AJ215" s="507">
        <f>Port[[#This Row],[ECL (CNY)]]*Port[[#This Row],[CNY -&gt; THB]]</f>
        <v>2468739.945134725</v>
      </c>
      <c r="AK215" s="507">
        <f>Port[[#This Row],[ECL_Interest (CNY)]]*Port[[#This Row],[CNY -&gt; THB]]</f>
        <v>0</v>
      </c>
      <c r="AL215" s="507">
        <f>Port[[#This Row],[EAD (THB)]]*Port[[#This Row],[PD_avg]]</f>
        <v>2743044.383483028</v>
      </c>
      <c r="AM215" s="507">
        <f>Port[[#This Row],[EAD_Interest (THB)]]*Port[[#This Row],[PD_avg]]</f>
        <v>0</v>
      </c>
      <c r="AN215" s="507">
        <f>Port[[#This Row],[EAD (THB)]]*Port[[#This Row],[LGD_avg]]</f>
        <v>472391999.99999994</v>
      </c>
      <c r="AO215" s="507">
        <f>Port[[#This Row],[EAD_Interest (THB)]]*Port[[#This Row],[LGD_avg]]</f>
        <v>0</v>
      </c>
      <c r="AP215" s="507">
        <f>Port[[#This Row],[EAD_Drawn (THB)]]+Port[[#This Row],[EAD_Interest (THB)]]</f>
        <v>524880000</v>
      </c>
      <c r="AQ2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2468739.945134725</v>
      </c>
      <c r="AR215" s="522">
        <f>MAX(Port[[#This Row],[ECL (THB)]]+Port[[#This Row],[ECL_Interest (THB)]], Port[[#This Row],[ECL CBIRC (THB)]])</f>
        <v>2468739.945134725</v>
      </c>
    </row>
    <row r="216" spans="1:44">
      <c r="A216" s="2" t="s">
        <v>182</v>
      </c>
      <c r="B216" s="2" t="s">
        <v>183</v>
      </c>
      <c r="C216" s="2" t="s">
        <v>175</v>
      </c>
      <c r="D216" s="2" t="s">
        <v>25</v>
      </c>
      <c r="E216" s="2" t="s">
        <v>172</v>
      </c>
      <c r="F216" s="2" t="s">
        <v>173</v>
      </c>
      <c r="G216" s="2" t="s">
        <v>21</v>
      </c>
      <c r="H216">
        <v>1</v>
      </c>
      <c r="I216" s="2" t="s">
        <v>526</v>
      </c>
      <c r="J216" s="505">
        <v>2.0514833509807026E-2</v>
      </c>
      <c r="K216" s="505">
        <v>0.89999999999999991</v>
      </c>
      <c r="L216" s="3">
        <v>1</v>
      </c>
      <c r="M216" s="3">
        <v>5.2488000000000001</v>
      </c>
      <c r="N216" s="507">
        <v>42860000</v>
      </c>
      <c r="O216" s="507">
        <v>0</v>
      </c>
      <c r="P216" s="507">
        <v>42860000</v>
      </c>
      <c r="Q216" s="507">
        <v>310020.67</v>
      </c>
      <c r="R216" s="507">
        <v>791339.18780729617</v>
      </c>
      <c r="S216" s="507">
        <v>0</v>
      </c>
      <c r="T216" s="507">
        <v>791339.18780729617</v>
      </c>
      <c r="U216" s="507">
        <v>5724.0201866839434</v>
      </c>
      <c r="V216" s="507">
        <f>Port[[#This Row],[EAD_Drawn (CNY)]]*Port[[#This Row],[CNY -&gt; FCY]]</f>
        <v>42860000</v>
      </c>
      <c r="W216" s="507">
        <f>Port[[#This Row],[EAD_Undrawn (CNY)]]*Port[[#This Row],[CNY -&gt; FCY]]</f>
        <v>0</v>
      </c>
      <c r="X216" s="507">
        <f>Port[[#This Row],[EAD (CNY)]]*Port[[#This Row],[CNY -&gt; FCY]]</f>
        <v>42860000</v>
      </c>
      <c r="Y216" s="507">
        <f>Port[[#This Row],[EAD_Interest (CNY)]]*Port[[#This Row],[CNY -&gt; FCY]]</f>
        <v>310020.67</v>
      </c>
      <c r="Z216" s="507">
        <f>Port[[#This Row],[ECL_Drawn (CNY)]]*Port[[#This Row],[CNY -&gt; FCY]]</f>
        <v>791339.18780729617</v>
      </c>
      <c r="AA216" s="507">
        <f>Port[[#This Row],[ECL_Undrawn (CNY)]]*Port[[#This Row],[CNY -&gt; FCY]]</f>
        <v>0</v>
      </c>
      <c r="AB216" s="507">
        <f>Port[[#This Row],[ECL (CNY)]]*Port[[#This Row],[CNY -&gt; FCY]]</f>
        <v>791339.18780729617</v>
      </c>
      <c r="AC216" s="507">
        <f>Port[[#This Row],[ECL_Interest (CNY)]]*Port[[#This Row],[CNY -&gt; FCY]]</f>
        <v>5724.0201866839434</v>
      </c>
      <c r="AD216" s="507">
        <f>Port[[#This Row],[EAD_Drawn (CNY)]]*Port[[#This Row],[CNY -&gt; THB]]</f>
        <v>224963568</v>
      </c>
      <c r="AE216" s="507">
        <f>Port[[#This Row],[EAD_Undrawn (CNY)]]*Port[[#This Row],[CNY -&gt; THB]]</f>
        <v>0</v>
      </c>
      <c r="AF216" s="507">
        <f>Port[[#This Row],[EAD (CNY)]]*Port[[#This Row],[CNY -&gt; THB]]</f>
        <v>224963568</v>
      </c>
      <c r="AG216" s="507">
        <f>Port[[#This Row],[EAD_Interest (CNY)]]*Port[[#This Row],[CNY -&gt; THB]]</f>
        <v>1627236.492696</v>
      </c>
      <c r="AH216" s="507">
        <f>Port[[#This Row],[ECL_Drawn (CNY)]]*Port[[#This Row],[CNY -&gt; THB]]</f>
        <v>4153581.1289629363</v>
      </c>
      <c r="AI216" s="507">
        <f>Port[[#This Row],[ECL_Undrawn (CNY)]]*Port[[#This Row],[CNY -&gt; THB]]</f>
        <v>0</v>
      </c>
      <c r="AJ216" s="507">
        <f>Port[[#This Row],[ECL (CNY)]]*Port[[#This Row],[CNY -&gt; THB]]</f>
        <v>4153581.1289629363</v>
      </c>
      <c r="AK216" s="507">
        <f>Port[[#This Row],[ECL_Interest (CNY)]]*Port[[#This Row],[CNY -&gt; THB]]</f>
        <v>30044.237155866682</v>
      </c>
      <c r="AL216" s="507">
        <f>Port[[#This Row],[EAD (THB)]]*Port[[#This Row],[PD_avg]]</f>
        <v>4615090.1432921514</v>
      </c>
      <c r="AM216" s="507">
        <f>Port[[#This Row],[EAD_Interest (THB)]]*Port[[#This Row],[PD_avg]]</f>
        <v>33382.485728740758</v>
      </c>
      <c r="AN216" s="507">
        <f>Port[[#This Row],[EAD (THB)]]*Port[[#This Row],[LGD_avg]]</f>
        <v>202467211.19999999</v>
      </c>
      <c r="AO216" s="507">
        <f>Port[[#This Row],[EAD_Interest (THB)]]*Port[[#This Row],[LGD_avg]]</f>
        <v>1464512.8434263999</v>
      </c>
      <c r="AP216" s="507">
        <f>Port[[#This Row],[EAD_Drawn (THB)]]+Port[[#This Row],[EAD_Interest (THB)]]</f>
        <v>226590804.49269599</v>
      </c>
      <c r="AQ2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4183625.3661188032</v>
      </c>
      <c r="AR216" s="522">
        <f>MAX(Port[[#This Row],[ECL (THB)]]+Port[[#This Row],[ECL_Interest (THB)]], Port[[#This Row],[ECL CBIRC (THB)]])</f>
        <v>4183625.3661188032</v>
      </c>
    </row>
    <row r="217" spans="1:44">
      <c r="A217" s="2" t="s">
        <v>184</v>
      </c>
      <c r="B217" s="2" t="s">
        <v>185</v>
      </c>
      <c r="C217" s="2" t="s">
        <v>175</v>
      </c>
      <c r="D217" s="2" t="s">
        <v>25</v>
      </c>
      <c r="E217" s="2" t="s">
        <v>172</v>
      </c>
      <c r="F217" s="2" t="s">
        <v>173</v>
      </c>
      <c r="G217" s="2" t="s">
        <v>21</v>
      </c>
      <c r="H217">
        <v>1</v>
      </c>
      <c r="I217" s="2" t="s">
        <v>526</v>
      </c>
      <c r="J217" s="505">
        <v>9.0832004774658653E-4</v>
      </c>
      <c r="K217" s="505">
        <v>0.8999999999999998</v>
      </c>
      <c r="L217" s="3">
        <v>1</v>
      </c>
      <c r="M217" s="3">
        <v>5.2488000000000001</v>
      </c>
      <c r="N217" s="507">
        <v>120000000</v>
      </c>
      <c r="O217" s="507">
        <v>0</v>
      </c>
      <c r="P217" s="507">
        <v>120000000</v>
      </c>
      <c r="Q217" s="507">
        <v>92166.67</v>
      </c>
      <c r="R217" s="507">
        <v>98098.565156631332</v>
      </c>
      <c r="S217" s="507">
        <v>0</v>
      </c>
      <c r="T217" s="507">
        <v>98098.565156631332</v>
      </c>
      <c r="U217" s="507">
        <v>75.345150685539494</v>
      </c>
      <c r="V217" s="507">
        <f>Port[[#This Row],[EAD_Drawn (CNY)]]*Port[[#This Row],[CNY -&gt; FCY]]</f>
        <v>120000000</v>
      </c>
      <c r="W217" s="507">
        <f>Port[[#This Row],[EAD_Undrawn (CNY)]]*Port[[#This Row],[CNY -&gt; FCY]]</f>
        <v>0</v>
      </c>
      <c r="X217" s="507">
        <f>Port[[#This Row],[EAD (CNY)]]*Port[[#This Row],[CNY -&gt; FCY]]</f>
        <v>120000000</v>
      </c>
      <c r="Y217" s="507">
        <f>Port[[#This Row],[EAD_Interest (CNY)]]*Port[[#This Row],[CNY -&gt; FCY]]</f>
        <v>92166.67</v>
      </c>
      <c r="Z217" s="507">
        <f>Port[[#This Row],[ECL_Drawn (CNY)]]*Port[[#This Row],[CNY -&gt; FCY]]</f>
        <v>98098.565156631332</v>
      </c>
      <c r="AA217" s="507">
        <f>Port[[#This Row],[ECL_Undrawn (CNY)]]*Port[[#This Row],[CNY -&gt; FCY]]</f>
        <v>0</v>
      </c>
      <c r="AB217" s="507">
        <f>Port[[#This Row],[ECL (CNY)]]*Port[[#This Row],[CNY -&gt; FCY]]</f>
        <v>98098.565156631332</v>
      </c>
      <c r="AC217" s="507">
        <f>Port[[#This Row],[ECL_Interest (CNY)]]*Port[[#This Row],[CNY -&gt; FCY]]</f>
        <v>75.345150685539494</v>
      </c>
      <c r="AD217" s="507">
        <f>Port[[#This Row],[EAD_Drawn (CNY)]]*Port[[#This Row],[CNY -&gt; THB]]</f>
        <v>629856000</v>
      </c>
      <c r="AE217" s="507">
        <f>Port[[#This Row],[EAD_Undrawn (CNY)]]*Port[[#This Row],[CNY -&gt; THB]]</f>
        <v>0</v>
      </c>
      <c r="AF217" s="507">
        <f>Port[[#This Row],[EAD (CNY)]]*Port[[#This Row],[CNY -&gt; THB]]</f>
        <v>629856000</v>
      </c>
      <c r="AG217" s="507">
        <f>Port[[#This Row],[EAD_Interest (CNY)]]*Port[[#This Row],[CNY -&gt; THB]]</f>
        <v>483764.41749600001</v>
      </c>
      <c r="AH217" s="507">
        <f>Port[[#This Row],[ECL_Drawn (CNY)]]*Port[[#This Row],[CNY -&gt; THB]]</f>
        <v>514899.74879412656</v>
      </c>
      <c r="AI217" s="507">
        <f>Port[[#This Row],[ECL_Undrawn (CNY)]]*Port[[#This Row],[CNY -&gt; THB]]</f>
        <v>0</v>
      </c>
      <c r="AJ217" s="507">
        <f>Port[[#This Row],[ECL (CNY)]]*Port[[#This Row],[CNY -&gt; THB]]</f>
        <v>514899.74879412656</v>
      </c>
      <c r="AK217" s="507">
        <f>Port[[#This Row],[ECL_Interest (CNY)]]*Port[[#This Row],[CNY -&gt; THB]]</f>
        <v>395.47162691825969</v>
      </c>
      <c r="AL217" s="507">
        <f>Port[[#This Row],[EAD (THB)]]*Port[[#This Row],[PD_avg]]</f>
        <v>572110.83199347404</v>
      </c>
      <c r="AM217" s="507">
        <f>Port[[#This Row],[EAD_Interest (THB)]]*Port[[#This Row],[PD_avg]]</f>
        <v>439.41291879806636</v>
      </c>
      <c r="AN217" s="507">
        <f>Port[[#This Row],[EAD (THB)]]*Port[[#This Row],[LGD_avg]]</f>
        <v>566870399.99999988</v>
      </c>
      <c r="AO217" s="507">
        <f>Port[[#This Row],[EAD_Interest (THB)]]*Port[[#This Row],[LGD_avg]]</f>
        <v>435387.9757463999</v>
      </c>
      <c r="AP217" s="507">
        <f>Port[[#This Row],[EAD_Drawn (THB)]]+Port[[#This Row],[EAD_Interest (THB)]]</f>
        <v>630339764.41749597</v>
      </c>
      <c r="AQ2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515295.2204210448</v>
      </c>
      <c r="AR217" s="522">
        <f>MAX(Port[[#This Row],[ECL (THB)]]+Port[[#This Row],[ECL_Interest (THB)]], Port[[#This Row],[ECL CBIRC (THB)]])</f>
        <v>515295.2204210448</v>
      </c>
    </row>
    <row r="218" spans="1:44">
      <c r="A218" s="2" t="s">
        <v>186</v>
      </c>
      <c r="B218" s="2" t="s">
        <v>187</v>
      </c>
      <c r="C218" s="2" t="s">
        <v>175</v>
      </c>
      <c r="D218" s="2" t="s">
        <v>25</v>
      </c>
      <c r="E218" s="2" t="s">
        <v>172</v>
      </c>
      <c r="F218" s="2" t="s">
        <v>173</v>
      </c>
      <c r="G218" s="2" t="s">
        <v>21</v>
      </c>
      <c r="H218">
        <v>1</v>
      </c>
      <c r="I218" s="2" t="s">
        <v>526</v>
      </c>
      <c r="J218" s="505">
        <v>1.3043899345507868E-2</v>
      </c>
      <c r="K218" s="505">
        <v>0.90000000000000024</v>
      </c>
      <c r="L218" s="3">
        <v>1</v>
      </c>
      <c r="M218" s="3">
        <v>5.2488000000000001</v>
      </c>
      <c r="N218" s="507">
        <v>100000000</v>
      </c>
      <c r="O218" s="507">
        <v>0</v>
      </c>
      <c r="P218" s="507">
        <v>100000000</v>
      </c>
      <c r="Q218" s="507">
        <v>87500</v>
      </c>
      <c r="R218" s="507">
        <v>1173950.9410957084</v>
      </c>
      <c r="S218" s="507">
        <v>0</v>
      </c>
      <c r="T218" s="507">
        <v>1173950.9410957084</v>
      </c>
      <c r="U218" s="507">
        <v>1027.2070734587446</v>
      </c>
      <c r="V218" s="507">
        <f>Port[[#This Row],[EAD_Drawn (CNY)]]*Port[[#This Row],[CNY -&gt; FCY]]</f>
        <v>100000000</v>
      </c>
      <c r="W218" s="507">
        <f>Port[[#This Row],[EAD_Undrawn (CNY)]]*Port[[#This Row],[CNY -&gt; FCY]]</f>
        <v>0</v>
      </c>
      <c r="X218" s="507">
        <f>Port[[#This Row],[EAD (CNY)]]*Port[[#This Row],[CNY -&gt; FCY]]</f>
        <v>100000000</v>
      </c>
      <c r="Y218" s="507">
        <f>Port[[#This Row],[EAD_Interest (CNY)]]*Port[[#This Row],[CNY -&gt; FCY]]</f>
        <v>87500</v>
      </c>
      <c r="Z218" s="507">
        <f>Port[[#This Row],[ECL_Drawn (CNY)]]*Port[[#This Row],[CNY -&gt; FCY]]</f>
        <v>1173950.9410957084</v>
      </c>
      <c r="AA218" s="507">
        <f>Port[[#This Row],[ECL_Undrawn (CNY)]]*Port[[#This Row],[CNY -&gt; FCY]]</f>
        <v>0</v>
      </c>
      <c r="AB218" s="507">
        <f>Port[[#This Row],[ECL (CNY)]]*Port[[#This Row],[CNY -&gt; FCY]]</f>
        <v>1173950.9410957084</v>
      </c>
      <c r="AC218" s="507">
        <f>Port[[#This Row],[ECL_Interest (CNY)]]*Port[[#This Row],[CNY -&gt; FCY]]</f>
        <v>1027.2070734587446</v>
      </c>
      <c r="AD218" s="507">
        <f>Port[[#This Row],[EAD_Drawn (CNY)]]*Port[[#This Row],[CNY -&gt; THB]]</f>
        <v>524880000</v>
      </c>
      <c r="AE218" s="507">
        <f>Port[[#This Row],[EAD_Undrawn (CNY)]]*Port[[#This Row],[CNY -&gt; THB]]</f>
        <v>0</v>
      </c>
      <c r="AF218" s="507">
        <f>Port[[#This Row],[EAD (CNY)]]*Port[[#This Row],[CNY -&gt; THB]]</f>
        <v>524880000</v>
      </c>
      <c r="AG218" s="507">
        <f>Port[[#This Row],[EAD_Interest (CNY)]]*Port[[#This Row],[CNY -&gt; THB]]</f>
        <v>459270</v>
      </c>
      <c r="AH218" s="507">
        <f>Port[[#This Row],[ECL_Drawn (CNY)]]*Port[[#This Row],[CNY -&gt; THB]]</f>
        <v>6161833.6996231545</v>
      </c>
      <c r="AI218" s="507">
        <f>Port[[#This Row],[ECL_Undrawn (CNY)]]*Port[[#This Row],[CNY -&gt; THB]]</f>
        <v>0</v>
      </c>
      <c r="AJ218" s="507">
        <f>Port[[#This Row],[ECL (CNY)]]*Port[[#This Row],[CNY -&gt; THB]]</f>
        <v>6161833.6996231545</v>
      </c>
      <c r="AK218" s="507">
        <f>Port[[#This Row],[ECL_Interest (CNY)]]*Port[[#This Row],[CNY -&gt; THB]]</f>
        <v>5391.6044871702588</v>
      </c>
      <c r="AL218" s="507">
        <f>Port[[#This Row],[EAD (THB)]]*Port[[#This Row],[PD_avg]]</f>
        <v>6846481.8884701701</v>
      </c>
      <c r="AM218" s="507">
        <f>Port[[#This Row],[EAD_Interest (THB)]]*Port[[#This Row],[PD_avg]]</f>
        <v>5990.671652411399</v>
      </c>
      <c r="AN218" s="507">
        <f>Port[[#This Row],[EAD (THB)]]*Port[[#This Row],[LGD_avg]]</f>
        <v>472392000.00000012</v>
      </c>
      <c r="AO218" s="507">
        <f>Port[[#This Row],[EAD_Interest (THB)]]*Port[[#This Row],[LGD_avg]]</f>
        <v>413343.00000000012</v>
      </c>
      <c r="AP218" s="507">
        <f>Port[[#This Row],[EAD_Drawn (THB)]]+Port[[#This Row],[EAD_Interest (THB)]]</f>
        <v>525339270</v>
      </c>
      <c r="AQ2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6167225.3041103249</v>
      </c>
      <c r="AR218" s="522">
        <f>MAX(Port[[#This Row],[ECL (THB)]]+Port[[#This Row],[ECL_Interest (THB)]], Port[[#This Row],[ECL CBIRC (THB)]])</f>
        <v>6167225.3041103249</v>
      </c>
    </row>
    <row r="219" spans="1:44">
      <c r="A219" s="2" t="s">
        <v>189</v>
      </c>
      <c r="B219" s="2" t="s">
        <v>190</v>
      </c>
      <c r="C219" s="2" t="s">
        <v>175</v>
      </c>
      <c r="D219" s="2" t="s">
        <v>25</v>
      </c>
      <c r="E219" s="2" t="s">
        <v>172</v>
      </c>
      <c r="F219" s="2" t="s">
        <v>173</v>
      </c>
      <c r="G219" s="2" t="s">
        <v>21</v>
      </c>
      <c r="H219">
        <v>1</v>
      </c>
      <c r="I219" s="2" t="s">
        <v>526</v>
      </c>
      <c r="J219" s="505">
        <v>3.0745295499522811E-2</v>
      </c>
      <c r="K219" s="505">
        <v>0.90000000000000013</v>
      </c>
      <c r="L219" s="3">
        <v>1</v>
      </c>
      <c r="M219" s="3">
        <v>5.2488000000000001</v>
      </c>
      <c r="N219" s="507">
        <v>9000000</v>
      </c>
      <c r="O219" s="507">
        <v>0</v>
      </c>
      <c r="P219" s="507">
        <v>9000000</v>
      </c>
      <c r="Q219" s="507">
        <v>0</v>
      </c>
      <c r="R219" s="507">
        <v>249036.89354613479</v>
      </c>
      <c r="S219" s="507">
        <v>0</v>
      </c>
      <c r="T219" s="507">
        <v>249036.89354613479</v>
      </c>
      <c r="U219" s="507">
        <v>0</v>
      </c>
      <c r="V219" s="507">
        <f>Port[[#This Row],[EAD_Drawn (CNY)]]*Port[[#This Row],[CNY -&gt; FCY]]</f>
        <v>9000000</v>
      </c>
      <c r="W219" s="507">
        <f>Port[[#This Row],[EAD_Undrawn (CNY)]]*Port[[#This Row],[CNY -&gt; FCY]]</f>
        <v>0</v>
      </c>
      <c r="X219" s="507">
        <f>Port[[#This Row],[EAD (CNY)]]*Port[[#This Row],[CNY -&gt; FCY]]</f>
        <v>9000000</v>
      </c>
      <c r="Y219" s="507">
        <f>Port[[#This Row],[EAD_Interest (CNY)]]*Port[[#This Row],[CNY -&gt; FCY]]</f>
        <v>0</v>
      </c>
      <c r="Z219" s="507">
        <f>Port[[#This Row],[ECL_Drawn (CNY)]]*Port[[#This Row],[CNY -&gt; FCY]]</f>
        <v>249036.89354613479</v>
      </c>
      <c r="AA219" s="507">
        <f>Port[[#This Row],[ECL_Undrawn (CNY)]]*Port[[#This Row],[CNY -&gt; FCY]]</f>
        <v>0</v>
      </c>
      <c r="AB219" s="507">
        <f>Port[[#This Row],[ECL (CNY)]]*Port[[#This Row],[CNY -&gt; FCY]]</f>
        <v>249036.89354613479</v>
      </c>
      <c r="AC219" s="507">
        <f>Port[[#This Row],[ECL_Interest (CNY)]]*Port[[#This Row],[CNY -&gt; FCY]]</f>
        <v>0</v>
      </c>
      <c r="AD219" s="507">
        <f>Port[[#This Row],[EAD_Drawn (CNY)]]*Port[[#This Row],[CNY -&gt; THB]]</f>
        <v>47239200</v>
      </c>
      <c r="AE219" s="507">
        <f>Port[[#This Row],[EAD_Undrawn (CNY)]]*Port[[#This Row],[CNY -&gt; THB]]</f>
        <v>0</v>
      </c>
      <c r="AF219" s="507">
        <f>Port[[#This Row],[EAD (CNY)]]*Port[[#This Row],[CNY -&gt; THB]]</f>
        <v>47239200</v>
      </c>
      <c r="AG219" s="507">
        <f>Port[[#This Row],[EAD_Interest (CNY)]]*Port[[#This Row],[CNY -&gt; THB]]</f>
        <v>0</v>
      </c>
      <c r="AH219" s="507">
        <f>Port[[#This Row],[ECL_Drawn (CNY)]]*Port[[#This Row],[CNY -&gt; THB]]</f>
        <v>1307144.8468449523</v>
      </c>
      <c r="AI219" s="507">
        <f>Port[[#This Row],[ECL_Undrawn (CNY)]]*Port[[#This Row],[CNY -&gt; THB]]</f>
        <v>0</v>
      </c>
      <c r="AJ219" s="507">
        <f>Port[[#This Row],[ECL (CNY)]]*Port[[#This Row],[CNY -&gt; THB]]</f>
        <v>1307144.8468449523</v>
      </c>
      <c r="AK219" s="507">
        <f>Port[[#This Row],[ECL_Interest (CNY)]]*Port[[#This Row],[CNY -&gt; THB]]</f>
        <v>0</v>
      </c>
      <c r="AL219" s="507">
        <f>Port[[#This Row],[EAD (THB)]]*Port[[#This Row],[PD_avg]]</f>
        <v>1452383.163161058</v>
      </c>
      <c r="AM219" s="507">
        <f>Port[[#This Row],[EAD_Interest (THB)]]*Port[[#This Row],[PD_avg]]</f>
        <v>0</v>
      </c>
      <c r="AN219" s="507">
        <f>Port[[#This Row],[EAD (THB)]]*Port[[#This Row],[LGD_avg]]</f>
        <v>42515280.000000007</v>
      </c>
      <c r="AO219" s="507">
        <f>Port[[#This Row],[EAD_Interest (THB)]]*Port[[#This Row],[LGD_avg]]</f>
        <v>0</v>
      </c>
      <c r="AP219" s="507">
        <f>Port[[#This Row],[EAD_Drawn (THB)]]+Port[[#This Row],[EAD_Interest (THB)]]</f>
        <v>47239200</v>
      </c>
      <c r="AQ2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1307144.8468449523</v>
      </c>
      <c r="AR219" s="522">
        <f>MAX(Port[[#This Row],[ECL (THB)]]+Port[[#This Row],[ECL_Interest (THB)]], Port[[#This Row],[ECL CBIRC (THB)]])</f>
        <v>1307144.8468449523</v>
      </c>
    </row>
    <row r="220" spans="1:44">
      <c r="A220" s="2" t="s">
        <v>191</v>
      </c>
      <c r="B220" s="2" t="s">
        <v>190</v>
      </c>
      <c r="C220" s="2" t="s">
        <v>175</v>
      </c>
      <c r="D220" s="2" t="s">
        <v>25</v>
      </c>
      <c r="E220" s="2" t="s">
        <v>172</v>
      </c>
      <c r="F220" s="2" t="s">
        <v>173</v>
      </c>
      <c r="G220" s="2" t="s">
        <v>21</v>
      </c>
      <c r="H220">
        <v>1</v>
      </c>
      <c r="I220" s="2" t="s">
        <v>526</v>
      </c>
      <c r="J220" s="505">
        <v>3.0745295499522811E-2</v>
      </c>
      <c r="K220" s="505">
        <v>0.90000000000000013</v>
      </c>
      <c r="L220" s="3">
        <v>1</v>
      </c>
      <c r="M220" s="3">
        <v>5.2488000000000001</v>
      </c>
      <c r="N220" s="507">
        <v>12000000</v>
      </c>
      <c r="O220" s="507">
        <v>0</v>
      </c>
      <c r="P220" s="507">
        <v>12000000</v>
      </c>
      <c r="Q220" s="507">
        <v>0</v>
      </c>
      <c r="R220" s="507">
        <v>332049.19139484642</v>
      </c>
      <c r="S220" s="507">
        <v>0</v>
      </c>
      <c r="T220" s="507">
        <v>332049.19139484642</v>
      </c>
      <c r="U220" s="507">
        <v>0</v>
      </c>
      <c r="V220" s="507">
        <f>Port[[#This Row],[EAD_Drawn (CNY)]]*Port[[#This Row],[CNY -&gt; FCY]]</f>
        <v>12000000</v>
      </c>
      <c r="W220" s="507">
        <f>Port[[#This Row],[EAD_Undrawn (CNY)]]*Port[[#This Row],[CNY -&gt; FCY]]</f>
        <v>0</v>
      </c>
      <c r="X220" s="507">
        <f>Port[[#This Row],[EAD (CNY)]]*Port[[#This Row],[CNY -&gt; FCY]]</f>
        <v>12000000</v>
      </c>
      <c r="Y220" s="507">
        <f>Port[[#This Row],[EAD_Interest (CNY)]]*Port[[#This Row],[CNY -&gt; FCY]]</f>
        <v>0</v>
      </c>
      <c r="Z220" s="507">
        <f>Port[[#This Row],[ECL_Drawn (CNY)]]*Port[[#This Row],[CNY -&gt; FCY]]</f>
        <v>332049.19139484642</v>
      </c>
      <c r="AA220" s="507">
        <f>Port[[#This Row],[ECL_Undrawn (CNY)]]*Port[[#This Row],[CNY -&gt; FCY]]</f>
        <v>0</v>
      </c>
      <c r="AB220" s="507">
        <f>Port[[#This Row],[ECL (CNY)]]*Port[[#This Row],[CNY -&gt; FCY]]</f>
        <v>332049.19139484642</v>
      </c>
      <c r="AC220" s="507">
        <f>Port[[#This Row],[ECL_Interest (CNY)]]*Port[[#This Row],[CNY -&gt; FCY]]</f>
        <v>0</v>
      </c>
      <c r="AD220" s="507">
        <f>Port[[#This Row],[EAD_Drawn (CNY)]]*Port[[#This Row],[CNY -&gt; THB]]</f>
        <v>62985600</v>
      </c>
      <c r="AE220" s="507">
        <f>Port[[#This Row],[EAD_Undrawn (CNY)]]*Port[[#This Row],[CNY -&gt; THB]]</f>
        <v>0</v>
      </c>
      <c r="AF220" s="507">
        <f>Port[[#This Row],[EAD (CNY)]]*Port[[#This Row],[CNY -&gt; THB]]</f>
        <v>62985600</v>
      </c>
      <c r="AG220" s="507">
        <f>Port[[#This Row],[EAD_Interest (CNY)]]*Port[[#This Row],[CNY -&gt; THB]]</f>
        <v>0</v>
      </c>
      <c r="AH220" s="507">
        <f>Port[[#This Row],[ECL_Drawn (CNY)]]*Port[[#This Row],[CNY -&gt; THB]]</f>
        <v>1742859.79579327</v>
      </c>
      <c r="AI220" s="507">
        <f>Port[[#This Row],[ECL_Undrawn (CNY)]]*Port[[#This Row],[CNY -&gt; THB]]</f>
        <v>0</v>
      </c>
      <c r="AJ220" s="507">
        <f>Port[[#This Row],[ECL (CNY)]]*Port[[#This Row],[CNY -&gt; THB]]</f>
        <v>1742859.79579327</v>
      </c>
      <c r="AK220" s="507">
        <f>Port[[#This Row],[ECL_Interest (CNY)]]*Port[[#This Row],[CNY -&gt; THB]]</f>
        <v>0</v>
      </c>
      <c r="AL220" s="507">
        <f>Port[[#This Row],[EAD (THB)]]*Port[[#This Row],[PD_avg]]</f>
        <v>1936510.884214744</v>
      </c>
      <c r="AM220" s="507">
        <f>Port[[#This Row],[EAD_Interest (THB)]]*Port[[#This Row],[PD_avg]]</f>
        <v>0</v>
      </c>
      <c r="AN220" s="507">
        <f>Port[[#This Row],[EAD (THB)]]*Port[[#This Row],[LGD_avg]]</f>
        <v>56687040.000000007</v>
      </c>
      <c r="AO220" s="507">
        <f>Port[[#This Row],[EAD_Interest (THB)]]*Port[[#This Row],[LGD_avg]]</f>
        <v>0</v>
      </c>
      <c r="AP220" s="507">
        <f>Port[[#This Row],[EAD_Drawn (THB)]]+Port[[#This Row],[EAD_Interest (THB)]]</f>
        <v>62985600</v>
      </c>
      <c r="AQ2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1742859.79579327</v>
      </c>
      <c r="AR220" s="522">
        <f>MAX(Port[[#This Row],[ECL (THB)]]+Port[[#This Row],[ECL_Interest (THB)]], Port[[#This Row],[ECL CBIRC (THB)]])</f>
        <v>1742859.79579327</v>
      </c>
    </row>
    <row r="221" spans="1:44">
      <c r="A221" s="2" t="s">
        <v>192</v>
      </c>
      <c r="B221" s="2" t="s">
        <v>193</v>
      </c>
      <c r="C221" s="2" t="s">
        <v>175</v>
      </c>
      <c r="D221" s="2" t="s">
        <v>25</v>
      </c>
      <c r="E221" s="2" t="s">
        <v>172</v>
      </c>
      <c r="F221" s="2" t="s">
        <v>173</v>
      </c>
      <c r="G221" s="2" t="s">
        <v>21</v>
      </c>
      <c r="H221">
        <v>1</v>
      </c>
      <c r="I221" s="2" t="s">
        <v>526</v>
      </c>
      <c r="J221" s="505">
        <v>9.0832004774658653E-4</v>
      </c>
      <c r="K221" s="505">
        <v>0.89999999999999991</v>
      </c>
      <c r="L221" s="3">
        <v>1</v>
      </c>
      <c r="M221" s="3">
        <v>5.2488000000000001</v>
      </c>
      <c r="N221" s="507">
        <v>190000000</v>
      </c>
      <c r="O221" s="507">
        <v>0</v>
      </c>
      <c r="P221" s="507">
        <v>190000000</v>
      </c>
      <c r="Q221" s="507">
        <v>671080</v>
      </c>
      <c r="R221" s="507">
        <v>155322.72816466627</v>
      </c>
      <c r="S221" s="507">
        <v>0</v>
      </c>
      <c r="T221" s="507">
        <v>155322.72816466627</v>
      </c>
      <c r="U221" s="507">
        <v>548.59987587760145</v>
      </c>
      <c r="V221" s="507">
        <f>Port[[#This Row],[EAD_Drawn (CNY)]]*Port[[#This Row],[CNY -&gt; FCY]]</f>
        <v>190000000</v>
      </c>
      <c r="W221" s="507">
        <f>Port[[#This Row],[EAD_Undrawn (CNY)]]*Port[[#This Row],[CNY -&gt; FCY]]</f>
        <v>0</v>
      </c>
      <c r="X221" s="507">
        <f>Port[[#This Row],[EAD (CNY)]]*Port[[#This Row],[CNY -&gt; FCY]]</f>
        <v>190000000</v>
      </c>
      <c r="Y221" s="507">
        <f>Port[[#This Row],[EAD_Interest (CNY)]]*Port[[#This Row],[CNY -&gt; FCY]]</f>
        <v>671080</v>
      </c>
      <c r="Z221" s="507">
        <f>Port[[#This Row],[ECL_Drawn (CNY)]]*Port[[#This Row],[CNY -&gt; FCY]]</f>
        <v>155322.72816466627</v>
      </c>
      <c r="AA221" s="507">
        <f>Port[[#This Row],[ECL_Undrawn (CNY)]]*Port[[#This Row],[CNY -&gt; FCY]]</f>
        <v>0</v>
      </c>
      <c r="AB221" s="507">
        <f>Port[[#This Row],[ECL (CNY)]]*Port[[#This Row],[CNY -&gt; FCY]]</f>
        <v>155322.72816466627</v>
      </c>
      <c r="AC221" s="507">
        <f>Port[[#This Row],[ECL_Interest (CNY)]]*Port[[#This Row],[CNY -&gt; FCY]]</f>
        <v>548.59987587760145</v>
      </c>
      <c r="AD221" s="507">
        <f>Port[[#This Row],[EAD_Drawn (CNY)]]*Port[[#This Row],[CNY -&gt; THB]]</f>
        <v>997272000</v>
      </c>
      <c r="AE221" s="507">
        <f>Port[[#This Row],[EAD_Undrawn (CNY)]]*Port[[#This Row],[CNY -&gt; THB]]</f>
        <v>0</v>
      </c>
      <c r="AF221" s="507">
        <f>Port[[#This Row],[EAD (CNY)]]*Port[[#This Row],[CNY -&gt; THB]]</f>
        <v>997272000</v>
      </c>
      <c r="AG221" s="507">
        <f>Port[[#This Row],[EAD_Interest (CNY)]]*Port[[#This Row],[CNY -&gt; THB]]</f>
        <v>3522364.7039999999</v>
      </c>
      <c r="AH221" s="507">
        <f>Port[[#This Row],[ECL_Drawn (CNY)]]*Port[[#This Row],[CNY -&gt; THB]]</f>
        <v>815257.93559070036</v>
      </c>
      <c r="AI221" s="507">
        <f>Port[[#This Row],[ECL_Undrawn (CNY)]]*Port[[#This Row],[CNY -&gt; THB]]</f>
        <v>0</v>
      </c>
      <c r="AJ221" s="507">
        <f>Port[[#This Row],[ECL (CNY)]]*Port[[#This Row],[CNY -&gt; THB]]</f>
        <v>815257.93559070036</v>
      </c>
      <c r="AK221" s="507">
        <f>Port[[#This Row],[ECL_Interest (CNY)]]*Port[[#This Row],[CNY -&gt; THB]]</f>
        <v>2879.4910285063547</v>
      </c>
      <c r="AL221" s="507">
        <f>Port[[#This Row],[EAD (THB)]]*Port[[#This Row],[PD_avg]]</f>
        <v>905842.15065633389</v>
      </c>
      <c r="AM221" s="507">
        <f>Port[[#This Row],[EAD_Interest (THB)]]*Port[[#This Row],[PD_avg]]</f>
        <v>3199.434476118171</v>
      </c>
      <c r="AN221" s="507">
        <f>Port[[#This Row],[EAD (THB)]]*Port[[#This Row],[LGD_avg]]</f>
        <v>897544799.99999988</v>
      </c>
      <c r="AO221" s="507">
        <f>Port[[#This Row],[EAD_Interest (THB)]]*Port[[#This Row],[LGD_avg]]</f>
        <v>3170128.2335999995</v>
      </c>
      <c r="AP221" s="507">
        <f>Port[[#This Row],[EAD_Drawn (THB)]]+Port[[#This Row],[EAD_Interest (THB)]]</f>
        <v>1000794364.704</v>
      </c>
      <c r="AQ2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818137.42661920667</v>
      </c>
      <c r="AR221" s="522">
        <f>MAX(Port[[#This Row],[ECL (THB)]]+Port[[#This Row],[ECL_Interest (THB)]], Port[[#This Row],[ECL CBIRC (THB)]])</f>
        <v>818137.42661920667</v>
      </c>
    </row>
    <row r="222" spans="1:44">
      <c r="A222" s="2" t="s">
        <v>195</v>
      </c>
      <c r="B222" s="2" t="s">
        <v>196</v>
      </c>
      <c r="C222" s="2" t="s">
        <v>175</v>
      </c>
      <c r="D222" s="2" t="s">
        <v>25</v>
      </c>
      <c r="E222" s="2" t="s">
        <v>172</v>
      </c>
      <c r="F222" s="2" t="s">
        <v>173</v>
      </c>
      <c r="G222" s="2" t="s">
        <v>21</v>
      </c>
      <c r="H222">
        <v>1</v>
      </c>
      <c r="I222" s="2" t="s">
        <v>526</v>
      </c>
      <c r="J222" s="505">
        <v>1.3043899345507868E-2</v>
      </c>
      <c r="K222" s="505">
        <v>0.90000000000000013</v>
      </c>
      <c r="L222" s="3">
        <v>1</v>
      </c>
      <c r="M222" s="3">
        <v>5.2488000000000001</v>
      </c>
      <c r="N222" s="507">
        <v>50000000</v>
      </c>
      <c r="O222" s="507">
        <v>0</v>
      </c>
      <c r="P222" s="507">
        <v>50000000</v>
      </c>
      <c r="Q222" s="507">
        <v>0</v>
      </c>
      <c r="R222" s="507">
        <v>586975.4705478542</v>
      </c>
      <c r="S222" s="507">
        <v>0</v>
      </c>
      <c r="T222" s="507">
        <v>586975.4705478542</v>
      </c>
      <c r="U222" s="507">
        <v>0</v>
      </c>
      <c r="V222" s="507">
        <f>Port[[#This Row],[EAD_Drawn (CNY)]]*Port[[#This Row],[CNY -&gt; FCY]]</f>
        <v>50000000</v>
      </c>
      <c r="W222" s="507">
        <f>Port[[#This Row],[EAD_Undrawn (CNY)]]*Port[[#This Row],[CNY -&gt; FCY]]</f>
        <v>0</v>
      </c>
      <c r="X222" s="507">
        <f>Port[[#This Row],[EAD (CNY)]]*Port[[#This Row],[CNY -&gt; FCY]]</f>
        <v>50000000</v>
      </c>
      <c r="Y222" s="507">
        <f>Port[[#This Row],[EAD_Interest (CNY)]]*Port[[#This Row],[CNY -&gt; FCY]]</f>
        <v>0</v>
      </c>
      <c r="Z222" s="507">
        <f>Port[[#This Row],[ECL_Drawn (CNY)]]*Port[[#This Row],[CNY -&gt; FCY]]</f>
        <v>586975.4705478542</v>
      </c>
      <c r="AA222" s="507">
        <f>Port[[#This Row],[ECL_Undrawn (CNY)]]*Port[[#This Row],[CNY -&gt; FCY]]</f>
        <v>0</v>
      </c>
      <c r="AB222" s="507">
        <f>Port[[#This Row],[ECL (CNY)]]*Port[[#This Row],[CNY -&gt; FCY]]</f>
        <v>586975.4705478542</v>
      </c>
      <c r="AC222" s="507">
        <f>Port[[#This Row],[ECL_Interest (CNY)]]*Port[[#This Row],[CNY -&gt; FCY]]</f>
        <v>0</v>
      </c>
      <c r="AD222" s="507">
        <f>Port[[#This Row],[EAD_Drawn (CNY)]]*Port[[#This Row],[CNY -&gt; THB]]</f>
        <v>262440000</v>
      </c>
      <c r="AE222" s="507">
        <f>Port[[#This Row],[EAD_Undrawn (CNY)]]*Port[[#This Row],[CNY -&gt; THB]]</f>
        <v>0</v>
      </c>
      <c r="AF222" s="507">
        <f>Port[[#This Row],[EAD (CNY)]]*Port[[#This Row],[CNY -&gt; THB]]</f>
        <v>262440000</v>
      </c>
      <c r="AG222" s="507">
        <f>Port[[#This Row],[EAD_Interest (CNY)]]*Port[[#This Row],[CNY -&gt; THB]]</f>
        <v>0</v>
      </c>
      <c r="AH222" s="507">
        <f>Port[[#This Row],[ECL_Drawn (CNY)]]*Port[[#This Row],[CNY -&gt; THB]]</f>
        <v>3080916.8498115772</v>
      </c>
      <c r="AI222" s="507">
        <f>Port[[#This Row],[ECL_Undrawn (CNY)]]*Port[[#This Row],[CNY -&gt; THB]]</f>
        <v>0</v>
      </c>
      <c r="AJ222" s="507">
        <f>Port[[#This Row],[ECL (CNY)]]*Port[[#This Row],[CNY -&gt; THB]]</f>
        <v>3080916.8498115772</v>
      </c>
      <c r="AK222" s="507">
        <f>Port[[#This Row],[ECL_Interest (CNY)]]*Port[[#This Row],[CNY -&gt; THB]]</f>
        <v>0</v>
      </c>
      <c r="AL222" s="507">
        <f>Port[[#This Row],[EAD (THB)]]*Port[[#This Row],[PD_avg]]</f>
        <v>3423240.944235085</v>
      </c>
      <c r="AM222" s="507">
        <f>Port[[#This Row],[EAD_Interest (THB)]]*Port[[#This Row],[PD_avg]]</f>
        <v>0</v>
      </c>
      <c r="AN222" s="507">
        <f>Port[[#This Row],[EAD (THB)]]*Port[[#This Row],[LGD_avg]]</f>
        <v>236196000.00000003</v>
      </c>
      <c r="AO222" s="507">
        <f>Port[[#This Row],[EAD_Interest (THB)]]*Port[[#This Row],[LGD_avg]]</f>
        <v>0</v>
      </c>
      <c r="AP222" s="507">
        <f>Port[[#This Row],[EAD_Drawn (THB)]]+Port[[#This Row],[EAD_Interest (THB)]]</f>
        <v>262440000</v>
      </c>
      <c r="AQ2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3080916.8498115772</v>
      </c>
      <c r="AR222" s="522">
        <f>MAX(Port[[#This Row],[ECL (THB)]]+Port[[#This Row],[ECL_Interest (THB)]], Port[[#This Row],[ECL CBIRC (THB)]])</f>
        <v>3080916.8498115772</v>
      </c>
    </row>
    <row r="223" spans="1:44">
      <c r="A223" s="2" t="s">
        <v>197</v>
      </c>
      <c r="B223" s="2" t="s">
        <v>183</v>
      </c>
      <c r="C223" s="2" t="s">
        <v>175</v>
      </c>
      <c r="D223" s="2" t="s">
        <v>25</v>
      </c>
      <c r="E223" s="2" t="s">
        <v>172</v>
      </c>
      <c r="F223" s="2" t="s">
        <v>173</v>
      </c>
      <c r="G223" s="2" t="s">
        <v>21</v>
      </c>
      <c r="H223">
        <v>1</v>
      </c>
      <c r="I223" s="2" t="s">
        <v>526</v>
      </c>
      <c r="J223" s="505">
        <v>2.0514833509807026E-2</v>
      </c>
      <c r="K223" s="505">
        <v>0.9</v>
      </c>
      <c r="L223" s="3">
        <v>1</v>
      </c>
      <c r="M223" s="3">
        <v>5.2488000000000001</v>
      </c>
      <c r="N223" s="507">
        <v>57140000</v>
      </c>
      <c r="O223" s="507">
        <v>0</v>
      </c>
      <c r="P223" s="507">
        <v>57140000</v>
      </c>
      <c r="Q223" s="507">
        <v>413312.67</v>
      </c>
      <c r="R223" s="507">
        <v>1054995.8280753363</v>
      </c>
      <c r="S223" s="507">
        <v>0</v>
      </c>
      <c r="T223" s="507">
        <v>1054995.8280753363</v>
      </c>
      <c r="U223" s="507">
        <v>7631.1365512894317</v>
      </c>
      <c r="V223" s="507">
        <f>Port[[#This Row],[EAD_Drawn (CNY)]]*Port[[#This Row],[CNY -&gt; FCY]]</f>
        <v>57140000</v>
      </c>
      <c r="W223" s="507">
        <f>Port[[#This Row],[EAD_Undrawn (CNY)]]*Port[[#This Row],[CNY -&gt; FCY]]</f>
        <v>0</v>
      </c>
      <c r="X223" s="507">
        <f>Port[[#This Row],[EAD (CNY)]]*Port[[#This Row],[CNY -&gt; FCY]]</f>
        <v>57140000</v>
      </c>
      <c r="Y223" s="507">
        <f>Port[[#This Row],[EAD_Interest (CNY)]]*Port[[#This Row],[CNY -&gt; FCY]]</f>
        <v>413312.67</v>
      </c>
      <c r="Z223" s="507">
        <f>Port[[#This Row],[ECL_Drawn (CNY)]]*Port[[#This Row],[CNY -&gt; FCY]]</f>
        <v>1054995.8280753363</v>
      </c>
      <c r="AA223" s="507">
        <f>Port[[#This Row],[ECL_Undrawn (CNY)]]*Port[[#This Row],[CNY -&gt; FCY]]</f>
        <v>0</v>
      </c>
      <c r="AB223" s="507">
        <f>Port[[#This Row],[ECL (CNY)]]*Port[[#This Row],[CNY -&gt; FCY]]</f>
        <v>1054995.8280753363</v>
      </c>
      <c r="AC223" s="507">
        <f>Port[[#This Row],[ECL_Interest (CNY)]]*Port[[#This Row],[CNY -&gt; FCY]]</f>
        <v>7631.1365512894317</v>
      </c>
      <c r="AD223" s="507">
        <f>Port[[#This Row],[EAD_Drawn (CNY)]]*Port[[#This Row],[CNY -&gt; THB]]</f>
        <v>299916432</v>
      </c>
      <c r="AE223" s="507">
        <f>Port[[#This Row],[EAD_Undrawn (CNY)]]*Port[[#This Row],[CNY -&gt; THB]]</f>
        <v>0</v>
      </c>
      <c r="AF223" s="507">
        <f>Port[[#This Row],[EAD (CNY)]]*Port[[#This Row],[CNY -&gt; THB]]</f>
        <v>299916432</v>
      </c>
      <c r="AG223" s="507">
        <f>Port[[#This Row],[EAD_Interest (CNY)]]*Port[[#This Row],[CNY -&gt; THB]]</f>
        <v>2169395.5422959998</v>
      </c>
      <c r="AH223" s="507">
        <f>Port[[#This Row],[ECL_Drawn (CNY)]]*Port[[#This Row],[CNY -&gt; THB]]</f>
        <v>5537462.1024018256</v>
      </c>
      <c r="AI223" s="507">
        <f>Port[[#This Row],[ECL_Undrawn (CNY)]]*Port[[#This Row],[CNY -&gt; THB]]</f>
        <v>0</v>
      </c>
      <c r="AJ223" s="507">
        <f>Port[[#This Row],[ECL (CNY)]]*Port[[#This Row],[CNY -&gt; THB]]</f>
        <v>5537462.1024018256</v>
      </c>
      <c r="AK223" s="507">
        <f>Port[[#This Row],[ECL_Interest (CNY)]]*Port[[#This Row],[CNY -&gt; THB]]</f>
        <v>40054.309530407969</v>
      </c>
      <c r="AL223" s="507">
        <f>Port[[#This Row],[EAD (THB)]]*Port[[#This Row],[PD_avg]]</f>
        <v>6152735.6693353606</v>
      </c>
      <c r="AM223" s="507">
        <f>Port[[#This Row],[EAD_Interest (THB)]]*Port[[#This Row],[PD_avg]]</f>
        <v>44504.78836711996</v>
      </c>
      <c r="AN223" s="507">
        <f>Port[[#This Row],[EAD (THB)]]*Port[[#This Row],[LGD_avg]]</f>
        <v>269924788.80000001</v>
      </c>
      <c r="AO223" s="507">
        <f>Port[[#This Row],[EAD_Interest (THB)]]*Port[[#This Row],[LGD_avg]]</f>
        <v>1952455.9880663999</v>
      </c>
      <c r="AP223" s="507">
        <f>Port[[#This Row],[EAD_Drawn (THB)]]+Port[[#This Row],[EAD_Interest (THB)]]</f>
        <v>302085827.54229599</v>
      </c>
      <c r="AQ2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5577516.4119322337</v>
      </c>
      <c r="AR223" s="522">
        <f>MAX(Port[[#This Row],[ECL (THB)]]+Port[[#This Row],[ECL_Interest (THB)]], Port[[#This Row],[ECL CBIRC (THB)]])</f>
        <v>5577516.4119322337</v>
      </c>
    </row>
    <row r="224" spans="1:44">
      <c r="A224" s="2" t="s">
        <v>198</v>
      </c>
      <c r="B224" s="2" t="s">
        <v>199</v>
      </c>
      <c r="C224" s="2" t="s">
        <v>175</v>
      </c>
      <c r="D224" s="2" t="s">
        <v>25</v>
      </c>
      <c r="E224" s="2" t="s">
        <v>172</v>
      </c>
      <c r="F224" s="2" t="s">
        <v>173</v>
      </c>
      <c r="G224" s="2" t="s">
        <v>21</v>
      </c>
      <c r="H224">
        <v>1</v>
      </c>
      <c r="I224" s="2" t="s">
        <v>526</v>
      </c>
      <c r="J224" s="505">
        <v>2.0514833509807026E-2</v>
      </c>
      <c r="K224" s="505">
        <v>0.90000000000000013</v>
      </c>
      <c r="L224" s="3">
        <v>1</v>
      </c>
      <c r="M224" s="3">
        <v>5.2488000000000001</v>
      </c>
      <c r="N224" s="507">
        <v>100000000</v>
      </c>
      <c r="O224" s="507">
        <v>0</v>
      </c>
      <c r="P224" s="507">
        <v>100000000</v>
      </c>
      <c r="Q224" s="507">
        <v>93333.33</v>
      </c>
      <c r="R224" s="507">
        <v>1846335.0158826327</v>
      </c>
      <c r="S224" s="507">
        <v>0</v>
      </c>
      <c r="T224" s="507">
        <v>1846335.0158826327</v>
      </c>
      <c r="U224" s="507">
        <v>1723.24595327929</v>
      </c>
      <c r="V224" s="507">
        <f>Port[[#This Row],[EAD_Drawn (CNY)]]*Port[[#This Row],[CNY -&gt; FCY]]</f>
        <v>100000000</v>
      </c>
      <c r="W224" s="507">
        <f>Port[[#This Row],[EAD_Undrawn (CNY)]]*Port[[#This Row],[CNY -&gt; FCY]]</f>
        <v>0</v>
      </c>
      <c r="X224" s="507">
        <f>Port[[#This Row],[EAD (CNY)]]*Port[[#This Row],[CNY -&gt; FCY]]</f>
        <v>100000000</v>
      </c>
      <c r="Y224" s="507">
        <f>Port[[#This Row],[EAD_Interest (CNY)]]*Port[[#This Row],[CNY -&gt; FCY]]</f>
        <v>93333.33</v>
      </c>
      <c r="Z224" s="507">
        <f>Port[[#This Row],[ECL_Drawn (CNY)]]*Port[[#This Row],[CNY -&gt; FCY]]</f>
        <v>1846335.0158826327</v>
      </c>
      <c r="AA224" s="507">
        <f>Port[[#This Row],[ECL_Undrawn (CNY)]]*Port[[#This Row],[CNY -&gt; FCY]]</f>
        <v>0</v>
      </c>
      <c r="AB224" s="507">
        <f>Port[[#This Row],[ECL (CNY)]]*Port[[#This Row],[CNY -&gt; FCY]]</f>
        <v>1846335.0158826327</v>
      </c>
      <c r="AC224" s="507">
        <f>Port[[#This Row],[ECL_Interest (CNY)]]*Port[[#This Row],[CNY -&gt; FCY]]</f>
        <v>1723.24595327929</v>
      </c>
      <c r="AD224" s="507">
        <f>Port[[#This Row],[EAD_Drawn (CNY)]]*Port[[#This Row],[CNY -&gt; THB]]</f>
        <v>524880000</v>
      </c>
      <c r="AE224" s="507">
        <f>Port[[#This Row],[EAD_Undrawn (CNY)]]*Port[[#This Row],[CNY -&gt; THB]]</f>
        <v>0</v>
      </c>
      <c r="AF224" s="507">
        <f>Port[[#This Row],[EAD (CNY)]]*Port[[#This Row],[CNY -&gt; THB]]</f>
        <v>524880000</v>
      </c>
      <c r="AG224" s="507">
        <f>Port[[#This Row],[EAD_Interest (CNY)]]*Port[[#This Row],[CNY -&gt; THB]]</f>
        <v>489887.98250400001</v>
      </c>
      <c r="AH224" s="507">
        <f>Port[[#This Row],[ECL_Drawn (CNY)]]*Port[[#This Row],[CNY -&gt; THB]]</f>
        <v>9691043.2313647624</v>
      </c>
      <c r="AI224" s="507">
        <f>Port[[#This Row],[ECL_Undrawn (CNY)]]*Port[[#This Row],[CNY -&gt; THB]]</f>
        <v>0</v>
      </c>
      <c r="AJ224" s="507">
        <f>Port[[#This Row],[ECL (CNY)]]*Port[[#This Row],[CNY -&gt; THB]]</f>
        <v>9691043.2313647624</v>
      </c>
      <c r="AK224" s="507">
        <f>Port[[#This Row],[ECL_Interest (CNY)]]*Port[[#This Row],[CNY -&gt; THB]]</f>
        <v>9044.9733595723374</v>
      </c>
      <c r="AL224" s="507">
        <f>Port[[#This Row],[EAD (THB)]]*Port[[#This Row],[PD_avg]]</f>
        <v>10767825.812627511</v>
      </c>
      <c r="AM224" s="507">
        <f>Port[[#This Row],[EAD_Interest (THB)]]*Port[[#This Row],[PD_avg]]</f>
        <v>10049.970399524818</v>
      </c>
      <c r="AN224" s="507">
        <f>Port[[#This Row],[EAD (THB)]]*Port[[#This Row],[LGD_avg]]</f>
        <v>472392000.00000006</v>
      </c>
      <c r="AO224" s="507">
        <f>Port[[#This Row],[EAD_Interest (THB)]]*Port[[#This Row],[LGD_avg]]</f>
        <v>440899.18425360008</v>
      </c>
      <c r="AP224" s="507">
        <f>Port[[#This Row],[EAD_Drawn (THB)]]+Port[[#This Row],[EAD_Interest (THB)]]</f>
        <v>525369887.98250401</v>
      </c>
      <c r="AQ2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9700088.2047243342</v>
      </c>
      <c r="AR224" s="522">
        <f>MAX(Port[[#This Row],[ECL (THB)]]+Port[[#This Row],[ECL_Interest (THB)]], Port[[#This Row],[ECL CBIRC (THB)]])</f>
        <v>9700088.2047243342</v>
      </c>
    </row>
    <row r="225" spans="1:44">
      <c r="A225" s="2" t="s">
        <v>200</v>
      </c>
      <c r="B225" s="2" t="s">
        <v>201</v>
      </c>
      <c r="C225" s="2" t="s">
        <v>175</v>
      </c>
      <c r="D225" s="2" t="s">
        <v>25</v>
      </c>
      <c r="E225" s="2" t="s">
        <v>172</v>
      </c>
      <c r="F225" s="2" t="s">
        <v>173</v>
      </c>
      <c r="G225" s="2" t="s">
        <v>21</v>
      </c>
      <c r="H225">
        <v>1</v>
      </c>
      <c r="I225" s="2" t="s">
        <v>526</v>
      </c>
      <c r="J225" s="505">
        <v>1.3043899345507868E-2</v>
      </c>
      <c r="K225" s="505">
        <v>0.90000000000000024</v>
      </c>
      <c r="L225" s="3">
        <v>1</v>
      </c>
      <c r="M225" s="3">
        <v>5.2488000000000001</v>
      </c>
      <c r="N225" s="507">
        <v>150000000</v>
      </c>
      <c r="O225" s="507">
        <v>0</v>
      </c>
      <c r="P225" s="507">
        <v>150000000</v>
      </c>
      <c r="Q225" s="507">
        <v>112291.67</v>
      </c>
      <c r="R225" s="507">
        <v>1760926.4116435624</v>
      </c>
      <c r="S225" s="507">
        <v>0</v>
      </c>
      <c r="T225" s="507">
        <v>1760926.4116435624</v>
      </c>
      <c r="U225" s="507">
        <v>1318.249116737087</v>
      </c>
      <c r="V225" s="507">
        <f>Port[[#This Row],[EAD_Drawn (CNY)]]*Port[[#This Row],[CNY -&gt; FCY]]</f>
        <v>150000000</v>
      </c>
      <c r="W225" s="507">
        <f>Port[[#This Row],[EAD_Undrawn (CNY)]]*Port[[#This Row],[CNY -&gt; FCY]]</f>
        <v>0</v>
      </c>
      <c r="X225" s="507">
        <f>Port[[#This Row],[EAD (CNY)]]*Port[[#This Row],[CNY -&gt; FCY]]</f>
        <v>150000000</v>
      </c>
      <c r="Y225" s="507">
        <f>Port[[#This Row],[EAD_Interest (CNY)]]*Port[[#This Row],[CNY -&gt; FCY]]</f>
        <v>112291.67</v>
      </c>
      <c r="Z225" s="507">
        <f>Port[[#This Row],[ECL_Drawn (CNY)]]*Port[[#This Row],[CNY -&gt; FCY]]</f>
        <v>1760926.4116435624</v>
      </c>
      <c r="AA225" s="507">
        <f>Port[[#This Row],[ECL_Undrawn (CNY)]]*Port[[#This Row],[CNY -&gt; FCY]]</f>
        <v>0</v>
      </c>
      <c r="AB225" s="507">
        <f>Port[[#This Row],[ECL (CNY)]]*Port[[#This Row],[CNY -&gt; FCY]]</f>
        <v>1760926.4116435624</v>
      </c>
      <c r="AC225" s="507">
        <f>Port[[#This Row],[ECL_Interest (CNY)]]*Port[[#This Row],[CNY -&gt; FCY]]</f>
        <v>1318.249116737087</v>
      </c>
      <c r="AD225" s="507">
        <f>Port[[#This Row],[EAD_Drawn (CNY)]]*Port[[#This Row],[CNY -&gt; THB]]</f>
        <v>787320000</v>
      </c>
      <c r="AE225" s="507">
        <f>Port[[#This Row],[EAD_Undrawn (CNY)]]*Port[[#This Row],[CNY -&gt; THB]]</f>
        <v>0</v>
      </c>
      <c r="AF225" s="507">
        <f>Port[[#This Row],[EAD (CNY)]]*Port[[#This Row],[CNY -&gt; THB]]</f>
        <v>787320000</v>
      </c>
      <c r="AG225" s="507">
        <f>Port[[#This Row],[EAD_Interest (CNY)]]*Port[[#This Row],[CNY -&gt; THB]]</f>
        <v>589396.51749600004</v>
      </c>
      <c r="AH225" s="507">
        <f>Port[[#This Row],[ECL_Drawn (CNY)]]*Port[[#This Row],[CNY -&gt; THB]]</f>
        <v>9242750.5494347308</v>
      </c>
      <c r="AI225" s="507">
        <f>Port[[#This Row],[ECL_Undrawn (CNY)]]*Port[[#This Row],[CNY -&gt; THB]]</f>
        <v>0</v>
      </c>
      <c r="AJ225" s="507">
        <f>Port[[#This Row],[ECL (CNY)]]*Port[[#This Row],[CNY -&gt; THB]]</f>
        <v>9242750.5494347308</v>
      </c>
      <c r="AK225" s="507">
        <f>Port[[#This Row],[ECL_Interest (CNY)]]*Port[[#This Row],[CNY -&gt; THB]]</f>
        <v>6919.2259639296226</v>
      </c>
      <c r="AL225" s="507">
        <f>Port[[#This Row],[EAD (THB)]]*Port[[#This Row],[PD_avg]]</f>
        <v>10269722.832705256</v>
      </c>
      <c r="AM225" s="507">
        <f>Port[[#This Row],[EAD_Interest (THB)]]*Port[[#This Row],[PD_avg]]</f>
        <v>7688.0288488106917</v>
      </c>
      <c r="AN225" s="507">
        <f>Port[[#This Row],[EAD (THB)]]*Port[[#This Row],[LGD_avg]]</f>
        <v>708588000.00000024</v>
      </c>
      <c r="AO225" s="507">
        <f>Port[[#This Row],[EAD_Interest (THB)]]*Port[[#This Row],[LGD_avg]]</f>
        <v>530456.8657464002</v>
      </c>
      <c r="AP225" s="507">
        <f>Port[[#This Row],[EAD_Drawn (THB)]]+Port[[#This Row],[EAD_Interest (THB)]]</f>
        <v>787909396.51749599</v>
      </c>
      <c r="AQ2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9249669.7753986605</v>
      </c>
      <c r="AR225" s="522">
        <f>MAX(Port[[#This Row],[ECL (THB)]]+Port[[#This Row],[ECL_Interest (THB)]], Port[[#This Row],[ECL CBIRC (THB)]])</f>
        <v>9249669.7753986605</v>
      </c>
    </row>
    <row r="226" spans="1:44">
      <c r="A226" s="2" t="s">
        <v>202</v>
      </c>
      <c r="B226" s="2" t="s">
        <v>180</v>
      </c>
      <c r="C226" s="2" t="s">
        <v>175</v>
      </c>
      <c r="D226" s="2" t="s">
        <v>25</v>
      </c>
      <c r="E226" s="2" t="s">
        <v>172</v>
      </c>
      <c r="F226" s="2" t="s">
        <v>173</v>
      </c>
      <c r="G226" s="2" t="s">
        <v>21</v>
      </c>
      <c r="H226">
        <v>1</v>
      </c>
      <c r="I226" s="2" t="s">
        <v>526</v>
      </c>
      <c r="J226" s="505">
        <v>5.2260409683794924E-3</v>
      </c>
      <c r="K226" s="505">
        <v>0.8999999999999998</v>
      </c>
      <c r="L226" s="3">
        <v>1</v>
      </c>
      <c r="M226" s="3">
        <v>5.2488000000000001</v>
      </c>
      <c r="N226" s="507">
        <v>150000000</v>
      </c>
      <c r="O226" s="507">
        <v>0</v>
      </c>
      <c r="P226" s="507">
        <v>150000000</v>
      </c>
      <c r="Q226" s="507">
        <v>93333.33</v>
      </c>
      <c r="R226" s="507">
        <v>705515.53073123144</v>
      </c>
      <c r="S226" s="507">
        <v>0</v>
      </c>
      <c r="T226" s="507">
        <v>705515.53073123144</v>
      </c>
      <c r="U226" s="507">
        <v>438.98742566575447</v>
      </c>
      <c r="V226" s="507">
        <f>Port[[#This Row],[EAD_Drawn (CNY)]]*Port[[#This Row],[CNY -&gt; FCY]]</f>
        <v>150000000</v>
      </c>
      <c r="W226" s="507">
        <f>Port[[#This Row],[EAD_Undrawn (CNY)]]*Port[[#This Row],[CNY -&gt; FCY]]</f>
        <v>0</v>
      </c>
      <c r="X226" s="507">
        <f>Port[[#This Row],[EAD (CNY)]]*Port[[#This Row],[CNY -&gt; FCY]]</f>
        <v>150000000</v>
      </c>
      <c r="Y226" s="507">
        <f>Port[[#This Row],[EAD_Interest (CNY)]]*Port[[#This Row],[CNY -&gt; FCY]]</f>
        <v>93333.33</v>
      </c>
      <c r="Z226" s="507">
        <f>Port[[#This Row],[ECL_Drawn (CNY)]]*Port[[#This Row],[CNY -&gt; FCY]]</f>
        <v>705515.53073123144</v>
      </c>
      <c r="AA226" s="507">
        <f>Port[[#This Row],[ECL_Undrawn (CNY)]]*Port[[#This Row],[CNY -&gt; FCY]]</f>
        <v>0</v>
      </c>
      <c r="AB226" s="507">
        <f>Port[[#This Row],[ECL (CNY)]]*Port[[#This Row],[CNY -&gt; FCY]]</f>
        <v>705515.53073123144</v>
      </c>
      <c r="AC226" s="507">
        <f>Port[[#This Row],[ECL_Interest (CNY)]]*Port[[#This Row],[CNY -&gt; FCY]]</f>
        <v>438.98742566575447</v>
      </c>
      <c r="AD226" s="507">
        <f>Port[[#This Row],[EAD_Drawn (CNY)]]*Port[[#This Row],[CNY -&gt; THB]]</f>
        <v>787320000</v>
      </c>
      <c r="AE226" s="507">
        <f>Port[[#This Row],[EAD_Undrawn (CNY)]]*Port[[#This Row],[CNY -&gt; THB]]</f>
        <v>0</v>
      </c>
      <c r="AF226" s="507">
        <f>Port[[#This Row],[EAD (CNY)]]*Port[[#This Row],[CNY -&gt; THB]]</f>
        <v>787320000</v>
      </c>
      <c r="AG226" s="507">
        <f>Port[[#This Row],[EAD_Interest (CNY)]]*Port[[#This Row],[CNY -&gt; THB]]</f>
        <v>489887.98250400001</v>
      </c>
      <c r="AH226" s="507">
        <f>Port[[#This Row],[ECL_Drawn (CNY)]]*Port[[#This Row],[CNY -&gt; THB]]</f>
        <v>3703109.9177020877</v>
      </c>
      <c r="AI226" s="507">
        <f>Port[[#This Row],[ECL_Undrawn (CNY)]]*Port[[#This Row],[CNY -&gt; THB]]</f>
        <v>0</v>
      </c>
      <c r="AJ226" s="507">
        <f>Port[[#This Row],[ECL (CNY)]]*Port[[#This Row],[CNY -&gt; THB]]</f>
        <v>3703109.9177020877</v>
      </c>
      <c r="AK226" s="507">
        <f>Port[[#This Row],[ECL_Interest (CNY)]]*Port[[#This Row],[CNY -&gt; THB]]</f>
        <v>2304.157199834412</v>
      </c>
      <c r="AL226" s="507">
        <f>Port[[#This Row],[EAD (THB)]]*Port[[#This Row],[PD_avg]]</f>
        <v>4114566.5752245421</v>
      </c>
      <c r="AM226" s="507">
        <f>Port[[#This Row],[EAD_Interest (THB)]]*Port[[#This Row],[PD_avg]]</f>
        <v>2560.1746664826801</v>
      </c>
      <c r="AN226" s="507">
        <f>Port[[#This Row],[EAD (THB)]]*Port[[#This Row],[LGD_avg]]</f>
        <v>708587999.99999988</v>
      </c>
      <c r="AO226" s="507">
        <f>Port[[#This Row],[EAD_Interest (THB)]]*Port[[#This Row],[LGD_avg]]</f>
        <v>440899.1842535999</v>
      </c>
      <c r="AP226" s="507">
        <f>Port[[#This Row],[EAD_Drawn (THB)]]+Port[[#This Row],[EAD_Interest (THB)]]</f>
        <v>787809887.98250401</v>
      </c>
      <c r="AQ2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3705414.0749019221</v>
      </c>
      <c r="AR226" s="522">
        <f>MAX(Port[[#This Row],[ECL (THB)]]+Port[[#This Row],[ECL_Interest (THB)]], Port[[#This Row],[ECL CBIRC (THB)]])</f>
        <v>3705414.0749019221</v>
      </c>
    </row>
    <row r="227" spans="1:44">
      <c r="A227" s="2" t="s">
        <v>205</v>
      </c>
      <c r="B227" s="2" t="s">
        <v>204</v>
      </c>
      <c r="C227" s="2" t="s">
        <v>175</v>
      </c>
      <c r="D227" s="2" t="s">
        <v>25</v>
      </c>
      <c r="E227" s="2" t="s">
        <v>172</v>
      </c>
      <c r="F227" s="2" t="s">
        <v>173</v>
      </c>
      <c r="G227" s="2" t="s">
        <v>21</v>
      </c>
      <c r="H227">
        <v>1</v>
      </c>
      <c r="I227" s="2" t="s">
        <v>526</v>
      </c>
      <c r="J227" s="505">
        <v>2.0514833509807026E-2</v>
      </c>
      <c r="K227" s="505">
        <v>0.90000000000000024</v>
      </c>
      <c r="L227" s="3">
        <v>1</v>
      </c>
      <c r="M227" s="3">
        <v>5.2488000000000001</v>
      </c>
      <c r="N227" s="507">
        <v>100000000</v>
      </c>
      <c r="O227" s="507">
        <v>0</v>
      </c>
      <c r="P227" s="507">
        <v>100000000</v>
      </c>
      <c r="Q227" s="507">
        <v>0</v>
      </c>
      <c r="R227" s="507">
        <v>1846335.0158826327</v>
      </c>
      <c r="S227" s="507">
        <v>0</v>
      </c>
      <c r="T227" s="507">
        <v>1846335.0158826327</v>
      </c>
      <c r="U227" s="507">
        <v>0</v>
      </c>
      <c r="V227" s="507">
        <f>Port[[#This Row],[EAD_Drawn (CNY)]]*Port[[#This Row],[CNY -&gt; FCY]]</f>
        <v>100000000</v>
      </c>
      <c r="W227" s="507">
        <f>Port[[#This Row],[EAD_Undrawn (CNY)]]*Port[[#This Row],[CNY -&gt; FCY]]</f>
        <v>0</v>
      </c>
      <c r="X227" s="507">
        <f>Port[[#This Row],[EAD (CNY)]]*Port[[#This Row],[CNY -&gt; FCY]]</f>
        <v>100000000</v>
      </c>
      <c r="Y227" s="507">
        <f>Port[[#This Row],[EAD_Interest (CNY)]]*Port[[#This Row],[CNY -&gt; FCY]]</f>
        <v>0</v>
      </c>
      <c r="Z227" s="507">
        <f>Port[[#This Row],[ECL_Drawn (CNY)]]*Port[[#This Row],[CNY -&gt; FCY]]</f>
        <v>1846335.0158826327</v>
      </c>
      <c r="AA227" s="507">
        <f>Port[[#This Row],[ECL_Undrawn (CNY)]]*Port[[#This Row],[CNY -&gt; FCY]]</f>
        <v>0</v>
      </c>
      <c r="AB227" s="507">
        <f>Port[[#This Row],[ECL (CNY)]]*Port[[#This Row],[CNY -&gt; FCY]]</f>
        <v>1846335.0158826327</v>
      </c>
      <c r="AC227" s="507">
        <f>Port[[#This Row],[ECL_Interest (CNY)]]*Port[[#This Row],[CNY -&gt; FCY]]</f>
        <v>0</v>
      </c>
      <c r="AD227" s="507">
        <f>Port[[#This Row],[EAD_Drawn (CNY)]]*Port[[#This Row],[CNY -&gt; THB]]</f>
        <v>524880000</v>
      </c>
      <c r="AE227" s="507">
        <f>Port[[#This Row],[EAD_Undrawn (CNY)]]*Port[[#This Row],[CNY -&gt; THB]]</f>
        <v>0</v>
      </c>
      <c r="AF227" s="507">
        <f>Port[[#This Row],[EAD (CNY)]]*Port[[#This Row],[CNY -&gt; THB]]</f>
        <v>524880000</v>
      </c>
      <c r="AG227" s="507">
        <f>Port[[#This Row],[EAD_Interest (CNY)]]*Port[[#This Row],[CNY -&gt; THB]]</f>
        <v>0</v>
      </c>
      <c r="AH227" s="507">
        <f>Port[[#This Row],[ECL_Drawn (CNY)]]*Port[[#This Row],[CNY -&gt; THB]]</f>
        <v>9691043.2313647624</v>
      </c>
      <c r="AI227" s="507">
        <f>Port[[#This Row],[ECL_Undrawn (CNY)]]*Port[[#This Row],[CNY -&gt; THB]]</f>
        <v>0</v>
      </c>
      <c r="AJ227" s="507">
        <f>Port[[#This Row],[ECL (CNY)]]*Port[[#This Row],[CNY -&gt; THB]]</f>
        <v>9691043.2313647624</v>
      </c>
      <c r="AK227" s="507">
        <f>Port[[#This Row],[ECL_Interest (CNY)]]*Port[[#This Row],[CNY -&gt; THB]]</f>
        <v>0</v>
      </c>
      <c r="AL227" s="507">
        <f>Port[[#This Row],[EAD (THB)]]*Port[[#This Row],[PD_avg]]</f>
        <v>10767825.812627511</v>
      </c>
      <c r="AM227" s="507">
        <f>Port[[#This Row],[EAD_Interest (THB)]]*Port[[#This Row],[PD_avg]]</f>
        <v>0</v>
      </c>
      <c r="AN227" s="507">
        <f>Port[[#This Row],[EAD (THB)]]*Port[[#This Row],[LGD_avg]]</f>
        <v>472392000.00000012</v>
      </c>
      <c r="AO227" s="507">
        <f>Port[[#This Row],[EAD_Interest (THB)]]*Port[[#This Row],[LGD_avg]]</f>
        <v>0</v>
      </c>
      <c r="AP227" s="507">
        <f>Port[[#This Row],[EAD_Drawn (THB)]]+Port[[#This Row],[EAD_Interest (THB)]]</f>
        <v>524880000</v>
      </c>
      <c r="AQ2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9691043.2313647624</v>
      </c>
      <c r="AR227" s="522">
        <f>MAX(Port[[#This Row],[ECL (THB)]]+Port[[#This Row],[ECL_Interest (THB)]], Port[[#This Row],[ECL CBIRC (THB)]])</f>
        <v>9691043.2313647624</v>
      </c>
    </row>
    <row r="228" spans="1:44">
      <c r="A228" s="2" t="s">
        <v>206</v>
      </c>
      <c r="B228" s="2" t="s">
        <v>207</v>
      </c>
      <c r="C228" s="2" t="s">
        <v>175</v>
      </c>
      <c r="D228" s="2" t="s">
        <v>25</v>
      </c>
      <c r="E228" s="2" t="s">
        <v>172</v>
      </c>
      <c r="F228" s="2" t="s">
        <v>173</v>
      </c>
      <c r="G228" s="2" t="s">
        <v>21</v>
      </c>
      <c r="H228">
        <v>1</v>
      </c>
      <c r="I228" s="2" t="s">
        <v>526</v>
      </c>
      <c r="J228" s="505">
        <v>9.0832004774658653E-4</v>
      </c>
      <c r="K228" s="505">
        <v>0.89999999999999991</v>
      </c>
      <c r="L228" s="3">
        <v>1</v>
      </c>
      <c r="M228" s="3">
        <v>5.2488000000000001</v>
      </c>
      <c r="N228" s="507">
        <v>180000000</v>
      </c>
      <c r="O228" s="507">
        <v>0</v>
      </c>
      <c r="P228" s="507">
        <v>180000000</v>
      </c>
      <c r="Q228" s="507">
        <v>0</v>
      </c>
      <c r="R228" s="507">
        <v>147147.84773494702</v>
      </c>
      <c r="S228" s="507">
        <v>0</v>
      </c>
      <c r="T228" s="507">
        <v>147147.84773494702</v>
      </c>
      <c r="U228" s="507">
        <v>0</v>
      </c>
      <c r="V228" s="507">
        <f>Port[[#This Row],[EAD_Drawn (CNY)]]*Port[[#This Row],[CNY -&gt; FCY]]</f>
        <v>180000000</v>
      </c>
      <c r="W228" s="507">
        <f>Port[[#This Row],[EAD_Undrawn (CNY)]]*Port[[#This Row],[CNY -&gt; FCY]]</f>
        <v>0</v>
      </c>
      <c r="X228" s="507">
        <f>Port[[#This Row],[EAD (CNY)]]*Port[[#This Row],[CNY -&gt; FCY]]</f>
        <v>180000000</v>
      </c>
      <c r="Y228" s="507">
        <f>Port[[#This Row],[EAD_Interest (CNY)]]*Port[[#This Row],[CNY -&gt; FCY]]</f>
        <v>0</v>
      </c>
      <c r="Z228" s="507">
        <f>Port[[#This Row],[ECL_Drawn (CNY)]]*Port[[#This Row],[CNY -&gt; FCY]]</f>
        <v>147147.84773494702</v>
      </c>
      <c r="AA228" s="507">
        <f>Port[[#This Row],[ECL_Undrawn (CNY)]]*Port[[#This Row],[CNY -&gt; FCY]]</f>
        <v>0</v>
      </c>
      <c r="AB228" s="507">
        <f>Port[[#This Row],[ECL (CNY)]]*Port[[#This Row],[CNY -&gt; FCY]]</f>
        <v>147147.84773494702</v>
      </c>
      <c r="AC228" s="507">
        <f>Port[[#This Row],[ECL_Interest (CNY)]]*Port[[#This Row],[CNY -&gt; FCY]]</f>
        <v>0</v>
      </c>
      <c r="AD228" s="507">
        <f>Port[[#This Row],[EAD_Drawn (CNY)]]*Port[[#This Row],[CNY -&gt; THB]]</f>
        <v>944784000</v>
      </c>
      <c r="AE228" s="507">
        <f>Port[[#This Row],[EAD_Undrawn (CNY)]]*Port[[#This Row],[CNY -&gt; THB]]</f>
        <v>0</v>
      </c>
      <c r="AF228" s="507">
        <f>Port[[#This Row],[EAD (CNY)]]*Port[[#This Row],[CNY -&gt; THB]]</f>
        <v>944784000</v>
      </c>
      <c r="AG228" s="507">
        <f>Port[[#This Row],[EAD_Interest (CNY)]]*Port[[#This Row],[CNY -&gt; THB]]</f>
        <v>0</v>
      </c>
      <c r="AH228" s="507">
        <f>Port[[#This Row],[ECL_Drawn (CNY)]]*Port[[#This Row],[CNY -&gt; THB]]</f>
        <v>772349.62319118995</v>
      </c>
      <c r="AI228" s="507">
        <f>Port[[#This Row],[ECL_Undrawn (CNY)]]*Port[[#This Row],[CNY -&gt; THB]]</f>
        <v>0</v>
      </c>
      <c r="AJ228" s="507">
        <f>Port[[#This Row],[ECL (CNY)]]*Port[[#This Row],[CNY -&gt; THB]]</f>
        <v>772349.62319118995</v>
      </c>
      <c r="AK228" s="507">
        <f>Port[[#This Row],[ECL_Interest (CNY)]]*Port[[#This Row],[CNY -&gt; THB]]</f>
        <v>0</v>
      </c>
      <c r="AL228" s="507">
        <f>Port[[#This Row],[EAD (THB)]]*Port[[#This Row],[PD_avg]]</f>
        <v>858166.24799021101</v>
      </c>
      <c r="AM228" s="507">
        <f>Port[[#This Row],[EAD_Interest (THB)]]*Port[[#This Row],[PD_avg]]</f>
        <v>0</v>
      </c>
      <c r="AN228" s="507">
        <f>Port[[#This Row],[EAD (THB)]]*Port[[#This Row],[LGD_avg]]</f>
        <v>850305599.99999988</v>
      </c>
      <c r="AO228" s="507">
        <f>Port[[#This Row],[EAD_Interest (THB)]]*Port[[#This Row],[LGD_avg]]</f>
        <v>0</v>
      </c>
      <c r="AP228" s="507">
        <f>Port[[#This Row],[EAD_Drawn (THB)]]+Port[[#This Row],[EAD_Interest (THB)]]</f>
        <v>944784000</v>
      </c>
      <c r="AQ2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772349.62319118995</v>
      </c>
      <c r="AR228" s="522">
        <f>MAX(Port[[#This Row],[ECL (THB)]]+Port[[#This Row],[ECL_Interest (THB)]], Port[[#This Row],[ECL CBIRC (THB)]])</f>
        <v>772349.62319118995</v>
      </c>
    </row>
    <row r="229" spans="1:44">
      <c r="A229" s="2" t="s">
        <v>208</v>
      </c>
      <c r="B229" s="2" t="s">
        <v>203</v>
      </c>
      <c r="C229" s="2" t="s">
        <v>175</v>
      </c>
      <c r="D229" s="2" t="s">
        <v>25</v>
      </c>
      <c r="E229" s="2" t="s">
        <v>172</v>
      </c>
      <c r="F229" s="2" t="s">
        <v>173</v>
      </c>
      <c r="G229" s="2" t="s">
        <v>21</v>
      </c>
      <c r="H229">
        <v>1</v>
      </c>
      <c r="I229" s="2" t="s">
        <v>526</v>
      </c>
      <c r="J229" s="505">
        <v>2.3168391354034413E-3</v>
      </c>
      <c r="K229" s="505">
        <v>0.90000000000000013</v>
      </c>
      <c r="L229" s="3">
        <v>1</v>
      </c>
      <c r="M229" s="3">
        <v>5.2488000000000001</v>
      </c>
      <c r="N229" s="507">
        <v>100000000</v>
      </c>
      <c r="O229" s="507">
        <v>0</v>
      </c>
      <c r="P229" s="507">
        <v>100000000</v>
      </c>
      <c r="Q229" s="507">
        <v>0</v>
      </c>
      <c r="R229" s="507">
        <v>208515.52218630974</v>
      </c>
      <c r="S229" s="507">
        <v>0</v>
      </c>
      <c r="T229" s="507">
        <v>208515.52218630974</v>
      </c>
      <c r="U229" s="507">
        <v>0</v>
      </c>
      <c r="V229" s="507">
        <f>Port[[#This Row],[EAD_Drawn (CNY)]]*Port[[#This Row],[CNY -&gt; FCY]]</f>
        <v>100000000</v>
      </c>
      <c r="W229" s="507">
        <f>Port[[#This Row],[EAD_Undrawn (CNY)]]*Port[[#This Row],[CNY -&gt; FCY]]</f>
        <v>0</v>
      </c>
      <c r="X229" s="507">
        <f>Port[[#This Row],[EAD (CNY)]]*Port[[#This Row],[CNY -&gt; FCY]]</f>
        <v>100000000</v>
      </c>
      <c r="Y229" s="507">
        <f>Port[[#This Row],[EAD_Interest (CNY)]]*Port[[#This Row],[CNY -&gt; FCY]]</f>
        <v>0</v>
      </c>
      <c r="Z229" s="507">
        <f>Port[[#This Row],[ECL_Drawn (CNY)]]*Port[[#This Row],[CNY -&gt; FCY]]</f>
        <v>208515.52218630974</v>
      </c>
      <c r="AA229" s="507">
        <f>Port[[#This Row],[ECL_Undrawn (CNY)]]*Port[[#This Row],[CNY -&gt; FCY]]</f>
        <v>0</v>
      </c>
      <c r="AB229" s="507">
        <f>Port[[#This Row],[ECL (CNY)]]*Port[[#This Row],[CNY -&gt; FCY]]</f>
        <v>208515.52218630974</v>
      </c>
      <c r="AC229" s="507">
        <f>Port[[#This Row],[ECL_Interest (CNY)]]*Port[[#This Row],[CNY -&gt; FCY]]</f>
        <v>0</v>
      </c>
      <c r="AD229" s="507">
        <f>Port[[#This Row],[EAD_Drawn (CNY)]]*Port[[#This Row],[CNY -&gt; THB]]</f>
        <v>524880000</v>
      </c>
      <c r="AE229" s="507">
        <f>Port[[#This Row],[EAD_Undrawn (CNY)]]*Port[[#This Row],[CNY -&gt; THB]]</f>
        <v>0</v>
      </c>
      <c r="AF229" s="507">
        <f>Port[[#This Row],[EAD (CNY)]]*Port[[#This Row],[CNY -&gt; THB]]</f>
        <v>524880000</v>
      </c>
      <c r="AG229" s="507">
        <f>Port[[#This Row],[EAD_Interest (CNY)]]*Port[[#This Row],[CNY -&gt; THB]]</f>
        <v>0</v>
      </c>
      <c r="AH229" s="507">
        <f>Port[[#This Row],[ECL_Drawn (CNY)]]*Port[[#This Row],[CNY -&gt; THB]]</f>
        <v>1094456.2728515025</v>
      </c>
      <c r="AI229" s="507">
        <f>Port[[#This Row],[ECL_Undrawn (CNY)]]*Port[[#This Row],[CNY -&gt; THB]]</f>
        <v>0</v>
      </c>
      <c r="AJ229" s="507">
        <f>Port[[#This Row],[ECL (CNY)]]*Port[[#This Row],[CNY -&gt; THB]]</f>
        <v>1094456.2728515025</v>
      </c>
      <c r="AK229" s="507">
        <f>Port[[#This Row],[ECL_Interest (CNY)]]*Port[[#This Row],[CNY -&gt; THB]]</f>
        <v>0</v>
      </c>
      <c r="AL229" s="507">
        <f>Port[[#This Row],[EAD (THB)]]*Port[[#This Row],[PD_avg]]</f>
        <v>1216062.5253905582</v>
      </c>
      <c r="AM229" s="507">
        <f>Port[[#This Row],[EAD_Interest (THB)]]*Port[[#This Row],[PD_avg]]</f>
        <v>0</v>
      </c>
      <c r="AN229" s="507">
        <f>Port[[#This Row],[EAD (THB)]]*Port[[#This Row],[LGD_avg]]</f>
        <v>472392000.00000006</v>
      </c>
      <c r="AO229" s="507">
        <f>Port[[#This Row],[EAD_Interest (THB)]]*Port[[#This Row],[LGD_avg]]</f>
        <v>0</v>
      </c>
      <c r="AP229" s="507">
        <f>Port[[#This Row],[EAD_Drawn (THB)]]+Port[[#This Row],[EAD_Interest (THB)]]</f>
        <v>524880000</v>
      </c>
      <c r="AQ2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1094456.2728515025</v>
      </c>
      <c r="AR229" s="522">
        <f>MAX(Port[[#This Row],[ECL (THB)]]+Port[[#This Row],[ECL_Interest (THB)]], Port[[#This Row],[ECL CBIRC (THB)]])</f>
        <v>1094456.2728515025</v>
      </c>
    </row>
    <row r="230" spans="1:44">
      <c r="A230" s="2" t="s">
        <v>211</v>
      </c>
      <c r="B230" s="2" t="s">
        <v>180</v>
      </c>
      <c r="C230" s="2" t="s">
        <v>175</v>
      </c>
      <c r="D230" s="2" t="s">
        <v>25</v>
      </c>
      <c r="E230" s="2" t="s">
        <v>172</v>
      </c>
      <c r="F230" s="2" t="s">
        <v>173</v>
      </c>
      <c r="G230" s="2" t="s">
        <v>21</v>
      </c>
      <c r="H230">
        <v>1</v>
      </c>
      <c r="I230" s="2" t="s">
        <v>526</v>
      </c>
      <c r="J230" s="505">
        <v>5.2260409683794924E-3</v>
      </c>
      <c r="K230" s="505">
        <v>0.9</v>
      </c>
      <c r="L230" s="3">
        <v>1</v>
      </c>
      <c r="M230" s="3">
        <v>5.2488000000000001</v>
      </c>
      <c r="N230" s="507">
        <v>50000000</v>
      </c>
      <c r="O230" s="507">
        <v>0</v>
      </c>
      <c r="P230" s="507">
        <v>50000000</v>
      </c>
      <c r="Q230" s="507">
        <v>31111.11</v>
      </c>
      <c r="R230" s="507">
        <v>235171.84357707715</v>
      </c>
      <c r="S230" s="507">
        <v>0</v>
      </c>
      <c r="T230" s="507">
        <v>235171.84357707715</v>
      </c>
      <c r="U230" s="507">
        <v>146.32914188858479</v>
      </c>
      <c r="V230" s="507">
        <f>Port[[#This Row],[EAD_Drawn (CNY)]]*Port[[#This Row],[CNY -&gt; FCY]]</f>
        <v>50000000</v>
      </c>
      <c r="W230" s="507">
        <f>Port[[#This Row],[EAD_Undrawn (CNY)]]*Port[[#This Row],[CNY -&gt; FCY]]</f>
        <v>0</v>
      </c>
      <c r="X230" s="507">
        <f>Port[[#This Row],[EAD (CNY)]]*Port[[#This Row],[CNY -&gt; FCY]]</f>
        <v>50000000</v>
      </c>
      <c r="Y230" s="507">
        <f>Port[[#This Row],[EAD_Interest (CNY)]]*Port[[#This Row],[CNY -&gt; FCY]]</f>
        <v>31111.11</v>
      </c>
      <c r="Z230" s="507">
        <f>Port[[#This Row],[ECL_Drawn (CNY)]]*Port[[#This Row],[CNY -&gt; FCY]]</f>
        <v>235171.84357707715</v>
      </c>
      <c r="AA230" s="507">
        <f>Port[[#This Row],[ECL_Undrawn (CNY)]]*Port[[#This Row],[CNY -&gt; FCY]]</f>
        <v>0</v>
      </c>
      <c r="AB230" s="507">
        <f>Port[[#This Row],[ECL (CNY)]]*Port[[#This Row],[CNY -&gt; FCY]]</f>
        <v>235171.84357707715</v>
      </c>
      <c r="AC230" s="507">
        <f>Port[[#This Row],[ECL_Interest (CNY)]]*Port[[#This Row],[CNY -&gt; FCY]]</f>
        <v>146.32914188858479</v>
      </c>
      <c r="AD230" s="507">
        <f>Port[[#This Row],[EAD_Drawn (CNY)]]*Port[[#This Row],[CNY -&gt; THB]]</f>
        <v>262440000</v>
      </c>
      <c r="AE230" s="507">
        <f>Port[[#This Row],[EAD_Undrawn (CNY)]]*Port[[#This Row],[CNY -&gt; THB]]</f>
        <v>0</v>
      </c>
      <c r="AF230" s="507">
        <f>Port[[#This Row],[EAD (CNY)]]*Port[[#This Row],[CNY -&gt; THB]]</f>
        <v>262440000</v>
      </c>
      <c r="AG230" s="507">
        <f>Port[[#This Row],[EAD_Interest (CNY)]]*Port[[#This Row],[CNY -&gt; THB]]</f>
        <v>163295.994168</v>
      </c>
      <c r="AH230" s="507">
        <f>Port[[#This Row],[ECL_Drawn (CNY)]]*Port[[#This Row],[CNY -&gt; THB]]</f>
        <v>1234369.9725673625</v>
      </c>
      <c r="AI230" s="507">
        <f>Port[[#This Row],[ECL_Undrawn (CNY)]]*Port[[#This Row],[CNY -&gt; THB]]</f>
        <v>0</v>
      </c>
      <c r="AJ230" s="507">
        <f>Port[[#This Row],[ECL (CNY)]]*Port[[#This Row],[CNY -&gt; THB]]</f>
        <v>1234369.9725673625</v>
      </c>
      <c r="AK230" s="507">
        <f>Port[[#This Row],[ECL_Interest (CNY)]]*Port[[#This Row],[CNY -&gt; THB]]</f>
        <v>768.05239994480382</v>
      </c>
      <c r="AL230" s="507">
        <f>Port[[#This Row],[EAD (THB)]]*Port[[#This Row],[PD_avg]]</f>
        <v>1371522.191741514</v>
      </c>
      <c r="AM230" s="507">
        <f>Port[[#This Row],[EAD_Interest (THB)]]*Port[[#This Row],[PD_avg]]</f>
        <v>853.39155549422674</v>
      </c>
      <c r="AN230" s="507">
        <f>Port[[#This Row],[EAD (THB)]]*Port[[#This Row],[LGD_avg]]</f>
        <v>236196000</v>
      </c>
      <c r="AO230" s="507">
        <f>Port[[#This Row],[EAD_Interest (THB)]]*Port[[#This Row],[LGD_avg]]</f>
        <v>146966.39475120002</v>
      </c>
      <c r="AP230" s="507">
        <f>Port[[#This Row],[EAD_Drawn (THB)]]+Port[[#This Row],[EAD_Interest (THB)]]</f>
        <v>262603295.99416801</v>
      </c>
      <c r="AQ2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1235138.0249673072</v>
      </c>
      <c r="AR230" s="522">
        <f>MAX(Port[[#This Row],[ECL (THB)]]+Port[[#This Row],[ECL_Interest (THB)]], Port[[#This Row],[ECL CBIRC (THB)]])</f>
        <v>1235138.0249673072</v>
      </c>
    </row>
    <row r="231" spans="1:44">
      <c r="A231" s="2" t="s">
        <v>212</v>
      </c>
      <c r="B231" s="2" t="s">
        <v>213</v>
      </c>
      <c r="C231" s="2" t="s">
        <v>175</v>
      </c>
      <c r="D231" s="2" t="s">
        <v>25</v>
      </c>
      <c r="E231" s="2" t="s">
        <v>172</v>
      </c>
      <c r="F231" s="2" t="s">
        <v>173</v>
      </c>
      <c r="G231" s="2" t="s">
        <v>21</v>
      </c>
      <c r="H231">
        <v>1</v>
      </c>
      <c r="I231" s="2" t="s">
        <v>526</v>
      </c>
      <c r="J231" s="505">
        <v>2.0514833509807026E-2</v>
      </c>
      <c r="K231" s="505">
        <v>0.90000000000000024</v>
      </c>
      <c r="L231" s="3">
        <v>1</v>
      </c>
      <c r="M231" s="3">
        <v>5.2488000000000001</v>
      </c>
      <c r="N231" s="507">
        <v>100000000</v>
      </c>
      <c r="O231" s="507">
        <v>0</v>
      </c>
      <c r="P231" s="507">
        <v>100000000</v>
      </c>
      <c r="Q231" s="507">
        <v>105972.22</v>
      </c>
      <c r="R231" s="507">
        <v>1846335.0158826327</v>
      </c>
      <c r="S231" s="507">
        <v>0</v>
      </c>
      <c r="T231" s="507">
        <v>1846335.0158826327</v>
      </c>
      <c r="U231" s="507">
        <v>1956.6022049681783</v>
      </c>
      <c r="V231" s="507">
        <f>Port[[#This Row],[EAD_Drawn (CNY)]]*Port[[#This Row],[CNY -&gt; FCY]]</f>
        <v>100000000</v>
      </c>
      <c r="W231" s="507">
        <f>Port[[#This Row],[EAD_Undrawn (CNY)]]*Port[[#This Row],[CNY -&gt; FCY]]</f>
        <v>0</v>
      </c>
      <c r="X231" s="507">
        <f>Port[[#This Row],[EAD (CNY)]]*Port[[#This Row],[CNY -&gt; FCY]]</f>
        <v>100000000</v>
      </c>
      <c r="Y231" s="507">
        <f>Port[[#This Row],[EAD_Interest (CNY)]]*Port[[#This Row],[CNY -&gt; FCY]]</f>
        <v>105972.22</v>
      </c>
      <c r="Z231" s="507">
        <f>Port[[#This Row],[ECL_Drawn (CNY)]]*Port[[#This Row],[CNY -&gt; FCY]]</f>
        <v>1846335.0158826327</v>
      </c>
      <c r="AA231" s="507">
        <f>Port[[#This Row],[ECL_Undrawn (CNY)]]*Port[[#This Row],[CNY -&gt; FCY]]</f>
        <v>0</v>
      </c>
      <c r="AB231" s="507">
        <f>Port[[#This Row],[ECL (CNY)]]*Port[[#This Row],[CNY -&gt; FCY]]</f>
        <v>1846335.0158826327</v>
      </c>
      <c r="AC231" s="507">
        <f>Port[[#This Row],[ECL_Interest (CNY)]]*Port[[#This Row],[CNY -&gt; FCY]]</f>
        <v>1956.6022049681783</v>
      </c>
      <c r="AD231" s="507">
        <f>Port[[#This Row],[EAD_Drawn (CNY)]]*Port[[#This Row],[CNY -&gt; THB]]</f>
        <v>524880000</v>
      </c>
      <c r="AE231" s="507">
        <f>Port[[#This Row],[EAD_Undrawn (CNY)]]*Port[[#This Row],[CNY -&gt; THB]]</f>
        <v>0</v>
      </c>
      <c r="AF231" s="507">
        <f>Port[[#This Row],[EAD (CNY)]]*Port[[#This Row],[CNY -&gt; THB]]</f>
        <v>524880000</v>
      </c>
      <c r="AG231" s="507">
        <f>Port[[#This Row],[EAD_Interest (CNY)]]*Port[[#This Row],[CNY -&gt; THB]]</f>
        <v>556226.98833600001</v>
      </c>
      <c r="AH231" s="507">
        <f>Port[[#This Row],[ECL_Drawn (CNY)]]*Port[[#This Row],[CNY -&gt; THB]]</f>
        <v>9691043.2313647624</v>
      </c>
      <c r="AI231" s="507">
        <f>Port[[#This Row],[ECL_Undrawn (CNY)]]*Port[[#This Row],[CNY -&gt; THB]]</f>
        <v>0</v>
      </c>
      <c r="AJ231" s="507">
        <f>Port[[#This Row],[ECL (CNY)]]*Port[[#This Row],[CNY -&gt; THB]]</f>
        <v>9691043.2313647624</v>
      </c>
      <c r="AK231" s="507">
        <f>Port[[#This Row],[ECL_Interest (CNY)]]*Port[[#This Row],[CNY -&gt; THB]]</f>
        <v>10269.813653436975</v>
      </c>
      <c r="AL231" s="507">
        <f>Port[[#This Row],[EAD (THB)]]*Port[[#This Row],[PD_avg]]</f>
        <v>10767825.812627511</v>
      </c>
      <c r="AM231" s="507">
        <f>Port[[#This Row],[EAD_Interest (THB)]]*Port[[#This Row],[PD_avg]]</f>
        <v>11410.904059374416</v>
      </c>
      <c r="AN231" s="507">
        <f>Port[[#This Row],[EAD (THB)]]*Port[[#This Row],[LGD_avg]]</f>
        <v>472392000.00000012</v>
      </c>
      <c r="AO231" s="507">
        <f>Port[[#This Row],[EAD_Interest (THB)]]*Port[[#This Row],[LGD_avg]]</f>
        <v>500604.28950240015</v>
      </c>
      <c r="AP231" s="507">
        <f>Port[[#This Row],[EAD_Drawn (THB)]]+Port[[#This Row],[EAD_Interest (THB)]]</f>
        <v>525436226.98833603</v>
      </c>
      <c r="AQ2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9701313.0450181998</v>
      </c>
      <c r="AR231" s="522">
        <f>MAX(Port[[#This Row],[ECL (THB)]]+Port[[#This Row],[ECL_Interest (THB)]], Port[[#This Row],[ECL CBIRC (THB)]])</f>
        <v>9701313.0450181998</v>
      </c>
    </row>
    <row r="232" spans="1:44">
      <c r="A232" s="2" t="s">
        <v>214</v>
      </c>
      <c r="B232" s="2" t="s">
        <v>188</v>
      </c>
      <c r="C232" s="2" t="s">
        <v>175</v>
      </c>
      <c r="D232" s="2" t="s">
        <v>25</v>
      </c>
      <c r="E232" s="2" t="s">
        <v>172</v>
      </c>
      <c r="F232" s="2" t="s">
        <v>173</v>
      </c>
      <c r="G232" s="2" t="s">
        <v>21</v>
      </c>
      <c r="H232">
        <v>1</v>
      </c>
      <c r="I232" s="2" t="s">
        <v>526</v>
      </c>
      <c r="J232" s="505">
        <v>2.0514833509807026E-2</v>
      </c>
      <c r="K232" s="505">
        <v>0.90000000000000024</v>
      </c>
      <c r="L232" s="3">
        <v>1</v>
      </c>
      <c r="M232" s="3">
        <v>5.2488000000000001</v>
      </c>
      <c r="N232" s="507">
        <v>50000000</v>
      </c>
      <c r="O232" s="507">
        <v>0</v>
      </c>
      <c r="P232" s="507">
        <v>50000000</v>
      </c>
      <c r="Q232" s="507">
        <v>1000000</v>
      </c>
      <c r="R232" s="507">
        <v>923167.50794131635</v>
      </c>
      <c r="S232" s="507">
        <v>0</v>
      </c>
      <c r="T232" s="507">
        <v>923167.50794131635</v>
      </c>
      <c r="U232" s="507">
        <v>18463.350158826328</v>
      </c>
      <c r="V232" s="507">
        <f>Port[[#This Row],[EAD_Drawn (CNY)]]*Port[[#This Row],[CNY -&gt; FCY]]</f>
        <v>50000000</v>
      </c>
      <c r="W232" s="507">
        <f>Port[[#This Row],[EAD_Undrawn (CNY)]]*Port[[#This Row],[CNY -&gt; FCY]]</f>
        <v>0</v>
      </c>
      <c r="X232" s="507">
        <f>Port[[#This Row],[EAD (CNY)]]*Port[[#This Row],[CNY -&gt; FCY]]</f>
        <v>50000000</v>
      </c>
      <c r="Y232" s="507">
        <f>Port[[#This Row],[EAD_Interest (CNY)]]*Port[[#This Row],[CNY -&gt; FCY]]</f>
        <v>1000000</v>
      </c>
      <c r="Z232" s="507">
        <f>Port[[#This Row],[ECL_Drawn (CNY)]]*Port[[#This Row],[CNY -&gt; FCY]]</f>
        <v>923167.50794131635</v>
      </c>
      <c r="AA232" s="507">
        <f>Port[[#This Row],[ECL_Undrawn (CNY)]]*Port[[#This Row],[CNY -&gt; FCY]]</f>
        <v>0</v>
      </c>
      <c r="AB232" s="507">
        <f>Port[[#This Row],[ECL (CNY)]]*Port[[#This Row],[CNY -&gt; FCY]]</f>
        <v>923167.50794131635</v>
      </c>
      <c r="AC232" s="507">
        <f>Port[[#This Row],[ECL_Interest (CNY)]]*Port[[#This Row],[CNY -&gt; FCY]]</f>
        <v>18463.350158826328</v>
      </c>
      <c r="AD232" s="507">
        <f>Port[[#This Row],[EAD_Drawn (CNY)]]*Port[[#This Row],[CNY -&gt; THB]]</f>
        <v>262440000</v>
      </c>
      <c r="AE232" s="507">
        <f>Port[[#This Row],[EAD_Undrawn (CNY)]]*Port[[#This Row],[CNY -&gt; THB]]</f>
        <v>0</v>
      </c>
      <c r="AF232" s="507">
        <f>Port[[#This Row],[EAD (CNY)]]*Port[[#This Row],[CNY -&gt; THB]]</f>
        <v>262440000</v>
      </c>
      <c r="AG232" s="507">
        <f>Port[[#This Row],[EAD_Interest (CNY)]]*Port[[#This Row],[CNY -&gt; THB]]</f>
        <v>5248800</v>
      </c>
      <c r="AH232" s="507">
        <f>Port[[#This Row],[ECL_Drawn (CNY)]]*Port[[#This Row],[CNY -&gt; THB]]</f>
        <v>4845521.6156823812</v>
      </c>
      <c r="AI232" s="507">
        <f>Port[[#This Row],[ECL_Undrawn (CNY)]]*Port[[#This Row],[CNY -&gt; THB]]</f>
        <v>0</v>
      </c>
      <c r="AJ232" s="507">
        <f>Port[[#This Row],[ECL (CNY)]]*Port[[#This Row],[CNY -&gt; THB]]</f>
        <v>4845521.6156823812</v>
      </c>
      <c r="AK232" s="507">
        <f>Port[[#This Row],[ECL_Interest (CNY)]]*Port[[#This Row],[CNY -&gt; THB]]</f>
        <v>96910.432313647631</v>
      </c>
      <c r="AL232" s="507">
        <f>Port[[#This Row],[EAD (THB)]]*Port[[#This Row],[PD_avg]]</f>
        <v>5383912.9063137555</v>
      </c>
      <c r="AM232" s="507">
        <f>Port[[#This Row],[EAD_Interest (THB)]]*Port[[#This Row],[PD_avg]]</f>
        <v>107678.25812627512</v>
      </c>
      <c r="AN232" s="507">
        <f>Port[[#This Row],[EAD (THB)]]*Port[[#This Row],[LGD_avg]]</f>
        <v>236196000.00000006</v>
      </c>
      <c r="AO232" s="507">
        <f>Port[[#This Row],[EAD_Interest (THB)]]*Port[[#This Row],[LGD_avg]]</f>
        <v>4723920.0000000009</v>
      </c>
      <c r="AP232" s="507">
        <f>Port[[#This Row],[EAD_Drawn (THB)]]+Port[[#This Row],[EAD_Interest (THB)]]</f>
        <v>267688800</v>
      </c>
      <c r="AQ2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4942432.0479960293</v>
      </c>
      <c r="AR232" s="522">
        <f>MAX(Port[[#This Row],[ECL (THB)]]+Port[[#This Row],[ECL_Interest (THB)]], Port[[#This Row],[ECL CBIRC (THB)]])</f>
        <v>4942432.0479960293</v>
      </c>
    </row>
    <row r="233" spans="1:44">
      <c r="A233" s="2" t="s">
        <v>976</v>
      </c>
      <c r="B233" s="2" t="s">
        <v>193</v>
      </c>
      <c r="C233" s="2" t="s">
        <v>175</v>
      </c>
      <c r="D233" s="2" t="s">
        <v>25</v>
      </c>
      <c r="E233" s="2" t="s">
        <v>172</v>
      </c>
      <c r="F233" s="2" t="s">
        <v>173</v>
      </c>
      <c r="G233" s="2" t="s">
        <v>21</v>
      </c>
      <c r="H233">
        <v>1</v>
      </c>
      <c r="I233" s="2" t="s">
        <v>526</v>
      </c>
      <c r="J233" s="505">
        <v>9.0832004774658653E-4</v>
      </c>
      <c r="K233" s="505">
        <v>0.9</v>
      </c>
      <c r="L233" s="3">
        <v>1</v>
      </c>
      <c r="M233" s="3">
        <v>5.2488000000000001</v>
      </c>
      <c r="N233" s="507">
        <v>100000000</v>
      </c>
      <c r="O233" s="507">
        <v>0</v>
      </c>
      <c r="P233" s="507">
        <v>100000000</v>
      </c>
      <c r="Q233" s="507">
        <v>76805.56</v>
      </c>
      <c r="R233" s="507">
        <v>81748.804297192793</v>
      </c>
      <c r="S233" s="507">
        <v>0</v>
      </c>
      <c r="T233" s="507">
        <v>81748.804297192793</v>
      </c>
      <c r="U233" s="507">
        <v>62.787626933762979</v>
      </c>
      <c r="V233" s="507">
        <f>Port[[#This Row],[EAD_Drawn (CNY)]]*Port[[#This Row],[CNY -&gt; FCY]]</f>
        <v>100000000</v>
      </c>
      <c r="W233" s="507">
        <f>Port[[#This Row],[EAD_Undrawn (CNY)]]*Port[[#This Row],[CNY -&gt; FCY]]</f>
        <v>0</v>
      </c>
      <c r="X233" s="507">
        <f>Port[[#This Row],[EAD (CNY)]]*Port[[#This Row],[CNY -&gt; FCY]]</f>
        <v>100000000</v>
      </c>
      <c r="Y233" s="507">
        <f>Port[[#This Row],[EAD_Interest (CNY)]]*Port[[#This Row],[CNY -&gt; FCY]]</f>
        <v>76805.56</v>
      </c>
      <c r="Z233" s="507">
        <f>Port[[#This Row],[ECL_Drawn (CNY)]]*Port[[#This Row],[CNY -&gt; FCY]]</f>
        <v>81748.804297192793</v>
      </c>
      <c r="AA233" s="507">
        <f>Port[[#This Row],[ECL_Undrawn (CNY)]]*Port[[#This Row],[CNY -&gt; FCY]]</f>
        <v>0</v>
      </c>
      <c r="AB233" s="507">
        <f>Port[[#This Row],[ECL (CNY)]]*Port[[#This Row],[CNY -&gt; FCY]]</f>
        <v>81748.804297192793</v>
      </c>
      <c r="AC233" s="507">
        <f>Port[[#This Row],[ECL_Interest (CNY)]]*Port[[#This Row],[CNY -&gt; FCY]]</f>
        <v>62.787626933762979</v>
      </c>
      <c r="AD233" s="507">
        <f>Port[[#This Row],[EAD_Drawn (CNY)]]*Port[[#This Row],[CNY -&gt; THB]]</f>
        <v>524880000</v>
      </c>
      <c r="AE233" s="507">
        <f>Port[[#This Row],[EAD_Undrawn (CNY)]]*Port[[#This Row],[CNY -&gt; THB]]</f>
        <v>0</v>
      </c>
      <c r="AF233" s="507">
        <f>Port[[#This Row],[EAD (CNY)]]*Port[[#This Row],[CNY -&gt; THB]]</f>
        <v>524880000</v>
      </c>
      <c r="AG233" s="507">
        <f>Port[[#This Row],[EAD_Interest (CNY)]]*Port[[#This Row],[CNY -&gt; THB]]</f>
        <v>403137.02332799998</v>
      </c>
      <c r="AH233" s="507">
        <f>Port[[#This Row],[ECL_Drawn (CNY)]]*Port[[#This Row],[CNY -&gt; THB]]</f>
        <v>429083.12399510556</v>
      </c>
      <c r="AI233" s="507">
        <f>Port[[#This Row],[ECL_Undrawn (CNY)]]*Port[[#This Row],[CNY -&gt; THB]]</f>
        <v>0</v>
      </c>
      <c r="AJ233" s="507">
        <f>Port[[#This Row],[ECL (CNY)]]*Port[[#This Row],[CNY -&gt; THB]]</f>
        <v>429083.12399510556</v>
      </c>
      <c r="AK233" s="507">
        <f>Port[[#This Row],[ECL_Interest (CNY)]]*Port[[#This Row],[CNY -&gt; THB]]</f>
        <v>329.55969624993514</v>
      </c>
      <c r="AL233" s="507">
        <f>Port[[#This Row],[EAD (THB)]]*Port[[#This Row],[PD_avg]]</f>
        <v>476759.02666122833</v>
      </c>
      <c r="AM233" s="507">
        <f>Port[[#This Row],[EAD_Interest (THB)]]*Port[[#This Row],[PD_avg]]</f>
        <v>366.17744027770573</v>
      </c>
      <c r="AN233" s="507">
        <f>Port[[#This Row],[EAD (THB)]]*Port[[#This Row],[LGD_avg]]</f>
        <v>472392000</v>
      </c>
      <c r="AO233" s="507">
        <f>Port[[#This Row],[EAD_Interest (THB)]]*Port[[#This Row],[LGD_avg]]</f>
        <v>362823.32099520002</v>
      </c>
      <c r="AP233" s="507">
        <f>Port[[#This Row],[EAD_Drawn (THB)]]+Port[[#This Row],[EAD_Interest (THB)]]</f>
        <v>525283137.02332801</v>
      </c>
      <c r="AQ2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429412.68369135552</v>
      </c>
      <c r="AR233" s="522">
        <f>MAX(Port[[#This Row],[ECL (THB)]]+Port[[#This Row],[ECL_Interest (THB)]], Port[[#This Row],[ECL CBIRC (THB)]])</f>
        <v>429412.68369135552</v>
      </c>
    </row>
    <row r="234" spans="1:44">
      <c r="A234" s="2" t="s">
        <v>977</v>
      </c>
      <c r="B234" s="2" t="s">
        <v>209</v>
      </c>
      <c r="C234" s="2" t="s">
        <v>175</v>
      </c>
      <c r="D234" s="2" t="s">
        <v>25</v>
      </c>
      <c r="E234" s="2" t="s">
        <v>172</v>
      </c>
      <c r="F234" s="2" t="s">
        <v>173</v>
      </c>
      <c r="G234" s="2" t="s">
        <v>21</v>
      </c>
      <c r="H234">
        <v>1</v>
      </c>
      <c r="I234" s="2" t="s">
        <v>526</v>
      </c>
      <c r="J234" s="505">
        <v>5.2260409683794924E-3</v>
      </c>
      <c r="K234" s="505">
        <v>0.9</v>
      </c>
      <c r="L234" s="3">
        <v>1</v>
      </c>
      <c r="M234" s="3">
        <v>5.2488000000000001</v>
      </c>
      <c r="N234" s="507">
        <v>100000000</v>
      </c>
      <c r="O234" s="507">
        <v>0</v>
      </c>
      <c r="P234" s="507">
        <v>100000000</v>
      </c>
      <c r="Q234" s="507">
        <v>82638.89</v>
      </c>
      <c r="R234" s="507">
        <v>470343.68715415429</v>
      </c>
      <c r="S234" s="507">
        <v>0</v>
      </c>
      <c r="T234" s="507">
        <v>470343.68715415429</v>
      </c>
      <c r="U234" s="507">
        <v>388.68680224926567</v>
      </c>
      <c r="V234" s="507">
        <f>Port[[#This Row],[EAD_Drawn (CNY)]]*Port[[#This Row],[CNY -&gt; FCY]]</f>
        <v>100000000</v>
      </c>
      <c r="W234" s="507">
        <f>Port[[#This Row],[EAD_Undrawn (CNY)]]*Port[[#This Row],[CNY -&gt; FCY]]</f>
        <v>0</v>
      </c>
      <c r="X234" s="507">
        <f>Port[[#This Row],[EAD (CNY)]]*Port[[#This Row],[CNY -&gt; FCY]]</f>
        <v>100000000</v>
      </c>
      <c r="Y234" s="507">
        <f>Port[[#This Row],[EAD_Interest (CNY)]]*Port[[#This Row],[CNY -&gt; FCY]]</f>
        <v>82638.89</v>
      </c>
      <c r="Z234" s="507">
        <f>Port[[#This Row],[ECL_Drawn (CNY)]]*Port[[#This Row],[CNY -&gt; FCY]]</f>
        <v>470343.68715415429</v>
      </c>
      <c r="AA234" s="507">
        <f>Port[[#This Row],[ECL_Undrawn (CNY)]]*Port[[#This Row],[CNY -&gt; FCY]]</f>
        <v>0</v>
      </c>
      <c r="AB234" s="507">
        <f>Port[[#This Row],[ECL (CNY)]]*Port[[#This Row],[CNY -&gt; FCY]]</f>
        <v>470343.68715415429</v>
      </c>
      <c r="AC234" s="507">
        <f>Port[[#This Row],[ECL_Interest (CNY)]]*Port[[#This Row],[CNY -&gt; FCY]]</f>
        <v>388.68680224926567</v>
      </c>
      <c r="AD234" s="507">
        <f>Port[[#This Row],[EAD_Drawn (CNY)]]*Port[[#This Row],[CNY -&gt; THB]]</f>
        <v>524880000</v>
      </c>
      <c r="AE234" s="507">
        <f>Port[[#This Row],[EAD_Undrawn (CNY)]]*Port[[#This Row],[CNY -&gt; THB]]</f>
        <v>0</v>
      </c>
      <c r="AF234" s="507">
        <f>Port[[#This Row],[EAD (CNY)]]*Port[[#This Row],[CNY -&gt; THB]]</f>
        <v>524880000</v>
      </c>
      <c r="AG234" s="507">
        <f>Port[[#This Row],[EAD_Interest (CNY)]]*Port[[#This Row],[CNY -&gt; THB]]</f>
        <v>433755.005832</v>
      </c>
      <c r="AH234" s="507">
        <f>Port[[#This Row],[ECL_Drawn (CNY)]]*Port[[#This Row],[CNY -&gt; THB]]</f>
        <v>2468739.945134725</v>
      </c>
      <c r="AI234" s="507">
        <f>Port[[#This Row],[ECL_Undrawn (CNY)]]*Port[[#This Row],[CNY -&gt; THB]]</f>
        <v>0</v>
      </c>
      <c r="AJ234" s="507">
        <f>Port[[#This Row],[ECL (CNY)]]*Port[[#This Row],[CNY -&gt; THB]]</f>
        <v>2468739.945134725</v>
      </c>
      <c r="AK234" s="507">
        <f>Port[[#This Row],[ECL_Interest (CNY)]]*Port[[#This Row],[CNY -&gt; THB]]</f>
        <v>2040.1392876459456</v>
      </c>
      <c r="AL234" s="507">
        <f>Port[[#This Row],[EAD (THB)]]*Port[[#This Row],[PD_avg]]</f>
        <v>2743044.383483028</v>
      </c>
      <c r="AM234" s="507">
        <f>Port[[#This Row],[EAD_Interest (THB)]]*Port[[#This Row],[PD_avg]]</f>
        <v>2266.8214307177177</v>
      </c>
      <c r="AN234" s="507">
        <f>Port[[#This Row],[EAD (THB)]]*Port[[#This Row],[LGD_avg]]</f>
        <v>472392000</v>
      </c>
      <c r="AO234" s="507">
        <f>Port[[#This Row],[EAD_Interest (THB)]]*Port[[#This Row],[LGD_avg]]</f>
        <v>390379.50524879998</v>
      </c>
      <c r="AP234" s="507">
        <f>Port[[#This Row],[EAD_Drawn (THB)]]+Port[[#This Row],[EAD_Interest (THB)]]</f>
        <v>525313755.00583202</v>
      </c>
      <c r="AQ2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2470780.0844223709</v>
      </c>
      <c r="AR234" s="522">
        <f>MAX(Port[[#This Row],[ECL (THB)]]+Port[[#This Row],[ECL_Interest (THB)]], Port[[#This Row],[ECL CBIRC (THB)]])</f>
        <v>2470780.0844223709</v>
      </c>
    </row>
    <row r="235" spans="1:44">
      <c r="A235" s="2" t="s">
        <v>978</v>
      </c>
      <c r="B235" s="2" t="s">
        <v>188</v>
      </c>
      <c r="C235" s="2" t="s">
        <v>175</v>
      </c>
      <c r="D235" s="2" t="s">
        <v>25</v>
      </c>
      <c r="E235" s="2" t="s">
        <v>172</v>
      </c>
      <c r="F235" s="2" t="s">
        <v>173</v>
      </c>
      <c r="G235" s="2" t="s">
        <v>21</v>
      </c>
      <c r="H235">
        <v>1</v>
      </c>
      <c r="I235" s="2" t="s">
        <v>526</v>
      </c>
      <c r="J235" s="505">
        <v>2.0514833509807026E-2</v>
      </c>
      <c r="K235" s="505">
        <v>0.90000000000000024</v>
      </c>
      <c r="L235" s="3">
        <v>1</v>
      </c>
      <c r="M235" s="3">
        <v>5.2488000000000001</v>
      </c>
      <c r="N235" s="507">
        <v>100000000</v>
      </c>
      <c r="O235" s="507">
        <v>0</v>
      </c>
      <c r="P235" s="507">
        <v>100000000</v>
      </c>
      <c r="Q235" s="507">
        <v>1796666.67</v>
      </c>
      <c r="R235" s="507">
        <v>1846335.0158826327</v>
      </c>
      <c r="S235" s="507">
        <v>0</v>
      </c>
      <c r="T235" s="507">
        <v>1846335.0158826327</v>
      </c>
      <c r="U235" s="507">
        <v>33172.485846902462</v>
      </c>
      <c r="V235" s="507">
        <f>Port[[#This Row],[EAD_Drawn (CNY)]]*Port[[#This Row],[CNY -&gt; FCY]]</f>
        <v>100000000</v>
      </c>
      <c r="W235" s="507">
        <f>Port[[#This Row],[EAD_Undrawn (CNY)]]*Port[[#This Row],[CNY -&gt; FCY]]</f>
        <v>0</v>
      </c>
      <c r="X235" s="507">
        <f>Port[[#This Row],[EAD (CNY)]]*Port[[#This Row],[CNY -&gt; FCY]]</f>
        <v>100000000</v>
      </c>
      <c r="Y235" s="507">
        <f>Port[[#This Row],[EAD_Interest (CNY)]]*Port[[#This Row],[CNY -&gt; FCY]]</f>
        <v>1796666.67</v>
      </c>
      <c r="Z235" s="507">
        <f>Port[[#This Row],[ECL_Drawn (CNY)]]*Port[[#This Row],[CNY -&gt; FCY]]</f>
        <v>1846335.0158826327</v>
      </c>
      <c r="AA235" s="507">
        <f>Port[[#This Row],[ECL_Undrawn (CNY)]]*Port[[#This Row],[CNY -&gt; FCY]]</f>
        <v>0</v>
      </c>
      <c r="AB235" s="507">
        <f>Port[[#This Row],[ECL (CNY)]]*Port[[#This Row],[CNY -&gt; FCY]]</f>
        <v>1846335.0158826327</v>
      </c>
      <c r="AC235" s="507">
        <f>Port[[#This Row],[ECL_Interest (CNY)]]*Port[[#This Row],[CNY -&gt; FCY]]</f>
        <v>33172.485846902462</v>
      </c>
      <c r="AD235" s="507">
        <f>Port[[#This Row],[EAD_Drawn (CNY)]]*Port[[#This Row],[CNY -&gt; THB]]</f>
        <v>524880000</v>
      </c>
      <c r="AE235" s="507">
        <f>Port[[#This Row],[EAD_Undrawn (CNY)]]*Port[[#This Row],[CNY -&gt; THB]]</f>
        <v>0</v>
      </c>
      <c r="AF235" s="507">
        <f>Port[[#This Row],[EAD (CNY)]]*Port[[#This Row],[CNY -&gt; THB]]</f>
        <v>524880000</v>
      </c>
      <c r="AG235" s="507">
        <f>Port[[#This Row],[EAD_Interest (CNY)]]*Port[[#This Row],[CNY -&gt; THB]]</f>
        <v>9430344.0174959991</v>
      </c>
      <c r="AH235" s="507">
        <f>Port[[#This Row],[ECL_Drawn (CNY)]]*Port[[#This Row],[CNY -&gt; THB]]</f>
        <v>9691043.2313647624</v>
      </c>
      <c r="AI235" s="507">
        <f>Port[[#This Row],[ECL_Undrawn (CNY)]]*Port[[#This Row],[CNY -&gt; THB]]</f>
        <v>0</v>
      </c>
      <c r="AJ235" s="507">
        <f>Port[[#This Row],[ECL (CNY)]]*Port[[#This Row],[CNY -&gt; THB]]</f>
        <v>9691043.2313647624</v>
      </c>
      <c r="AK235" s="507">
        <f>Port[[#This Row],[ECL_Interest (CNY)]]*Port[[#This Row],[CNY -&gt; THB]]</f>
        <v>174115.74371322166</v>
      </c>
      <c r="AL235" s="507">
        <f>Port[[#This Row],[EAD (THB)]]*Port[[#This Row],[PD_avg]]</f>
        <v>10767825.812627511</v>
      </c>
      <c r="AM235" s="507">
        <f>Port[[#This Row],[EAD_Interest (THB)]]*Port[[#This Row],[PD_avg]]</f>
        <v>193461.93745913514</v>
      </c>
      <c r="AN235" s="507">
        <f>Port[[#This Row],[EAD (THB)]]*Port[[#This Row],[LGD_avg]]</f>
        <v>472392000.00000012</v>
      </c>
      <c r="AO235" s="507">
        <f>Port[[#This Row],[EAD_Interest (THB)]]*Port[[#This Row],[LGD_avg]]</f>
        <v>8487309.6157464013</v>
      </c>
      <c r="AP235" s="507">
        <f>Port[[#This Row],[EAD_Drawn (THB)]]+Port[[#This Row],[EAD_Interest (THB)]]</f>
        <v>534310344.01749599</v>
      </c>
      <c r="AQ2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9865158.9750779849</v>
      </c>
      <c r="AR235" s="522">
        <f>MAX(Port[[#This Row],[ECL (THB)]]+Port[[#This Row],[ECL_Interest (THB)]], Port[[#This Row],[ECL CBIRC (THB)]])</f>
        <v>9865158.9750779849</v>
      </c>
    </row>
    <row r="236" spans="1:44">
      <c r="A236" s="2" t="s">
        <v>979</v>
      </c>
      <c r="B236" s="2" t="s">
        <v>178</v>
      </c>
      <c r="C236" s="2" t="s">
        <v>175</v>
      </c>
      <c r="D236" s="2" t="s">
        <v>25</v>
      </c>
      <c r="E236" s="2" t="s">
        <v>172</v>
      </c>
      <c r="F236" s="2" t="s">
        <v>173</v>
      </c>
      <c r="G236" s="2" t="s">
        <v>21</v>
      </c>
      <c r="H236">
        <v>1</v>
      </c>
      <c r="I236" s="2" t="s">
        <v>526</v>
      </c>
      <c r="J236" s="505">
        <v>2.3168391354034413E-3</v>
      </c>
      <c r="K236" s="505">
        <v>0.90000000000000013</v>
      </c>
      <c r="L236" s="3">
        <v>1</v>
      </c>
      <c r="M236" s="3">
        <v>5.2488000000000001</v>
      </c>
      <c r="N236" s="507">
        <v>100000000</v>
      </c>
      <c r="O236" s="507">
        <v>0</v>
      </c>
      <c r="P236" s="507">
        <v>100000000</v>
      </c>
      <c r="Q236" s="507">
        <v>79722.22</v>
      </c>
      <c r="R236" s="507">
        <v>208515.52218630974</v>
      </c>
      <c r="S236" s="507">
        <v>0</v>
      </c>
      <c r="T236" s="507">
        <v>208515.52218630974</v>
      </c>
      <c r="U236" s="507">
        <v>166.23320333151867</v>
      </c>
      <c r="V236" s="507">
        <f>Port[[#This Row],[EAD_Drawn (CNY)]]*Port[[#This Row],[CNY -&gt; FCY]]</f>
        <v>100000000</v>
      </c>
      <c r="W236" s="507">
        <f>Port[[#This Row],[EAD_Undrawn (CNY)]]*Port[[#This Row],[CNY -&gt; FCY]]</f>
        <v>0</v>
      </c>
      <c r="X236" s="507">
        <f>Port[[#This Row],[EAD (CNY)]]*Port[[#This Row],[CNY -&gt; FCY]]</f>
        <v>100000000</v>
      </c>
      <c r="Y236" s="507">
        <f>Port[[#This Row],[EAD_Interest (CNY)]]*Port[[#This Row],[CNY -&gt; FCY]]</f>
        <v>79722.22</v>
      </c>
      <c r="Z236" s="507">
        <f>Port[[#This Row],[ECL_Drawn (CNY)]]*Port[[#This Row],[CNY -&gt; FCY]]</f>
        <v>208515.52218630974</v>
      </c>
      <c r="AA236" s="507">
        <f>Port[[#This Row],[ECL_Undrawn (CNY)]]*Port[[#This Row],[CNY -&gt; FCY]]</f>
        <v>0</v>
      </c>
      <c r="AB236" s="507">
        <f>Port[[#This Row],[ECL (CNY)]]*Port[[#This Row],[CNY -&gt; FCY]]</f>
        <v>208515.52218630974</v>
      </c>
      <c r="AC236" s="507">
        <f>Port[[#This Row],[ECL_Interest (CNY)]]*Port[[#This Row],[CNY -&gt; FCY]]</f>
        <v>166.23320333151867</v>
      </c>
      <c r="AD236" s="507">
        <f>Port[[#This Row],[EAD_Drawn (CNY)]]*Port[[#This Row],[CNY -&gt; THB]]</f>
        <v>524880000</v>
      </c>
      <c r="AE236" s="507">
        <f>Port[[#This Row],[EAD_Undrawn (CNY)]]*Port[[#This Row],[CNY -&gt; THB]]</f>
        <v>0</v>
      </c>
      <c r="AF236" s="507">
        <f>Port[[#This Row],[EAD (CNY)]]*Port[[#This Row],[CNY -&gt; THB]]</f>
        <v>524880000</v>
      </c>
      <c r="AG236" s="507">
        <f>Port[[#This Row],[EAD_Interest (CNY)]]*Port[[#This Row],[CNY -&gt; THB]]</f>
        <v>418445.98833600001</v>
      </c>
      <c r="AH236" s="507">
        <f>Port[[#This Row],[ECL_Drawn (CNY)]]*Port[[#This Row],[CNY -&gt; THB]]</f>
        <v>1094456.2728515025</v>
      </c>
      <c r="AI236" s="507">
        <f>Port[[#This Row],[ECL_Undrawn (CNY)]]*Port[[#This Row],[CNY -&gt; THB]]</f>
        <v>0</v>
      </c>
      <c r="AJ236" s="507">
        <f>Port[[#This Row],[ECL (CNY)]]*Port[[#This Row],[CNY -&gt; THB]]</f>
        <v>1094456.2728515025</v>
      </c>
      <c r="AK236" s="507">
        <f>Port[[#This Row],[ECL_Interest (CNY)]]*Port[[#This Row],[CNY -&gt; THB]]</f>
        <v>872.52483764647525</v>
      </c>
      <c r="AL236" s="507">
        <f>Port[[#This Row],[EAD (THB)]]*Port[[#This Row],[PD_avg]]</f>
        <v>1216062.5253905582</v>
      </c>
      <c r="AM236" s="507">
        <f>Port[[#This Row],[EAD_Interest (THB)]]*Port[[#This Row],[PD_avg]]</f>
        <v>969.47204182941675</v>
      </c>
      <c r="AN236" s="507">
        <f>Port[[#This Row],[EAD (THB)]]*Port[[#This Row],[LGD_avg]]</f>
        <v>472392000.00000006</v>
      </c>
      <c r="AO236" s="507">
        <f>Port[[#This Row],[EAD_Interest (THB)]]*Port[[#This Row],[LGD_avg]]</f>
        <v>376601.38950240007</v>
      </c>
      <c r="AP236" s="507">
        <f>Port[[#This Row],[EAD_Drawn (THB)]]+Port[[#This Row],[EAD_Interest (THB)]]</f>
        <v>525298445.98833603</v>
      </c>
      <c r="AQ2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1095328.7976891489</v>
      </c>
      <c r="AR236" s="522">
        <f>MAX(Port[[#This Row],[ECL (THB)]]+Port[[#This Row],[ECL_Interest (THB)]], Port[[#This Row],[ECL CBIRC (THB)]])</f>
        <v>1095328.7976891489</v>
      </c>
    </row>
    <row r="237" spans="1:44">
      <c r="A237" s="2" t="s">
        <v>980</v>
      </c>
      <c r="B237" s="2" t="s">
        <v>181</v>
      </c>
      <c r="C237" s="2" t="s">
        <v>175</v>
      </c>
      <c r="D237" s="2" t="s">
        <v>25</v>
      </c>
      <c r="E237" s="2" t="s">
        <v>172</v>
      </c>
      <c r="F237" s="2" t="s">
        <v>173</v>
      </c>
      <c r="G237" s="2" t="s">
        <v>21</v>
      </c>
      <c r="H237">
        <v>1</v>
      </c>
      <c r="I237" s="2" t="s">
        <v>526</v>
      </c>
      <c r="J237" s="505">
        <v>1.3043899345507868E-2</v>
      </c>
      <c r="K237" s="505">
        <v>0.90000000000000013</v>
      </c>
      <c r="L237" s="3">
        <v>1</v>
      </c>
      <c r="M237" s="3">
        <v>5.2488000000000001</v>
      </c>
      <c r="N237" s="507">
        <v>50000000</v>
      </c>
      <c r="O237" s="507">
        <v>0</v>
      </c>
      <c r="P237" s="507">
        <v>50000000</v>
      </c>
      <c r="Q237" s="507">
        <v>0</v>
      </c>
      <c r="R237" s="507">
        <v>586975.4705478542</v>
      </c>
      <c r="S237" s="507">
        <v>0</v>
      </c>
      <c r="T237" s="507">
        <v>586975.4705478542</v>
      </c>
      <c r="U237" s="507">
        <v>0</v>
      </c>
      <c r="V237" s="507">
        <f>Port[[#This Row],[EAD_Drawn (CNY)]]*Port[[#This Row],[CNY -&gt; FCY]]</f>
        <v>50000000</v>
      </c>
      <c r="W237" s="507">
        <f>Port[[#This Row],[EAD_Undrawn (CNY)]]*Port[[#This Row],[CNY -&gt; FCY]]</f>
        <v>0</v>
      </c>
      <c r="X237" s="507">
        <f>Port[[#This Row],[EAD (CNY)]]*Port[[#This Row],[CNY -&gt; FCY]]</f>
        <v>50000000</v>
      </c>
      <c r="Y237" s="507">
        <f>Port[[#This Row],[EAD_Interest (CNY)]]*Port[[#This Row],[CNY -&gt; FCY]]</f>
        <v>0</v>
      </c>
      <c r="Z237" s="507">
        <f>Port[[#This Row],[ECL_Drawn (CNY)]]*Port[[#This Row],[CNY -&gt; FCY]]</f>
        <v>586975.4705478542</v>
      </c>
      <c r="AA237" s="507">
        <f>Port[[#This Row],[ECL_Undrawn (CNY)]]*Port[[#This Row],[CNY -&gt; FCY]]</f>
        <v>0</v>
      </c>
      <c r="AB237" s="507">
        <f>Port[[#This Row],[ECL (CNY)]]*Port[[#This Row],[CNY -&gt; FCY]]</f>
        <v>586975.4705478542</v>
      </c>
      <c r="AC237" s="507">
        <f>Port[[#This Row],[ECL_Interest (CNY)]]*Port[[#This Row],[CNY -&gt; FCY]]</f>
        <v>0</v>
      </c>
      <c r="AD237" s="507">
        <f>Port[[#This Row],[EAD_Drawn (CNY)]]*Port[[#This Row],[CNY -&gt; THB]]</f>
        <v>262440000</v>
      </c>
      <c r="AE237" s="507">
        <f>Port[[#This Row],[EAD_Undrawn (CNY)]]*Port[[#This Row],[CNY -&gt; THB]]</f>
        <v>0</v>
      </c>
      <c r="AF237" s="507">
        <f>Port[[#This Row],[EAD (CNY)]]*Port[[#This Row],[CNY -&gt; THB]]</f>
        <v>262440000</v>
      </c>
      <c r="AG237" s="507">
        <f>Port[[#This Row],[EAD_Interest (CNY)]]*Port[[#This Row],[CNY -&gt; THB]]</f>
        <v>0</v>
      </c>
      <c r="AH237" s="507">
        <f>Port[[#This Row],[ECL_Drawn (CNY)]]*Port[[#This Row],[CNY -&gt; THB]]</f>
        <v>3080916.8498115772</v>
      </c>
      <c r="AI237" s="507">
        <f>Port[[#This Row],[ECL_Undrawn (CNY)]]*Port[[#This Row],[CNY -&gt; THB]]</f>
        <v>0</v>
      </c>
      <c r="AJ237" s="507">
        <f>Port[[#This Row],[ECL (CNY)]]*Port[[#This Row],[CNY -&gt; THB]]</f>
        <v>3080916.8498115772</v>
      </c>
      <c r="AK237" s="507">
        <f>Port[[#This Row],[ECL_Interest (CNY)]]*Port[[#This Row],[CNY -&gt; THB]]</f>
        <v>0</v>
      </c>
      <c r="AL237" s="507">
        <f>Port[[#This Row],[EAD (THB)]]*Port[[#This Row],[PD_avg]]</f>
        <v>3423240.944235085</v>
      </c>
      <c r="AM237" s="507">
        <f>Port[[#This Row],[EAD_Interest (THB)]]*Port[[#This Row],[PD_avg]]</f>
        <v>0</v>
      </c>
      <c r="AN237" s="507">
        <f>Port[[#This Row],[EAD (THB)]]*Port[[#This Row],[LGD_avg]]</f>
        <v>236196000.00000003</v>
      </c>
      <c r="AO237" s="507">
        <f>Port[[#This Row],[EAD_Interest (THB)]]*Port[[#This Row],[LGD_avg]]</f>
        <v>0</v>
      </c>
      <c r="AP237" s="507">
        <f>Port[[#This Row],[EAD_Drawn (THB)]]+Port[[#This Row],[EAD_Interest (THB)]]</f>
        <v>262440000</v>
      </c>
      <c r="AQ2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3080916.8498115772</v>
      </c>
      <c r="AR237" s="522">
        <f>MAX(Port[[#This Row],[ECL (THB)]]+Port[[#This Row],[ECL_Interest (THB)]], Port[[#This Row],[ECL CBIRC (THB)]])</f>
        <v>3080916.8498115772</v>
      </c>
    </row>
    <row r="238" spans="1:44">
      <c r="A238" s="2" t="s">
        <v>981</v>
      </c>
      <c r="B238" s="2" t="s">
        <v>982</v>
      </c>
      <c r="C238" s="2" t="s">
        <v>175</v>
      </c>
      <c r="D238" s="2" t="s">
        <v>25</v>
      </c>
      <c r="E238" s="2" t="s">
        <v>172</v>
      </c>
      <c r="F238" s="2" t="s">
        <v>173</v>
      </c>
      <c r="G238" s="2" t="s">
        <v>21</v>
      </c>
      <c r="H238">
        <v>1</v>
      </c>
      <c r="I238" s="2" t="s">
        <v>526</v>
      </c>
      <c r="J238" s="505">
        <v>5.2260409683794924E-3</v>
      </c>
      <c r="K238" s="505">
        <v>0.9</v>
      </c>
      <c r="L238" s="3">
        <v>1</v>
      </c>
      <c r="M238" s="3">
        <v>5.2488000000000001</v>
      </c>
      <c r="N238" s="507">
        <v>50000000</v>
      </c>
      <c r="O238" s="507">
        <v>0</v>
      </c>
      <c r="P238" s="507">
        <v>50000000</v>
      </c>
      <c r="Q238" s="507">
        <v>51527.78</v>
      </c>
      <c r="R238" s="507">
        <v>235171.84357707715</v>
      </c>
      <c r="S238" s="507">
        <v>0</v>
      </c>
      <c r="T238" s="507">
        <v>235171.84357707715</v>
      </c>
      <c r="U238" s="507">
        <v>242.35766036068088</v>
      </c>
      <c r="V238" s="507">
        <f>Port[[#This Row],[EAD_Drawn (CNY)]]*Port[[#This Row],[CNY -&gt; FCY]]</f>
        <v>50000000</v>
      </c>
      <c r="W238" s="507">
        <f>Port[[#This Row],[EAD_Undrawn (CNY)]]*Port[[#This Row],[CNY -&gt; FCY]]</f>
        <v>0</v>
      </c>
      <c r="X238" s="507">
        <f>Port[[#This Row],[EAD (CNY)]]*Port[[#This Row],[CNY -&gt; FCY]]</f>
        <v>50000000</v>
      </c>
      <c r="Y238" s="507">
        <f>Port[[#This Row],[EAD_Interest (CNY)]]*Port[[#This Row],[CNY -&gt; FCY]]</f>
        <v>51527.78</v>
      </c>
      <c r="Z238" s="507">
        <f>Port[[#This Row],[ECL_Drawn (CNY)]]*Port[[#This Row],[CNY -&gt; FCY]]</f>
        <v>235171.84357707715</v>
      </c>
      <c r="AA238" s="507">
        <f>Port[[#This Row],[ECL_Undrawn (CNY)]]*Port[[#This Row],[CNY -&gt; FCY]]</f>
        <v>0</v>
      </c>
      <c r="AB238" s="507">
        <f>Port[[#This Row],[ECL (CNY)]]*Port[[#This Row],[CNY -&gt; FCY]]</f>
        <v>235171.84357707715</v>
      </c>
      <c r="AC238" s="507">
        <f>Port[[#This Row],[ECL_Interest (CNY)]]*Port[[#This Row],[CNY -&gt; FCY]]</f>
        <v>242.35766036068088</v>
      </c>
      <c r="AD238" s="507">
        <f>Port[[#This Row],[EAD_Drawn (CNY)]]*Port[[#This Row],[CNY -&gt; THB]]</f>
        <v>262440000</v>
      </c>
      <c r="AE238" s="507">
        <f>Port[[#This Row],[EAD_Undrawn (CNY)]]*Port[[#This Row],[CNY -&gt; THB]]</f>
        <v>0</v>
      </c>
      <c r="AF238" s="507">
        <f>Port[[#This Row],[EAD (CNY)]]*Port[[#This Row],[CNY -&gt; THB]]</f>
        <v>262440000</v>
      </c>
      <c r="AG238" s="507">
        <f>Port[[#This Row],[EAD_Interest (CNY)]]*Port[[#This Row],[CNY -&gt; THB]]</f>
        <v>270459.01166399999</v>
      </c>
      <c r="AH238" s="507">
        <f>Port[[#This Row],[ECL_Drawn (CNY)]]*Port[[#This Row],[CNY -&gt; THB]]</f>
        <v>1234369.9725673625</v>
      </c>
      <c r="AI238" s="507">
        <f>Port[[#This Row],[ECL_Undrawn (CNY)]]*Port[[#This Row],[CNY -&gt; THB]]</f>
        <v>0</v>
      </c>
      <c r="AJ238" s="507">
        <f>Port[[#This Row],[ECL (CNY)]]*Port[[#This Row],[CNY -&gt; THB]]</f>
        <v>1234369.9725673625</v>
      </c>
      <c r="AK238" s="507">
        <f>Port[[#This Row],[ECL_Interest (CNY)]]*Port[[#This Row],[CNY -&gt; THB]]</f>
        <v>1272.0868877011419</v>
      </c>
      <c r="AL238" s="507">
        <f>Port[[#This Row],[EAD (THB)]]*Port[[#This Row],[PD_avg]]</f>
        <v>1371522.191741514</v>
      </c>
      <c r="AM238" s="507">
        <f>Port[[#This Row],[EAD_Interest (THB)]]*Port[[#This Row],[PD_avg]]</f>
        <v>1413.4298752234909</v>
      </c>
      <c r="AN238" s="507">
        <f>Port[[#This Row],[EAD (THB)]]*Port[[#This Row],[LGD_avg]]</f>
        <v>236196000</v>
      </c>
      <c r="AO238" s="507">
        <f>Port[[#This Row],[EAD_Interest (THB)]]*Port[[#This Row],[LGD_avg]]</f>
        <v>243413.11049759999</v>
      </c>
      <c r="AP238" s="507">
        <f>Port[[#This Row],[EAD_Drawn (THB)]]+Port[[#This Row],[EAD_Interest (THB)]]</f>
        <v>262710459.011664</v>
      </c>
      <c r="AQ2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1235642.0594550637</v>
      </c>
      <c r="AR238" s="522">
        <f>MAX(Port[[#This Row],[ECL (THB)]]+Port[[#This Row],[ECL_Interest (THB)]], Port[[#This Row],[ECL CBIRC (THB)]])</f>
        <v>1235642.0594550637</v>
      </c>
    </row>
    <row r="239" spans="1:44">
      <c r="A239" s="2" t="s">
        <v>983</v>
      </c>
      <c r="B239" s="2" t="s">
        <v>177</v>
      </c>
      <c r="C239" s="2" t="s">
        <v>175</v>
      </c>
      <c r="D239" s="2" t="s">
        <v>25</v>
      </c>
      <c r="E239" s="2" t="s">
        <v>172</v>
      </c>
      <c r="F239" s="2" t="s">
        <v>173</v>
      </c>
      <c r="G239" s="2" t="s">
        <v>21</v>
      </c>
      <c r="H239">
        <v>1</v>
      </c>
      <c r="I239" s="2" t="s">
        <v>526</v>
      </c>
      <c r="J239" s="505">
        <v>2.3168391354034413E-3</v>
      </c>
      <c r="K239" s="505">
        <v>0.9</v>
      </c>
      <c r="L239" s="3">
        <v>1</v>
      </c>
      <c r="M239" s="3">
        <v>5.2488000000000001</v>
      </c>
      <c r="N239" s="507">
        <v>153846154</v>
      </c>
      <c r="O239" s="507">
        <v>0</v>
      </c>
      <c r="P239" s="507">
        <v>153846154</v>
      </c>
      <c r="Q239" s="507">
        <v>109188.03</v>
      </c>
      <c r="R239" s="507">
        <v>320793.11137665424</v>
      </c>
      <c r="S239" s="507">
        <v>0</v>
      </c>
      <c r="T239" s="507">
        <v>320793.11137665424</v>
      </c>
      <c r="U239" s="507">
        <v>227.67399091944455</v>
      </c>
      <c r="V239" s="507">
        <f>Port[[#This Row],[EAD_Drawn (CNY)]]*Port[[#This Row],[CNY -&gt; FCY]]</f>
        <v>153846154</v>
      </c>
      <c r="W239" s="507">
        <f>Port[[#This Row],[EAD_Undrawn (CNY)]]*Port[[#This Row],[CNY -&gt; FCY]]</f>
        <v>0</v>
      </c>
      <c r="X239" s="507">
        <f>Port[[#This Row],[EAD (CNY)]]*Port[[#This Row],[CNY -&gt; FCY]]</f>
        <v>153846154</v>
      </c>
      <c r="Y239" s="507">
        <f>Port[[#This Row],[EAD_Interest (CNY)]]*Port[[#This Row],[CNY -&gt; FCY]]</f>
        <v>109188.03</v>
      </c>
      <c r="Z239" s="507">
        <f>Port[[#This Row],[ECL_Drawn (CNY)]]*Port[[#This Row],[CNY -&gt; FCY]]</f>
        <v>320793.11137665424</v>
      </c>
      <c r="AA239" s="507">
        <f>Port[[#This Row],[ECL_Undrawn (CNY)]]*Port[[#This Row],[CNY -&gt; FCY]]</f>
        <v>0</v>
      </c>
      <c r="AB239" s="507">
        <f>Port[[#This Row],[ECL (CNY)]]*Port[[#This Row],[CNY -&gt; FCY]]</f>
        <v>320793.11137665424</v>
      </c>
      <c r="AC239" s="507">
        <f>Port[[#This Row],[ECL_Interest (CNY)]]*Port[[#This Row],[CNY -&gt; FCY]]</f>
        <v>227.67399091944455</v>
      </c>
      <c r="AD239" s="507">
        <f>Port[[#This Row],[EAD_Drawn (CNY)]]*Port[[#This Row],[CNY -&gt; THB]]</f>
        <v>807507693.11520004</v>
      </c>
      <c r="AE239" s="507">
        <f>Port[[#This Row],[EAD_Undrawn (CNY)]]*Port[[#This Row],[CNY -&gt; THB]]</f>
        <v>0</v>
      </c>
      <c r="AF239" s="507">
        <f>Port[[#This Row],[EAD (CNY)]]*Port[[#This Row],[CNY -&gt; THB]]</f>
        <v>807507693.11520004</v>
      </c>
      <c r="AG239" s="507">
        <f>Port[[#This Row],[EAD_Interest (CNY)]]*Port[[#This Row],[CNY -&gt; THB]]</f>
        <v>573106.131864</v>
      </c>
      <c r="AH239" s="507">
        <f>Port[[#This Row],[ECL_Drawn (CNY)]]*Port[[#This Row],[CNY -&gt; THB]]</f>
        <v>1683778.8829937829</v>
      </c>
      <c r="AI239" s="507">
        <f>Port[[#This Row],[ECL_Undrawn (CNY)]]*Port[[#This Row],[CNY -&gt; THB]]</f>
        <v>0</v>
      </c>
      <c r="AJ239" s="507">
        <f>Port[[#This Row],[ECL (CNY)]]*Port[[#This Row],[CNY -&gt; THB]]</f>
        <v>1683778.8829937829</v>
      </c>
      <c r="AK239" s="507">
        <f>Port[[#This Row],[ECL_Interest (CNY)]]*Port[[#This Row],[CNY -&gt; THB]]</f>
        <v>1195.0152435379805</v>
      </c>
      <c r="AL239" s="507">
        <f>Port[[#This Row],[EAD (THB)]]*Port[[#This Row],[PD_avg]]</f>
        <v>1870865.4255486475</v>
      </c>
      <c r="AM239" s="507">
        <f>Port[[#This Row],[EAD_Interest (THB)]]*Port[[#This Row],[PD_avg]]</f>
        <v>1327.7947150422003</v>
      </c>
      <c r="AN239" s="507">
        <f>Port[[#This Row],[EAD (THB)]]*Port[[#This Row],[LGD_avg]]</f>
        <v>726756923.80368006</v>
      </c>
      <c r="AO239" s="507">
        <f>Port[[#This Row],[EAD_Interest (THB)]]*Port[[#This Row],[LGD_avg]]</f>
        <v>515795.51867760002</v>
      </c>
      <c r="AP239" s="507">
        <f>Port[[#This Row],[EAD_Drawn (THB)]]+Port[[#This Row],[EAD_Interest (THB)]]</f>
        <v>808080799.24706399</v>
      </c>
      <c r="AQ2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1684973.8982373208</v>
      </c>
      <c r="AR239" s="522">
        <f>MAX(Port[[#This Row],[ECL (THB)]]+Port[[#This Row],[ECL_Interest (THB)]], Port[[#This Row],[ECL CBIRC (THB)]])</f>
        <v>1684973.8982373208</v>
      </c>
    </row>
    <row r="240" spans="1:44">
      <c r="A240" s="2" t="s">
        <v>984</v>
      </c>
      <c r="B240" s="2" t="s">
        <v>177</v>
      </c>
      <c r="C240" s="2" t="s">
        <v>175</v>
      </c>
      <c r="D240" s="2" t="s">
        <v>25</v>
      </c>
      <c r="E240" s="2" t="s">
        <v>172</v>
      </c>
      <c r="F240" s="2" t="s">
        <v>173</v>
      </c>
      <c r="G240" s="2" t="s">
        <v>21</v>
      </c>
      <c r="H240">
        <v>1</v>
      </c>
      <c r="I240" s="2" t="s">
        <v>526</v>
      </c>
      <c r="J240" s="505">
        <v>2.3168391354034413E-3</v>
      </c>
      <c r="K240" s="505">
        <v>0.90000000000000013</v>
      </c>
      <c r="L240" s="3">
        <v>1</v>
      </c>
      <c r="M240" s="3">
        <v>5.2488000000000001</v>
      </c>
      <c r="N240" s="507">
        <v>96153846</v>
      </c>
      <c r="O240" s="507">
        <v>0</v>
      </c>
      <c r="P240" s="507">
        <v>96153846</v>
      </c>
      <c r="Q240" s="507">
        <v>68242.52</v>
      </c>
      <c r="R240" s="507">
        <v>200495.69408912011</v>
      </c>
      <c r="S240" s="507">
        <v>0</v>
      </c>
      <c r="T240" s="507">
        <v>200495.69408912011</v>
      </c>
      <c r="U240" s="507">
        <v>142.2962469310969</v>
      </c>
      <c r="V240" s="507">
        <f>Port[[#This Row],[EAD_Drawn (CNY)]]*Port[[#This Row],[CNY -&gt; FCY]]</f>
        <v>96153846</v>
      </c>
      <c r="W240" s="507">
        <f>Port[[#This Row],[EAD_Undrawn (CNY)]]*Port[[#This Row],[CNY -&gt; FCY]]</f>
        <v>0</v>
      </c>
      <c r="X240" s="507">
        <f>Port[[#This Row],[EAD (CNY)]]*Port[[#This Row],[CNY -&gt; FCY]]</f>
        <v>96153846</v>
      </c>
      <c r="Y240" s="507">
        <f>Port[[#This Row],[EAD_Interest (CNY)]]*Port[[#This Row],[CNY -&gt; FCY]]</f>
        <v>68242.52</v>
      </c>
      <c r="Z240" s="507">
        <f>Port[[#This Row],[ECL_Drawn (CNY)]]*Port[[#This Row],[CNY -&gt; FCY]]</f>
        <v>200495.69408912011</v>
      </c>
      <c r="AA240" s="507">
        <f>Port[[#This Row],[ECL_Undrawn (CNY)]]*Port[[#This Row],[CNY -&gt; FCY]]</f>
        <v>0</v>
      </c>
      <c r="AB240" s="507">
        <f>Port[[#This Row],[ECL (CNY)]]*Port[[#This Row],[CNY -&gt; FCY]]</f>
        <v>200495.69408912011</v>
      </c>
      <c r="AC240" s="507">
        <f>Port[[#This Row],[ECL_Interest (CNY)]]*Port[[#This Row],[CNY -&gt; FCY]]</f>
        <v>142.2962469310969</v>
      </c>
      <c r="AD240" s="507">
        <f>Port[[#This Row],[EAD_Drawn (CNY)]]*Port[[#This Row],[CNY -&gt; THB]]</f>
        <v>504692306.88480002</v>
      </c>
      <c r="AE240" s="507">
        <f>Port[[#This Row],[EAD_Undrawn (CNY)]]*Port[[#This Row],[CNY -&gt; THB]]</f>
        <v>0</v>
      </c>
      <c r="AF240" s="507">
        <f>Port[[#This Row],[EAD (CNY)]]*Port[[#This Row],[CNY -&gt; THB]]</f>
        <v>504692306.88480002</v>
      </c>
      <c r="AG240" s="507">
        <f>Port[[#This Row],[EAD_Interest (CNY)]]*Port[[#This Row],[CNY -&gt; THB]]</f>
        <v>358191.33897600003</v>
      </c>
      <c r="AH240" s="507">
        <f>Port[[#This Row],[ECL_Drawn (CNY)]]*Port[[#This Row],[CNY -&gt; THB]]</f>
        <v>1052361.7991349737</v>
      </c>
      <c r="AI240" s="507">
        <f>Port[[#This Row],[ECL_Undrawn (CNY)]]*Port[[#This Row],[CNY -&gt; THB]]</f>
        <v>0</v>
      </c>
      <c r="AJ240" s="507">
        <f>Port[[#This Row],[ECL (CNY)]]*Port[[#This Row],[CNY -&gt; THB]]</f>
        <v>1052361.7991349737</v>
      </c>
      <c r="AK240" s="507">
        <f>Port[[#This Row],[ECL_Interest (CNY)]]*Port[[#This Row],[CNY -&gt; THB]]</f>
        <v>746.88454089194147</v>
      </c>
      <c r="AL240" s="507">
        <f>Port[[#This Row],[EAD (THB)]]*Port[[#This Row],[PD_avg]]</f>
        <v>1169290.8879277483</v>
      </c>
      <c r="AM240" s="507">
        <f>Port[[#This Row],[EAD_Interest (THB)]]*Port[[#This Row],[PD_avg]]</f>
        <v>829.87171210215683</v>
      </c>
      <c r="AN240" s="507">
        <f>Port[[#This Row],[EAD (THB)]]*Port[[#This Row],[LGD_avg]]</f>
        <v>454223076.19632006</v>
      </c>
      <c r="AO240" s="507">
        <f>Port[[#This Row],[EAD_Interest (THB)]]*Port[[#This Row],[LGD_avg]]</f>
        <v>322372.20507840009</v>
      </c>
      <c r="AP240" s="507">
        <f>Port[[#This Row],[EAD_Drawn (THB)]]+Port[[#This Row],[EAD_Interest (THB)]]</f>
        <v>505050498.22377604</v>
      </c>
      <c r="AQ2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1053108.6836758656</v>
      </c>
      <c r="AR240" s="522">
        <f>MAX(Port[[#This Row],[ECL (THB)]]+Port[[#This Row],[ECL_Interest (THB)]], Port[[#This Row],[ECL CBIRC (THB)]])</f>
        <v>1053108.6836758656</v>
      </c>
    </row>
    <row r="241" spans="1:44">
      <c r="A241" s="2" t="s">
        <v>985</v>
      </c>
      <c r="B241" s="2" t="s">
        <v>986</v>
      </c>
      <c r="C241" s="2" t="s">
        <v>175</v>
      </c>
      <c r="D241" s="2" t="s">
        <v>25</v>
      </c>
      <c r="E241" s="2" t="s">
        <v>172</v>
      </c>
      <c r="F241" s="2" t="s">
        <v>173</v>
      </c>
      <c r="G241" s="2" t="s">
        <v>21</v>
      </c>
      <c r="H241">
        <v>1</v>
      </c>
      <c r="I241" s="2" t="s">
        <v>526</v>
      </c>
      <c r="J241" s="505">
        <v>2.0514833509807026E-2</v>
      </c>
      <c r="K241" s="505">
        <v>0.90000000000000013</v>
      </c>
      <c r="L241" s="3">
        <v>1</v>
      </c>
      <c r="M241" s="3">
        <v>5.2488000000000001</v>
      </c>
      <c r="N241" s="507">
        <v>100000000</v>
      </c>
      <c r="O241" s="507">
        <v>0</v>
      </c>
      <c r="P241" s="507">
        <v>100000000</v>
      </c>
      <c r="Q241" s="507">
        <v>87500</v>
      </c>
      <c r="R241" s="507">
        <v>1846335.0158826327</v>
      </c>
      <c r="S241" s="507">
        <v>0</v>
      </c>
      <c r="T241" s="507">
        <v>1846335.0158826327</v>
      </c>
      <c r="U241" s="507">
        <v>1615.5431388973034</v>
      </c>
      <c r="V241" s="507">
        <f>Port[[#This Row],[EAD_Drawn (CNY)]]*Port[[#This Row],[CNY -&gt; FCY]]</f>
        <v>100000000</v>
      </c>
      <c r="W241" s="507">
        <f>Port[[#This Row],[EAD_Undrawn (CNY)]]*Port[[#This Row],[CNY -&gt; FCY]]</f>
        <v>0</v>
      </c>
      <c r="X241" s="507">
        <f>Port[[#This Row],[EAD (CNY)]]*Port[[#This Row],[CNY -&gt; FCY]]</f>
        <v>100000000</v>
      </c>
      <c r="Y241" s="507">
        <f>Port[[#This Row],[EAD_Interest (CNY)]]*Port[[#This Row],[CNY -&gt; FCY]]</f>
        <v>87500</v>
      </c>
      <c r="Z241" s="507">
        <f>Port[[#This Row],[ECL_Drawn (CNY)]]*Port[[#This Row],[CNY -&gt; FCY]]</f>
        <v>1846335.0158826327</v>
      </c>
      <c r="AA241" s="507">
        <f>Port[[#This Row],[ECL_Undrawn (CNY)]]*Port[[#This Row],[CNY -&gt; FCY]]</f>
        <v>0</v>
      </c>
      <c r="AB241" s="507">
        <f>Port[[#This Row],[ECL (CNY)]]*Port[[#This Row],[CNY -&gt; FCY]]</f>
        <v>1846335.0158826327</v>
      </c>
      <c r="AC241" s="507">
        <f>Port[[#This Row],[ECL_Interest (CNY)]]*Port[[#This Row],[CNY -&gt; FCY]]</f>
        <v>1615.5431388973034</v>
      </c>
      <c r="AD241" s="507">
        <f>Port[[#This Row],[EAD_Drawn (CNY)]]*Port[[#This Row],[CNY -&gt; THB]]</f>
        <v>524880000</v>
      </c>
      <c r="AE241" s="507">
        <f>Port[[#This Row],[EAD_Undrawn (CNY)]]*Port[[#This Row],[CNY -&gt; THB]]</f>
        <v>0</v>
      </c>
      <c r="AF241" s="507">
        <f>Port[[#This Row],[EAD (CNY)]]*Port[[#This Row],[CNY -&gt; THB]]</f>
        <v>524880000</v>
      </c>
      <c r="AG241" s="507">
        <f>Port[[#This Row],[EAD_Interest (CNY)]]*Port[[#This Row],[CNY -&gt; THB]]</f>
        <v>459270</v>
      </c>
      <c r="AH241" s="507">
        <f>Port[[#This Row],[ECL_Drawn (CNY)]]*Port[[#This Row],[CNY -&gt; THB]]</f>
        <v>9691043.2313647624</v>
      </c>
      <c r="AI241" s="507">
        <f>Port[[#This Row],[ECL_Undrawn (CNY)]]*Port[[#This Row],[CNY -&gt; THB]]</f>
        <v>0</v>
      </c>
      <c r="AJ241" s="507">
        <f>Port[[#This Row],[ECL (CNY)]]*Port[[#This Row],[CNY -&gt; THB]]</f>
        <v>9691043.2313647624</v>
      </c>
      <c r="AK241" s="507">
        <f>Port[[#This Row],[ECL_Interest (CNY)]]*Port[[#This Row],[CNY -&gt; THB]]</f>
        <v>8479.6628274441664</v>
      </c>
      <c r="AL241" s="507">
        <f>Port[[#This Row],[EAD (THB)]]*Port[[#This Row],[PD_avg]]</f>
        <v>10767825.812627511</v>
      </c>
      <c r="AM241" s="507">
        <f>Port[[#This Row],[EAD_Interest (THB)]]*Port[[#This Row],[PD_avg]]</f>
        <v>9421.8475860490726</v>
      </c>
      <c r="AN241" s="507">
        <f>Port[[#This Row],[EAD (THB)]]*Port[[#This Row],[LGD_avg]]</f>
        <v>472392000.00000006</v>
      </c>
      <c r="AO241" s="507">
        <f>Port[[#This Row],[EAD_Interest (THB)]]*Port[[#This Row],[LGD_avg]]</f>
        <v>413343.00000000006</v>
      </c>
      <c r="AP241" s="507">
        <f>Port[[#This Row],[EAD_Drawn (THB)]]+Port[[#This Row],[EAD_Interest (THB)]]</f>
        <v>525339270</v>
      </c>
      <c r="AQ2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9699522.8941922057</v>
      </c>
      <c r="AR241" s="522">
        <f>MAX(Port[[#This Row],[ECL (THB)]]+Port[[#This Row],[ECL_Interest (THB)]], Port[[#This Row],[ECL CBIRC (THB)]])</f>
        <v>9699522.8941922057</v>
      </c>
    </row>
    <row r="242" spans="1:44">
      <c r="A242" s="2" t="s">
        <v>987</v>
      </c>
      <c r="B242" s="2" t="s">
        <v>988</v>
      </c>
      <c r="C242" s="2" t="s">
        <v>175</v>
      </c>
      <c r="D242" s="2" t="s">
        <v>25</v>
      </c>
      <c r="E242" s="2" t="s">
        <v>172</v>
      </c>
      <c r="F242" s="2" t="s">
        <v>173</v>
      </c>
      <c r="G242" s="2" t="s">
        <v>21</v>
      </c>
      <c r="H242">
        <v>1</v>
      </c>
      <c r="I242" s="2" t="s">
        <v>526</v>
      </c>
      <c r="J242" s="505">
        <v>1.3043899345507868E-2</v>
      </c>
      <c r="K242" s="505">
        <v>0.90000000000000024</v>
      </c>
      <c r="L242" s="3">
        <v>1</v>
      </c>
      <c r="M242" s="3">
        <v>5.2488000000000001</v>
      </c>
      <c r="N242" s="507">
        <v>100000000</v>
      </c>
      <c r="O242" s="507">
        <v>0</v>
      </c>
      <c r="P242" s="507">
        <v>100000000</v>
      </c>
      <c r="Q242" s="507">
        <v>79722.22</v>
      </c>
      <c r="R242" s="507">
        <v>1173950.9410957084</v>
      </c>
      <c r="S242" s="507">
        <v>0</v>
      </c>
      <c r="T242" s="507">
        <v>1173950.9410957084</v>
      </c>
      <c r="U242" s="507">
        <v>935.89975195239094</v>
      </c>
      <c r="V242" s="507">
        <f>Port[[#This Row],[EAD_Drawn (CNY)]]*Port[[#This Row],[CNY -&gt; FCY]]</f>
        <v>100000000</v>
      </c>
      <c r="W242" s="507">
        <f>Port[[#This Row],[EAD_Undrawn (CNY)]]*Port[[#This Row],[CNY -&gt; FCY]]</f>
        <v>0</v>
      </c>
      <c r="X242" s="507">
        <f>Port[[#This Row],[EAD (CNY)]]*Port[[#This Row],[CNY -&gt; FCY]]</f>
        <v>100000000</v>
      </c>
      <c r="Y242" s="507">
        <f>Port[[#This Row],[EAD_Interest (CNY)]]*Port[[#This Row],[CNY -&gt; FCY]]</f>
        <v>79722.22</v>
      </c>
      <c r="Z242" s="507">
        <f>Port[[#This Row],[ECL_Drawn (CNY)]]*Port[[#This Row],[CNY -&gt; FCY]]</f>
        <v>1173950.9410957084</v>
      </c>
      <c r="AA242" s="507">
        <f>Port[[#This Row],[ECL_Undrawn (CNY)]]*Port[[#This Row],[CNY -&gt; FCY]]</f>
        <v>0</v>
      </c>
      <c r="AB242" s="507">
        <f>Port[[#This Row],[ECL (CNY)]]*Port[[#This Row],[CNY -&gt; FCY]]</f>
        <v>1173950.9410957084</v>
      </c>
      <c r="AC242" s="507">
        <f>Port[[#This Row],[ECL_Interest (CNY)]]*Port[[#This Row],[CNY -&gt; FCY]]</f>
        <v>935.89975195239094</v>
      </c>
      <c r="AD242" s="507">
        <f>Port[[#This Row],[EAD_Drawn (CNY)]]*Port[[#This Row],[CNY -&gt; THB]]</f>
        <v>524880000</v>
      </c>
      <c r="AE242" s="507">
        <f>Port[[#This Row],[EAD_Undrawn (CNY)]]*Port[[#This Row],[CNY -&gt; THB]]</f>
        <v>0</v>
      </c>
      <c r="AF242" s="507">
        <f>Port[[#This Row],[EAD (CNY)]]*Port[[#This Row],[CNY -&gt; THB]]</f>
        <v>524880000</v>
      </c>
      <c r="AG242" s="507">
        <f>Port[[#This Row],[EAD_Interest (CNY)]]*Port[[#This Row],[CNY -&gt; THB]]</f>
        <v>418445.98833600001</v>
      </c>
      <c r="AH242" s="507">
        <f>Port[[#This Row],[ECL_Drawn (CNY)]]*Port[[#This Row],[CNY -&gt; THB]]</f>
        <v>6161833.6996231545</v>
      </c>
      <c r="AI242" s="507">
        <f>Port[[#This Row],[ECL_Undrawn (CNY)]]*Port[[#This Row],[CNY -&gt; THB]]</f>
        <v>0</v>
      </c>
      <c r="AJ242" s="507">
        <f>Port[[#This Row],[ECL (CNY)]]*Port[[#This Row],[CNY -&gt; THB]]</f>
        <v>6161833.6996231545</v>
      </c>
      <c r="AK242" s="507">
        <f>Port[[#This Row],[ECL_Interest (CNY)]]*Port[[#This Row],[CNY -&gt; THB]]</f>
        <v>4912.3506180477098</v>
      </c>
      <c r="AL242" s="507">
        <f>Port[[#This Row],[EAD (THB)]]*Port[[#This Row],[PD_avg]]</f>
        <v>6846481.8884701701</v>
      </c>
      <c r="AM242" s="507">
        <f>Port[[#This Row],[EAD_Interest (THB)]]*Port[[#This Row],[PD_avg]]</f>
        <v>5458.1673533863432</v>
      </c>
      <c r="AN242" s="507">
        <f>Port[[#This Row],[EAD (THB)]]*Port[[#This Row],[LGD_avg]]</f>
        <v>472392000.00000012</v>
      </c>
      <c r="AO242" s="507">
        <f>Port[[#This Row],[EAD_Interest (THB)]]*Port[[#This Row],[LGD_avg]]</f>
        <v>376601.38950240012</v>
      </c>
      <c r="AP242" s="507">
        <f>Port[[#This Row],[EAD_Drawn (THB)]]+Port[[#This Row],[EAD_Interest (THB)]]</f>
        <v>525298445.98833603</v>
      </c>
      <c r="AQ2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6166746.0502412021</v>
      </c>
      <c r="AR242" s="522">
        <f>MAX(Port[[#This Row],[ECL (THB)]]+Port[[#This Row],[ECL_Interest (THB)]], Port[[#This Row],[ECL CBIRC (THB)]])</f>
        <v>6166746.0502412021</v>
      </c>
    </row>
    <row r="243" spans="1:44">
      <c r="A243" s="2" t="s">
        <v>989</v>
      </c>
      <c r="B243" s="2" t="s">
        <v>188</v>
      </c>
      <c r="C243" s="2" t="s">
        <v>175</v>
      </c>
      <c r="D243" s="2" t="s">
        <v>25</v>
      </c>
      <c r="E243" s="2" t="s">
        <v>172</v>
      </c>
      <c r="F243" s="2" t="s">
        <v>173</v>
      </c>
      <c r="G243" s="2" t="s">
        <v>21</v>
      </c>
      <c r="H243">
        <v>1</v>
      </c>
      <c r="I243" s="2" t="s">
        <v>526</v>
      </c>
      <c r="J243" s="505">
        <v>2.0514833509807026E-2</v>
      </c>
      <c r="K243" s="505">
        <v>0.90000000000000024</v>
      </c>
      <c r="L243" s="3">
        <v>1</v>
      </c>
      <c r="M243" s="3">
        <v>5.2488000000000001</v>
      </c>
      <c r="N243" s="507">
        <v>50000000</v>
      </c>
      <c r="O243" s="507">
        <v>0</v>
      </c>
      <c r="P243" s="507">
        <v>50000000</v>
      </c>
      <c r="Q243" s="507">
        <v>606250</v>
      </c>
      <c r="R243" s="507">
        <v>923167.50794131635</v>
      </c>
      <c r="S243" s="507">
        <v>0</v>
      </c>
      <c r="T243" s="507">
        <v>923167.50794131635</v>
      </c>
      <c r="U243" s="507">
        <v>11193.40603378846</v>
      </c>
      <c r="V243" s="507">
        <f>Port[[#This Row],[EAD_Drawn (CNY)]]*Port[[#This Row],[CNY -&gt; FCY]]</f>
        <v>50000000</v>
      </c>
      <c r="W243" s="507">
        <f>Port[[#This Row],[EAD_Undrawn (CNY)]]*Port[[#This Row],[CNY -&gt; FCY]]</f>
        <v>0</v>
      </c>
      <c r="X243" s="507">
        <f>Port[[#This Row],[EAD (CNY)]]*Port[[#This Row],[CNY -&gt; FCY]]</f>
        <v>50000000</v>
      </c>
      <c r="Y243" s="507">
        <f>Port[[#This Row],[EAD_Interest (CNY)]]*Port[[#This Row],[CNY -&gt; FCY]]</f>
        <v>606250</v>
      </c>
      <c r="Z243" s="507">
        <f>Port[[#This Row],[ECL_Drawn (CNY)]]*Port[[#This Row],[CNY -&gt; FCY]]</f>
        <v>923167.50794131635</v>
      </c>
      <c r="AA243" s="507">
        <f>Port[[#This Row],[ECL_Undrawn (CNY)]]*Port[[#This Row],[CNY -&gt; FCY]]</f>
        <v>0</v>
      </c>
      <c r="AB243" s="507">
        <f>Port[[#This Row],[ECL (CNY)]]*Port[[#This Row],[CNY -&gt; FCY]]</f>
        <v>923167.50794131635</v>
      </c>
      <c r="AC243" s="507">
        <f>Port[[#This Row],[ECL_Interest (CNY)]]*Port[[#This Row],[CNY -&gt; FCY]]</f>
        <v>11193.40603378846</v>
      </c>
      <c r="AD243" s="507">
        <f>Port[[#This Row],[EAD_Drawn (CNY)]]*Port[[#This Row],[CNY -&gt; THB]]</f>
        <v>262440000</v>
      </c>
      <c r="AE243" s="507">
        <f>Port[[#This Row],[EAD_Undrawn (CNY)]]*Port[[#This Row],[CNY -&gt; THB]]</f>
        <v>0</v>
      </c>
      <c r="AF243" s="507">
        <f>Port[[#This Row],[EAD (CNY)]]*Port[[#This Row],[CNY -&gt; THB]]</f>
        <v>262440000</v>
      </c>
      <c r="AG243" s="507">
        <f>Port[[#This Row],[EAD_Interest (CNY)]]*Port[[#This Row],[CNY -&gt; THB]]</f>
        <v>3182085</v>
      </c>
      <c r="AH243" s="507">
        <f>Port[[#This Row],[ECL_Drawn (CNY)]]*Port[[#This Row],[CNY -&gt; THB]]</f>
        <v>4845521.6156823812</v>
      </c>
      <c r="AI243" s="507">
        <f>Port[[#This Row],[ECL_Undrawn (CNY)]]*Port[[#This Row],[CNY -&gt; THB]]</f>
        <v>0</v>
      </c>
      <c r="AJ243" s="507">
        <f>Port[[#This Row],[ECL (CNY)]]*Port[[#This Row],[CNY -&gt; THB]]</f>
        <v>4845521.6156823812</v>
      </c>
      <c r="AK243" s="507">
        <f>Port[[#This Row],[ECL_Interest (CNY)]]*Port[[#This Row],[CNY -&gt; THB]]</f>
        <v>58751.94959014887</v>
      </c>
      <c r="AL243" s="507">
        <f>Port[[#This Row],[EAD (THB)]]*Port[[#This Row],[PD_avg]]</f>
        <v>5383912.9063137555</v>
      </c>
      <c r="AM243" s="507">
        <f>Port[[#This Row],[EAD_Interest (THB)]]*Port[[#This Row],[PD_avg]]</f>
        <v>65279.943989054293</v>
      </c>
      <c r="AN243" s="507">
        <f>Port[[#This Row],[EAD (THB)]]*Port[[#This Row],[LGD_avg]]</f>
        <v>236196000.00000006</v>
      </c>
      <c r="AO243" s="507">
        <f>Port[[#This Row],[EAD_Interest (THB)]]*Port[[#This Row],[LGD_avg]]</f>
        <v>2863876.5000000009</v>
      </c>
      <c r="AP243" s="507">
        <f>Port[[#This Row],[EAD_Drawn (THB)]]+Port[[#This Row],[EAD_Interest (THB)]]</f>
        <v>265622085</v>
      </c>
      <c r="AQ2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4904273.5652725305</v>
      </c>
      <c r="AR243" s="522">
        <f>MAX(Port[[#This Row],[ECL (THB)]]+Port[[#This Row],[ECL_Interest (THB)]], Port[[#This Row],[ECL CBIRC (THB)]])</f>
        <v>4904273.5652725305</v>
      </c>
    </row>
    <row r="244" spans="1:44">
      <c r="A244" s="2" t="s">
        <v>990</v>
      </c>
      <c r="B244" s="2" t="s">
        <v>991</v>
      </c>
      <c r="C244" s="2" t="s">
        <v>175</v>
      </c>
      <c r="D244" s="2" t="s">
        <v>25</v>
      </c>
      <c r="E244" s="2" t="s">
        <v>172</v>
      </c>
      <c r="F244" s="2" t="s">
        <v>173</v>
      </c>
      <c r="G244" s="2" t="s">
        <v>21</v>
      </c>
      <c r="H244">
        <v>1</v>
      </c>
      <c r="I244" s="2" t="s">
        <v>526</v>
      </c>
      <c r="J244" s="505">
        <v>5.2260409683794924E-3</v>
      </c>
      <c r="K244" s="505">
        <v>0.8999999999999998</v>
      </c>
      <c r="L244" s="3">
        <v>1</v>
      </c>
      <c r="M244" s="3">
        <v>5.2488000000000001</v>
      </c>
      <c r="N244" s="507">
        <v>100000000</v>
      </c>
      <c r="O244" s="507">
        <v>0</v>
      </c>
      <c r="P244" s="507">
        <v>100000000</v>
      </c>
      <c r="Q244" s="507">
        <v>81666.67</v>
      </c>
      <c r="R244" s="507">
        <v>470343.68715415429</v>
      </c>
      <c r="S244" s="507">
        <v>0</v>
      </c>
      <c r="T244" s="507">
        <v>470343.68715415429</v>
      </c>
      <c r="U244" s="507">
        <v>384.11402685401561</v>
      </c>
      <c r="V244" s="507">
        <f>Port[[#This Row],[EAD_Drawn (CNY)]]*Port[[#This Row],[CNY -&gt; FCY]]</f>
        <v>100000000</v>
      </c>
      <c r="W244" s="507">
        <f>Port[[#This Row],[EAD_Undrawn (CNY)]]*Port[[#This Row],[CNY -&gt; FCY]]</f>
        <v>0</v>
      </c>
      <c r="X244" s="507">
        <f>Port[[#This Row],[EAD (CNY)]]*Port[[#This Row],[CNY -&gt; FCY]]</f>
        <v>100000000</v>
      </c>
      <c r="Y244" s="507">
        <f>Port[[#This Row],[EAD_Interest (CNY)]]*Port[[#This Row],[CNY -&gt; FCY]]</f>
        <v>81666.67</v>
      </c>
      <c r="Z244" s="507">
        <f>Port[[#This Row],[ECL_Drawn (CNY)]]*Port[[#This Row],[CNY -&gt; FCY]]</f>
        <v>470343.68715415429</v>
      </c>
      <c r="AA244" s="507">
        <f>Port[[#This Row],[ECL_Undrawn (CNY)]]*Port[[#This Row],[CNY -&gt; FCY]]</f>
        <v>0</v>
      </c>
      <c r="AB244" s="507">
        <f>Port[[#This Row],[ECL (CNY)]]*Port[[#This Row],[CNY -&gt; FCY]]</f>
        <v>470343.68715415429</v>
      </c>
      <c r="AC244" s="507">
        <f>Port[[#This Row],[ECL_Interest (CNY)]]*Port[[#This Row],[CNY -&gt; FCY]]</f>
        <v>384.11402685401561</v>
      </c>
      <c r="AD244" s="507">
        <f>Port[[#This Row],[EAD_Drawn (CNY)]]*Port[[#This Row],[CNY -&gt; THB]]</f>
        <v>524880000</v>
      </c>
      <c r="AE244" s="507">
        <f>Port[[#This Row],[EAD_Undrawn (CNY)]]*Port[[#This Row],[CNY -&gt; THB]]</f>
        <v>0</v>
      </c>
      <c r="AF244" s="507">
        <f>Port[[#This Row],[EAD (CNY)]]*Port[[#This Row],[CNY -&gt; THB]]</f>
        <v>524880000</v>
      </c>
      <c r="AG244" s="507">
        <f>Port[[#This Row],[EAD_Interest (CNY)]]*Port[[#This Row],[CNY -&gt; THB]]</f>
        <v>428652.01749599999</v>
      </c>
      <c r="AH244" s="507">
        <f>Port[[#This Row],[ECL_Drawn (CNY)]]*Port[[#This Row],[CNY -&gt; THB]]</f>
        <v>2468739.945134725</v>
      </c>
      <c r="AI244" s="507">
        <f>Port[[#This Row],[ECL_Undrawn (CNY)]]*Port[[#This Row],[CNY -&gt; THB]]</f>
        <v>0</v>
      </c>
      <c r="AJ244" s="507">
        <f>Port[[#This Row],[ECL (CNY)]]*Port[[#This Row],[CNY -&gt; THB]]</f>
        <v>2468739.945134725</v>
      </c>
      <c r="AK244" s="507">
        <f>Port[[#This Row],[ECL_Interest (CNY)]]*Port[[#This Row],[CNY -&gt; THB]]</f>
        <v>2016.1377041513572</v>
      </c>
      <c r="AL244" s="507">
        <f>Port[[#This Row],[EAD (THB)]]*Port[[#This Row],[PD_avg]]</f>
        <v>2743044.383483028</v>
      </c>
      <c r="AM244" s="507">
        <f>Port[[#This Row],[EAD_Interest (THB)]]*Port[[#This Row],[PD_avg]]</f>
        <v>2240.153004612619</v>
      </c>
      <c r="AN244" s="507">
        <f>Port[[#This Row],[EAD (THB)]]*Port[[#This Row],[LGD_avg]]</f>
        <v>472391999.99999988</v>
      </c>
      <c r="AO244" s="507">
        <f>Port[[#This Row],[EAD_Interest (THB)]]*Port[[#This Row],[LGD_avg]]</f>
        <v>385786.81574639992</v>
      </c>
      <c r="AP244" s="507">
        <f>Port[[#This Row],[EAD_Drawn (THB)]]+Port[[#This Row],[EAD_Interest (THB)]]</f>
        <v>525308652.01749599</v>
      </c>
      <c r="AQ2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2470756.0828388762</v>
      </c>
      <c r="AR244" s="522">
        <f>MAX(Port[[#This Row],[ECL (THB)]]+Port[[#This Row],[ECL_Interest (THB)]], Port[[#This Row],[ECL CBIRC (THB)]])</f>
        <v>2470756.0828388762</v>
      </c>
    </row>
    <row r="245" spans="1:44">
      <c r="A245" s="2" t="s">
        <v>992</v>
      </c>
      <c r="B245" s="2" t="s">
        <v>993</v>
      </c>
      <c r="C245" s="2" t="s">
        <v>175</v>
      </c>
      <c r="D245" s="2" t="s">
        <v>25</v>
      </c>
      <c r="E245" s="2" t="s">
        <v>172</v>
      </c>
      <c r="F245" s="2" t="s">
        <v>173</v>
      </c>
      <c r="G245" s="2" t="s">
        <v>21</v>
      </c>
      <c r="H245">
        <v>1</v>
      </c>
      <c r="I245" s="2" t="s">
        <v>526</v>
      </c>
      <c r="J245" s="505">
        <v>2.0514833509807026E-2</v>
      </c>
      <c r="K245" s="505">
        <v>0.90000000000000024</v>
      </c>
      <c r="L245" s="3">
        <v>1</v>
      </c>
      <c r="M245" s="3">
        <v>5.2488000000000001</v>
      </c>
      <c r="N245" s="507">
        <v>50000000</v>
      </c>
      <c r="O245" s="507">
        <v>0</v>
      </c>
      <c r="P245" s="507">
        <v>50000000</v>
      </c>
      <c r="Q245" s="507">
        <v>56388.89</v>
      </c>
      <c r="R245" s="507">
        <v>923167.50794131635</v>
      </c>
      <c r="S245" s="507">
        <v>0</v>
      </c>
      <c r="T245" s="507">
        <v>923167.50794131635</v>
      </c>
      <c r="U245" s="507">
        <v>1041.1278211375402</v>
      </c>
      <c r="V245" s="507">
        <f>Port[[#This Row],[EAD_Drawn (CNY)]]*Port[[#This Row],[CNY -&gt; FCY]]</f>
        <v>50000000</v>
      </c>
      <c r="W245" s="507">
        <f>Port[[#This Row],[EAD_Undrawn (CNY)]]*Port[[#This Row],[CNY -&gt; FCY]]</f>
        <v>0</v>
      </c>
      <c r="X245" s="507">
        <f>Port[[#This Row],[EAD (CNY)]]*Port[[#This Row],[CNY -&gt; FCY]]</f>
        <v>50000000</v>
      </c>
      <c r="Y245" s="507">
        <f>Port[[#This Row],[EAD_Interest (CNY)]]*Port[[#This Row],[CNY -&gt; FCY]]</f>
        <v>56388.89</v>
      </c>
      <c r="Z245" s="507">
        <f>Port[[#This Row],[ECL_Drawn (CNY)]]*Port[[#This Row],[CNY -&gt; FCY]]</f>
        <v>923167.50794131635</v>
      </c>
      <c r="AA245" s="507">
        <f>Port[[#This Row],[ECL_Undrawn (CNY)]]*Port[[#This Row],[CNY -&gt; FCY]]</f>
        <v>0</v>
      </c>
      <c r="AB245" s="507">
        <f>Port[[#This Row],[ECL (CNY)]]*Port[[#This Row],[CNY -&gt; FCY]]</f>
        <v>923167.50794131635</v>
      </c>
      <c r="AC245" s="507">
        <f>Port[[#This Row],[ECL_Interest (CNY)]]*Port[[#This Row],[CNY -&gt; FCY]]</f>
        <v>1041.1278211375402</v>
      </c>
      <c r="AD245" s="507">
        <f>Port[[#This Row],[EAD_Drawn (CNY)]]*Port[[#This Row],[CNY -&gt; THB]]</f>
        <v>262440000</v>
      </c>
      <c r="AE245" s="507">
        <f>Port[[#This Row],[EAD_Undrawn (CNY)]]*Port[[#This Row],[CNY -&gt; THB]]</f>
        <v>0</v>
      </c>
      <c r="AF245" s="507">
        <f>Port[[#This Row],[EAD (CNY)]]*Port[[#This Row],[CNY -&gt; THB]]</f>
        <v>262440000</v>
      </c>
      <c r="AG245" s="507">
        <f>Port[[#This Row],[EAD_Interest (CNY)]]*Port[[#This Row],[CNY -&gt; THB]]</f>
        <v>295974.005832</v>
      </c>
      <c r="AH245" s="507">
        <f>Port[[#This Row],[ECL_Drawn (CNY)]]*Port[[#This Row],[CNY -&gt; THB]]</f>
        <v>4845521.6156823812</v>
      </c>
      <c r="AI245" s="507">
        <f>Port[[#This Row],[ECL_Undrawn (CNY)]]*Port[[#This Row],[CNY -&gt; THB]]</f>
        <v>0</v>
      </c>
      <c r="AJ245" s="507">
        <f>Port[[#This Row],[ECL (CNY)]]*Port[[#This Row],[CNY -&gt; THB]]</f>
        <v>4845521.6156823812</v>
      </c>
      <c r="AK245" s="507">
        <f>Port[[#This Row],[ECL_Interest (CNY)]]*Port[[#This Row],[CNY -&gt; THB]]</f>
        <v>5464.6717075867209</v>
      </c>
      <c r="AL245" s="507">
        <f>Port[[#This Row],[EAD (THB)]]*Port[[#This Row],[PD_avg]]</f>
        <v>5383912.9063137555</v>
      </c>
      <c r="AM245" s="507">
        <f>Port[[#This Row],[EAD_Interest (THB)]]*Port[[#This Row],[PD_avg]]</f>
        <v>6071.8574528741337</v>
      </c>
      <c r="AN245" s="507">
        <f>Port[[#This Row],[EAD (THB)]]*Port[[#This Row],[LGD_avg]]</f>
        <v>236196000.00000006</v>
      </c>
      <c r="AO245" s="507">
        <f>Port[[#This Row],[EAD_Interest (THB)]]*Port[[#This Row],[LGD_avg]]</f>
        <v>266376.60524880007</v>
      </c>
      <c r="AP245" s="507">
        <f>Port[[#This Row],[EAD_Drawn (THB)]]+Port[[#This Row],[EAD_Interest (THB)]]</f>
        <v>262735974.00583199</v>
      </c>
      <c r="AQ2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4850986.2873899676</v>
      </c>
      <c r="AR245" s="522">
        <f>MAX(Port[[#This Row],[ECL (THB)]]+Port[[#This Row],[ECL_Interest (THB)]], Port[[#This Row],[ECL CBIRC (THB)]])</f>
        <v>4850986.2873899676</v>
      </c>
    </row>
    <row r="246" spans="1:44">
      <c r="A246" s="2" t="s">
        <v>994</v>
      </c>
      <c r="B246" s="2" t="s">
        <v>991</v>
      </c>
      <c r="C246" s="2" t="s">
        <v>175</v>
      </c>
      <c r="D246" s="2" t="s">
        <v>25</v>
      </c>
      <c r="E246" s="2" t="s">
        <v>172</v>
      </c>
      <c r="F246" s="2" t="s">
        <v>173</v>
      </c>
      <c r="G246" s="2" t="s">
        <v>21</v>
      </c>
      <c r="H246">
        <v>1</v>
      </c>
      <c r="I246" s="2" t="s">
        <v>526</v>
      </c>
      <c r="J246" s="505">
        <v>5.2260409683794924E-3</v>
      </c>
      <c r="K246" s="505">
        <v>0.8999999999999998</v>
      </c>
      <c r="L246" s="3">
        <v>1</v>
      </c>
      <c r="M246" s="3">
        <v>5.2488000000000001</v>
      </c>
      <c r="N246" s="507">
        <v>100000000</v>
      </c>
      <c r="O246" s="507">
        <v>0</v>
      </c>
      <c r="P246" s="507">
        <v>100000000</v>
      </c>
      <c r="Q246" s="507">
        <v>81666.67</v>
      </c>
      <c r="R246" s="507">
        <v>470343.68715415429</v>
      </c>
      <c r="S246" s="507">
        <v>0</v>
      </c>
      <c r="T246" s="507">
        <v>470343.68715415429</v>
      </c>
      <c r="U246" s="507">
        <v>384.11402685401561</v>
      </c>
      <c r="V246" s="507">
        <f>Port[[#This Row],[EAD_Drawn (CNY)]]*Port[[#This Row],[CNY -&gt; FCY]]</f>
        <v>100000000</v>
      </c>
      <c r="W246" s="507">
        <f>Port[[#This Row],[EAD_Undrawn (CNY)]]*Port[[#This Row],[CNY -&gt; FCY]]</f>
        <v>0</v>
      </c>
      <c r="X246" s="507">
        <f>Port[[#This Row],[EAD (CNY)]]*Port[[#This Row],[CNY -&gt; FCY]]</f>
        <v>100000000</v>
      </c>
      <c r="Y246" s="507">
        <f>Port[[#This Row],[EAD_Interest (CNY)]]*Port[[#This Row],[CNY -&gt; FCY]]</f>
        <v>81666.67</v>
      </c>
      <c r="Z246" s="507">
        <f>Port[[#This Row],[ECL_Drawn (CNY)]]*Port[[#This Row],[CNY -&gt; FCY]]</f>
        <v>470343.68715415429</v>
      </c>
      <c r="AA246" s="507">
        <f>Port[[#This Row],[ECL_Undrawn (CNY)]]*Port[[#This Row],[CNY -&gt; FCY]]</f>
        <v>0</v>
      </c>
      <c r="AB246" s="507">
        <f>Port[[#This Row],[ECL (CNY)]]*Port[[#This Row],[CNY -&gt; FCY]]</f>
        <v>470343.68715415429</v>
      </c>
      <c r="AC246" s="507">
        <f>Port[[#This Row],[ECL_Interest (CNY)]]*Port[[#This Row],[CNY -&gt; FCY]]</f>
        <v>384.11402685401561</v>
      </c>
      <c r="AD246" s="507">
        <f>Port[[#This Row],[EAD_Drawn (CNY)]]*Port[[#This Row],[CNY -&gt; THB]]</f>
        <v>524880000</v>
      </c>
      <c r="AE246" s="507">
        <f>Port[[#This Row],[EAD_Undrawn (CNY)]]*Port[[#This Row],[CNY -&gt; THB]]</f>
        <v>0</v>
      </c>
      <c r="AF246" s="507">
        <f>Port[[#This Row],[EAD (CNY)]]*Port[[#This Row],[CNY -&gt; THB]]</f>
        <v>524880000</v>
      </c>
      <c r="AG246" s="507">
        <f>Port[[#This Row],[EAD_Interest (CNY)]]*Port[[#This Row],[CNY -&gt; THB]]</f>
        <v>428652.01749599999</v>
      </c>
      <c r="AH246" s="507">
        <f>Port[[#This Row],[ECL_Drawn (CNY)]]*Port[[#This Row],[CNY -&gt; THB]]</f>
        <v>2468739.945134725</v>
      </c>
      <c r="AI246" s="507">
        <f>Port[[#This Row],[ECL_Undrawn (CNY)]]*Port[[#This Row],[CNY -&gt; THB]]</f>
        <v>0</v>
      </c>
      <c r="AJ246" s="507">
        <f>Port[[#This Row],[ECL (CNY)]]*Port[[#This Row],[CNY -&gt; THB]]</f>
        <v>2468739.945134725</v>
      </c>
      <c r="AK246" s="507">
        <f>Port[[#This Row],[ECL_Interest (CNY)]]*Port[[#This Row],[CNY -&gt; THB]]</f>
        <v>2016.1377041513572</v>
      </c>
      <c r="AL246" s="507">
        <f>Port[[#This Row],[EAD (THB)]]*Port[[#This Row],[PD_avg]]</f>
        <v>2743044.383483028</v>
      </c>
      <c r="AM246" s="507">
        <f>Port[[#This Row],[EAD_Interest (THB)]]*Port[[#This Row],[PD_avg]]</f>
        <v>2240.153004612619</v>
      </c>
      <c r="AN246" s="507">
        <f>Port[[#This Row],[EAD (THB)]]*Port[[#This Row],[LGD_avg]]</f>
        <v>472391999.99999988</v>
      </c>
      <c r="AO246" s="507">
        <f>Port[[#This Row],[EAD_Interest (THB)]]*Port[[#This Row],[LGD_avg]]</f>
        <v>385786.81574639992</v>
      </c>
      <c r="AP246" s="507">
        <f>Port[[#This Row],[EAD_Drawn (THB)]]+Port[[#This Row],[EAD_Interest (THB)]]</f>
        <v>525308652.01749599</v>
      </c>
      <c r="AQ2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2470756.0828388762</v>
      </c>
      <c r="AR246" s="522">
        <f>MAX(Port[[#This Row],[ECL (THB)]]+Port[[#This Row],[ECL_Interest (THB)]], Port[[#This Row],[ECL CBIRC (THB)]])</f>
        <v>2470756.0828388762</v>
      </c>
    </row>
    <row r="247" spans="1:44">
      <c r="A247" s="2" t="s">
        <v>995</v>
      </c>
      <c r="B247" s="2" t="s">
        <v>183</v>
      </c>
      <c r="C247" s="2" t="s">
        <v>175</v>
      </c>
      <c r="D247" s="2" t="s">
        <v>25</v>
      </c>
      <c r="E247" s="2" t="s">
        <v>172</v>
      </c>
      <c r="F247" s="2" t="s">
        <v>173</v>
      </c>
      <c r="G247" s="2" t="s">
        <v>21</v>
      </c>
      <c r="H247">
        <v>1</v>
      </c>
      <c r="I247" s="2" t="s">
        <v>526</v>
      </c>
      <c r="J247" s="505">
        <v>2.0514833509807026E-2</v>
      </c>
      <c r="K247" s="505">
        <v>0.90000000000000013</v>
      </c>
      <c r="L247" s="3">
        <v>1</v>
      </c>
      <c r="M247" s="3">
        <v>5.2488000000000001</v>
      </c>
      <c r="N247" s="507">
        <v>100000000</v>
      </c>
      <c r="O247" s="507">
        <v>0</v>
      </c>
      <c r="P247" s="507">
        <v>100000000</v>
      </c>
      <c r="Q247" s="507">
        <v>85555.56</v>
      </c>
      <c r="R247" s="507">
        <v>1846335.0158826327</v>
      </c>
      <c r="S247" s="507">
        <v>0</v>
      </c>
      <c r="T247" s="507">
        <v>1846335.0158826327</v>
      </c>
      <c r="U247" s="507">
        <v>1579.6422623144751</v>
      </c>
      <c r="V247" s="507">
        <f>Port[[#This Row],[EAD_Drawn (CNY)]]*Port[[#This Row],[CNY -&gt; FCY]]</f>
        <v>100000000</v>
      </c>
      <c r="W247" s="507">
        <f>Port[[#This Row],[EAD_Undrawn (CNY)]]*Port[[#This Row],[CNY -&gt; FCY]]</f>
        <v>0</v>
      </c>
      <c r="X247" s="507">
        <f>Port[[#This Row],[EAD (CNY)]]*Port[[#This Row],[CNY -&gt; FCY]]</f>
        <v>100000000</v>
      </c>
      <c r="Y247" s="507">
        <f>Port[[#This Row],[EAD_Interest (CNY)]]*Port[[#This Row],[CNY -&gt; FCY]]</f>
        <v>85555.56</v>
      </c>
      <c r="Z247" s="507">
        <f>Port[[#This Row],[ECL_Drawn (CNY)]]*Port[[#This Row],[CNY -&gt; FCY]]</f>
        <v>1846335.0158826327</v>
      </c>
      <c r="AA247" s="507">
        <f>Port[[#This Row],[ECL_Undrawn (CNY)]]*Port[[#This Row],[CNY -&gt; FCY]]</f>
        <v>0</v>
      </c>
      <c r="AB247" s="507">
        <f>Port[[#This Row],[ECL (CNY)]]*Port[[#This Row],[CNY -&gt; FCY]]</f>
        <v>1846335.0158826327</v>
      </c>
      <c r="AC247" s="507">
        <f>Port[[#This Row],[ECL_Interest (CNY)]]*Port[[#This Row],[CNY -&gt; FCY]]</f>
        <v>1579.6422623144751</v>
      </c>
      <c r="AD247" s="507">
        <f>Port[[#This Row],[EAD_Drawn (CNY)]]*Port[[#This Row],[CNY -&gt; THB]]</f>
        <v>524880000</v>
      </c>
      <c r="AE247" s="507">
        <f>Port[[#This Row],[EAD_Undrawn (CNY)]]*Port[[#This Row],[CNY -&gt; THB]]</f>
        <v>0</v>
      </c>
      <c r="AF247" s="507">
        <f>Port[[#This Row],[EAD (CNY)]]*Port[[#This Row],[CNY -&gt; THB]]</f>
        <v>524880000</v>
      </c>
      <c r="AG247" s="507">
        <f>Port[[#This Row],[EAD_Interest (CNY)]]*Port[[#This Row],[CNY -&gt; THB]]</f>
        <v>449064.02332799998</v>
      </c>
      <c r="AH247" s="507">
        <f>Port[[#This Row],[ECL_Drawn (CNY)]]*Port[[#This Row],[CNY -&gt; THB]]</f>
        <v>9691043.2313647624</v>
      </c>
      <c r="AI247" s="507">
        <f>Port[[#This Row],[ECL_Undrawn (CNY)]]*Port[[#This Row],[CNY -&gt; THB]]</f>
        <v>0</v>
      </c>
      <c r="AJ247" s="507">
        <f>Port[[#This Row],[ECL (CNY)]]*Port[[#This Row],[CNY -&gt; THB]]</f>
        <v>9691043.2313647624</v>
      </c>
      <c r="AK247" s="507">
        <f>Port[[#This Row],[ECL_Interest (CNY)]]*Port[[#This Row],[CNY -&gt; THB]]</f>
        <v>8291.2263064362178</v>
      </c>
      <c r="AL247" s="507">
        <f>Port[[#This Row],[EAD (THB)]]*Port[[#This Row],[PD_avg]]</f>
        <v>10767825.812627511</v>
      </c>
      <c r="AM247" s="507">
        <f>Port[[#This Row],[EAD_Interest (THB)]]*Port[[#This Row],[PD_avg]]</f>
        <v>9212.4736738180181</v>
      </c>
      <c r="AN247" s="507">
        <f>Port[[#This Row],[EAD (THB)]]*Port[[#This Row],[LGD_avg]]</f>
        <v>472392000.00000006</v>
      </c>
      <c r="AO247" s="507">
        <f>Port[[#This Row],[EAD_Interest (THB)]]*Port[[#This Row],[LGD_avg]]</f>
        <v>404157.62099520006</v>
      </c>
      <c r="AP247" s="507">
        <f>Port[[#This Row],[EAD_Drawn (THB)]]+Port[[#This Row],[EAD_Interest (THB)]]</f>
        <v>525329064.02332801</v>
      </c>
      <c r="AQ2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9699334.457671199</v>
      </c>
      <c r="AR247" s="522">
        <f>MAX(Port[[#This Row],[ECL (THB)]]+Port[[#This Row],[ECL_Interest (THB)]], Port[[#This Row],[ECL CBIRC (THB)]])</f>
        <v>9699334.457671199</v>
      </c>
    </row>
    <row r="248" spans="1:44">
      <c r="A248" s="2" t="s">
        <v>996</v>
      </c>
      <c r="B248" s="2" t="s">
        <v>997</v>
      </c>
      <c r="C248" s="2" t="s">
        <v>175</v>
      </c>
      <c r="D248" s="2" t="s">
        <v>25</v>
      </c>
      <c r="E248" s="2" t="s">
        <v>172</v>
      </c>
      <c r="F248" s="2" t="s">
        <v>173</v>
      </c>
      <c r="G248" s="2" t="s">
        <v>21</v>
      </c>
      <c r="H248">
        <v>1</v>
      </c>
      <c r="I248" s="2" t="s">
        <v>526</v>
      </c>
      <c r="J248" s="505">
        <v>2.3168391354034413E-3</v>
      </c>
      <c r="K248" s="505">
        <v>0.90000000000000013</v>
      </c>
      <c r="L248" s="3">
        <v>1</v>
      </c>
      <c r="M248" s="3">
        <v>5.2488000000000001</v>
      </c>
      <c r="N248" s="507">
        <v>100000000</v>
      </c>
      <c r="O248" s="507">
        <v>0</v>
      </c>
      <c r="P248" s="507">
        <v>100000000</v>
      </c>
      <c r="Q248" s="507">
        <v>962500</v>
      </c>
      <c r="R248" s="507">
        <v>208515.52218630974</v>
      </c>
      <c r="S248" s="507">
        <v>0</v>
      </c>
      <c r="T248" s="507">
        <v>208515.52218630974</v>
      </c>
      <c r="U248" s="507">
        <v>2006.9619010432316</v>
      </c>
      <c r="V248" s="507">
        <f>Port[[#This Row],[EAD_Drawn (CNY)]]*Port[[#This Row],[CNY -&gt; FCY]]</f>
        <v>100000000</v>
      </c>
      <c r="W248" s="507">
        <f>Port[[#This Row],[EAD_Undrawn (CNY)]]*Port[[#This Row],[CNY -&gt; FCY]]</f>
        <v>0</v>
      </c>
      <c r="X248" s="507">
        <f>Port[[#This Row],[EAD (CNY)]]*Port[[#This Row],[CNY -&gt; FCY]]</f>
        <v>100000000</v>
      </c>
      <c r="Y248" s="507">
        <f>Port[[#This Row],[EAD_Interest (CNY)]]*Port[[#This Row],[CNY -&gt; FCY]]</f>
        <v>962500</v>
      </c>
      <c r="Z248" s="507">
        <f>Port[[#This Row],[ECL_Drawn (CNY)]]*Port[[#This Row],[CNY -&gt; FCY]]</f>
        <v>208515.52218630974</v>
      </c>
      <c r="AA248" s="507">
        <f>Port[[#This Row],[ECL_Undrawn (CNY)]]*Port[[#This Row],[CNY -&gt; FCY]]</f>
        <v>0</v>
      </c>
      <c r="AB248" s="507">
        <f>Port[[#This Row],[ECL (CNY)]]*Port[[#This Row],[CNY -&gt; FCY]]</f>
        <v>208515.52218630974</v>
      </c>
      <c r="AC248" s="507">
        <f>Port[[#This Row],[ECL_Interest (CNY)]]*Port[[#This Row],[CNY -&gt; FCY]]</f>
        <v>2006.9619010432316</v>
      </c>
      <c r="AD248" s="507">
        <f>Port[[#This Row],[EAD_Drawn (CNY)]]*Port[[#This Row],[CNY -&gt; THB]]</f>
        <v>524880000</v>
      </c>
      <c r="AE248" s="507">
        <f>Port[[#This Row],[EAD_Undrawn (CNY)]]*Port[[#This Row],[CNY -&gt; THB]]</f>
        <v>0</v>
      </c>
      <c r="AF248" s="507">
        <f>Port[[#This Row],[EAD (CNY)]]*Port[[#This Row],[CNY -&gt; THB]]</f>
        <v>524880000</v>
      </c>
      <c r="AG248" s="507">
        <f>Port[[#This Row],[EAD_Interest (CNY)]]*Port[[#This Row],[CNY -&gt; THB]]</f>
        <v>5051970</v>
      </c>
      <c r="AH248" s="507">
        <f>Port[[#This Row],[ECL_Drawn (CNY)]]*Port[[#This Row],[CNY -&gt; THB]]</f>
        <v>1094456.2728515025</v>
      </c>
      <c r="AI248" s="507">
        <f>Port[[#This Row],[ECL_Undrawn (CNY)]]*Port[[#This Row],[CNY -&gt; THB]]</f>
        <v>0</v>
      </c>
      <c r="AJ248" s="507">
        <f>Port[[#This Row],[ECL (CNY)]]*Port[[#This Row],[CNY -&gt; THB]]</f>
        <v>1094456.2728515025</v>
      </c>
      <c r="AK248" s="507">
        <f>Port[[#This Row],[ECL_Interest (CNY)]]*Port[[#This Row],[CNY -&gt; THB]]</f>
        <v>10534.141626195715</v>
      </c>
      <c r="AL248" s="507">
        <f>Port[[#This Row],[EAD (THB)]]*Port[[#This Row],[PD_avg]]</f>
        <v>1216062.5253905582</v>
      </c>
      <c r="AM248" s="507">
        <f>Port[[#This Row],[EAD_Interest (THB)]]*Port[[#This Row],[PD_avg]]</f>
        <v>11704.601806884124</v>
      </c>
      <c r="AN248" s="507">
        <f>Port[[#This Row],[EAD (THB)]]*Port[[#This Row],[LGD_avg]]</f>
        <v>472392000.00000006</v>
      </c>
      <c r="AO248" s="507">
        <f>Port[[#This Row],[EAD_Interest (THB)]]*Port[[#This Row],[LGD_avg]]</f>
        <v>4546773.0000000009</v>
      </c>
      <c r="AP248" s="507">
        <f>Port[[#This Row],[EAD_Drawn (THB)]]+Port[[#This Row],[EAD_Interest (THB)]]</f>
        <v>529931970</v>
      </c>
      <c r="AQ2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1104990.4144776983</v>
      </c>
      <c r="AR248" s="522">
        <f>MAX(Port[[#This Row],[ECL (THB)]]+Port[[#This Row],[ECL_Interest (THB)]], Port[[#This Row],[ECL CBIRC (THB)]])</f>
        <v>1104990.4144776983</v>
      </c>
    </row>
    <row r="249" spans="1:44">
      <c r="A249" s="2" t="s">
        <v>998</v>
      </c>
      <c r="B249" s="2" t="s">
        <v>213</v>
      </c>
      <c r="C249" s="2" t="s">
        <v>175</v>
      </c>
      <c r="D249" s="2" t="s">
        <v>25</v>
      </c>
      <c r="E249" s="2" t="s">
        <v>172</v>
      </c>
      <c r="F249" s="2" t="s">
        <v>173</v>
      </c>
      <c r="G249" s="2" t="s">
        <v>21</v>
      </c>
      <c r="H249">
        <v>1</v>
      </c>
      <c r="I249" s="2" t="s">
        <v>526</v>
      </c>
      <c r="J249" s="505">
        <v>2.0514833509807026E-2</v>
      </c>
      <c r="K249" s="505">
        <v>0.90000000000000013</v>
      </c>
      <c r="L249" s="3">
        <v>1</v>
      </c>
      <c r="M249" s="3">
        <v>5.2488000000000001</v>
      </c>
      <c r="N249" s="507">
        <v>100000000</v>
      </c>
      <c r="O249" s="507">
        <v>0</v>
      </c>
      <c r="P249" s="507">
        <v>100000000</v>
      </c>
      <c r="Q249" s="507">
        <v>1186666.67</v>
      </c>
      <c r="R249" s="507">
        <v>1846335.0158826327</v>
      </c>
      <c r="S249" s="507">
        <v>0</v>
      </c>
      <c r="T249" s="507">
        <v>1846335.0158826327</v>
      </c>
      <c r="U249" s="507">
        <v>21909.842250018406</v>
      </c>
      <c r="V249" s="507">
        <f>Port[[#This Row],[EAD_Drawn (CNY)]]*Port[[#This Row],[CNY -&gt; FCY]]</f>
        <v>100000000</v>
      </c>
      <c r="W249" s="507">
        <f>Port[[#This Row],[EAD_Undrawn (CNY)]]*Port[[#This Row],[CNY -&gt; FCY]]</f>
        <v>0</v>
      </c>
      <c r="X249" s="507">
        <f>Port[[#This Row],[EAD (CNY)]]*Port[[#This Row],[CNY -&gt; FCY]]</f>
        <v>100000000</v>
      </c>
      <c r="Y249" s="507">
        <f>Port[[#This Row],[EAD_Interest (CNY)]]*Port[[#This Row],[CNY -&gt; FCY]]</f>
        <v>1186666.67</v>
      </c>
      <c r="Z249" s="507">
        <f>Port[[#This Row],[ECL_Drawn (CNY)]]*Port[[#This Row],[CNY -&gt; FCY]]</f>
        <v>1846335.0158826327</v>
      </c>
      <c r="AA249" s="507">
        <f>Port[[#This Row],[ECL_Undrawn (CNY)]]*Port[[#This Row],[CNY -&gt; FCY]]</f>
        <v>0</v>
      </c>
      <c r="AB249" s="507">
        <f>Port[[#This Row],[ECL (CNY)]]*Port[[#This Row],[CNY -&gt; FCY]]</f>
        <v>1846335.0158826327</v>
      </c>
      <c r="AC249" s="507">
        <f>Port[[#This Row],[ECL_Interest (CNY)]]*Port[[#This Row],[CNY -&gt; FCY]]</f>
        <v>21909.842250018406</v>
      </c>
      <c r="AD249" s="507">
        <f>Port[[#This Row],[EAD_Drawn (CNY)]]*Port[[#This Row],[CNY -&gt; THB]]</f>
        <v>524880000</v>
      </c>
      <c r="AE249" s="507">
        <f>Port[[#This Row],[EAD_Undrawn (CNY)]]*Port[[#This Row],[CNY -&gt; THB]]</f>
        <v>0</v>
      </c>
      <c r="AF249" s="507">
        <f>Port[[#This Row],[EAD (CNY)]]*Port[[#This Row],[CNY -&gt; THB]]</f>
        <v>524880000</v>
      </c>
      <c r="AG249" s="507">
        <f>Port[[#This Row],[EAD_Interest (CNY)]]*Port[[#This Row],[CNY -&gt; THB]]</f>
        <v>6228576.017496</v>
      </c>
      <c r="AH249" s="507">
        <f>Port[[#This Row],[ECL_Drawn (CNY)]]*Port[[#This Row],[CNY -&gt; THB]]</f>
        <v>9691043.2313647624</v>
      </c>
      <c r="AI249" s="507">
        <f>Port[[#This Row],[ECL_Undrawn (CNY)]]*Port[[#This Row],[CNY -&gt; THB]]</f>
        <v>0</v>
      </c>
      <c r="AJ249" s="507">
        <f>Port[[#This Row],[ECL (CNY)]]*Port[[#This Row],[CNY -&gt; THB]]</f>
        <v>9691043.2313647624</v>
      </c>
      <c r="AK249" s="507">
        <f>Port[[#This Row],[ECL_Interest (CNY)]]*Port[[#This Row],[CNY -&gt; THB]]</f>
        <v>115000.38000189661</v>
      </c>
      <c r="AL249" s="507">
        <f>Port[[#This Row],[EAD (THB)]]*Port[[#This Row],[PD_avg]]</f>
        <v>10767825.812627511</v>
      </c>
      <c r="AM249" s="507">
        <f>Port[[#This Row],[EAD_Interest (THB)]]*Port[[#This Row],[PD_avg]]</f>
        <v>127778.20000210733</v>
      </c>
      <c r="AN249" s="507">
        <f>Port[[#This Row],[EAD (THB)]]*Port[[#This Row],[LGD_avg]]</f>
        <v>472392000.00000006</v>
      </c>
      <c r="AO249" s="507">
        <f>Port[[#This Row],[EAD_Interest (THB)]]*Port[[#This Row],[LGD_avg]]</f>
        <v>5605718.4157464011</v>
      </c>
      <c r="AP249" s="507">
        <f>Port[[#This Row],[EAD_Drawn (THB)]]+Port[[#This Row],[EAD_Interest (THB)]]</f>
        <v>531108576.01749599</v>
      </c>
      <c r="AQ2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9806043.6113666594</v>
      </c>
      <c r="AR249" s="522">
        <f>MAX(Port[[#This Row],[ECL (THB)]]+Port[[#This Row],[ECL_Interest (THB)]], Port[[#This Row],[ECL CBIRC (THB)]])</f>
        <v>9806043.6113666594</v>
      </c>
    </row>
    <row r="250" spans="1:44">
      <c r="A250" s="2" t="s">
        <v>999</v>
      </c>
      <c r="B250" s="2" t="s">
        <v>209</v>
      </c>
      <c r="C250" s="2" t="s">
        <v>175</v>
      </c>
      <c r="D250" s="2" t="s">
        <v>25</v>
      </c>
      <c r="E250" s="2" t="s">
        <v>172</v>
      </c>
      <c r="F250" s="2" t="s">
        <v>173</v>
      </c>
      <c r="G250" s="2" t="s">
        <v>21</v>
      </c>
      <c r="H250">
        <v>1</v>
      </c>
      <c r="I250" s="2" t="s">
        <v>526</v>
      </c>
      <c r="J250" s="505">
        <v>5.2260409683794924E-3</v>
      </c>
      <c r="K250" s="505">
        <v>0.9</v>
      </c>
      <c r="L250" s="3">
        <v>1</v>
      </c>
      <c r="M250" s="3">
        <v>5.2488000000000001</v>
      </c>
      <c r="N250" s="507">
        <v>100000000</v>
      </c>
      <c r="O250" s="507">
        <v>0</v>
      </c>
      <c r="P250" s="507">
        <v>100000000</v>
      </c>
      <c r="Q250" s="507">
        <v>82638.89</v>
      </c>
      <c r="R250" s="507">
        <v>470343.68715415429</v>
      </c>
      <c r="S250" s="507">
        <v>0</v>
      </c>
      <c r="T250" s="507">
        <v>470343.68715415429</v>
      </c>
      <c r="U250" s="507">
        <v>388.68680224926567</v>
      </c>
      <c r="V250" s="507">
        <f>Port[[#This Row],[EAD_Drawn (CNY)]]*Port[[#This Row],[CNY -&gt; FCY]]</f>
        <v>100000000</v>
      </c>
      <c r="W250" s="507">
        <f>Port[[#This Row],[EAD_Undrawn (CNY)]]*Port[[#This Row],[CNY -&gt; FCY]]</f>
        <v>0</v>
      </c>
      <c r="X250" s="507">
        <f>Port[[#This Row],[EAD (CNY)]]*Port[[#This Row],[CNY -&gt; FCY]]</f>
        <v>100000000</v>
      </c>
      <c r="Y250" s="507">
        <f>Port[[#This Row],[EAD_Interest (CNY)]]*Port[[#This Row],[CNY -&gt; FCY]]</f>
        <v>82638.89</v>
      </c>
      <c r="Z250" s="507">
        <f>Port[[#This Row],[ECL_Drawn (CNY)]]*Port[[#This Row],[CNY -&gt; FCY]]</f>
        <v>470343.68715415429</v>
      </c>
      <c r="AA250" s="507">
        <f>Port[[#This Row],[ECL_Undrawn (CNY)]]*Port[[#This Row],[CNY -&gt; FCY]]</f>
        <v>0</v>
      </c>
      <c r="AB250" s="507">
        <f>Port[[#This Row],[ECL (CNY)]]*Port[[#This Row],[CNY -&gt; FCY]]</f>
        <v>470343.68715415429</v>
      </c>
      <c r="AC250" s="507">
        <f>Port[[#This Row],[ECL_Interest (CNY)]]*Port[[#This Row],[CNY -&gt; FCY]]</f>
        <v>388.68680224926567</v>
      </c>
      <c r="AD250" s="507">
        <f>Port[[#This Row],[EAD_Drawn (CNY)]]*Port[[#This Row],[CNY -&gt; THB]]</f>
        <v>524880000</v>
      </c>
      <c r="AE250" s="507">
        <f>Port[[#This Row],[EAD_Undrawn (CNY)]]*Port[[#This Row],[CNY -&gt; THB]]</f>
        <v>0</v>
      </c>
      <c r="AF250" s="507">
        <f>Port[[#This Row],[EAD (CNY)]]*Port[[#This Row],[CNY -&gt; THB]]</f>
        <v>524880000</v>
      </c>
      <c r="AG250" s="507">
        <f>Port[[#This Row],[EAD_Interest (CNY)]]*Port[[#This Row],[CNY -&gt; THB]]</f>
        <v>433755.005832</v>
      </c>
      <c r="AH250" s="507">
        <f>Port[[#This Row],[ECL_Drawn (CNY)]]*Port[[#This Row],[CNY -&gt; THB]]</f>
        <v>2468739.945134725</v>
      </c>
      <c r="AI250" s="507">
        <f>Port[[#This Row],[ECL_Undrawn (CNY)]]*Port[[#This Row],[CNY -&gt; THB]]</f>
        <v>0</v>
      </c>
      <c r="AJ250" s="507">
        <f>Port[[#This Row],[ECL (CNY)]]*Port[[#This Row],[CNY -&gt; THB]]</f>
        <v>2468739.945134725</v>
      </c>
      <c r="AK250" s="507">
        <f>Port[[#This Row],[ECL_Interest (CNY)]]*Port[[#This Row],[CNY -&gt; THB]]</f>
        <v>2040.1392876459456</v>
      </c>
      <c r="AL250" s="507">
        <f>Port[[#This Row],[EAD (THB)]]*Port[[#This Row],[PD_avg]]</f>
        <v>2743044.383483028</v>
      </c>
      <c r="AM250" s="507">
        <f>Port[[#This Row],[EAD_Interest (THB)]]*Port[[#This Row],[PD_avg]]</f>
        <v>2266.8214307177177</v>
      </c>
      <c r="AN250" s="507">
        <f>Port[[#This Row],[EAD (THB)]]*Port[[#This Row],[LGD_avg]]</f>
        <v>472392000</v>
      </c>
      <c r="AO250" s="507">
        <f>Port[[#This Row],[EAD_Interest (THB)]]*Port[[#This Row],[LGD_avg]]</f>
        <v>390379.50524879998</v>
      </c>
      <c r="AP250" s="507">
        <f>Port[[#This Row],[EAD_Drawn (THB)]]+Port[[#This Row],[EAD_Interest (THB)]]</f>
        <v>525313755.00583202</v>
      </c>
      <c r="AQ2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2470780.0844223709</v>
      </c>
      <c r="AR250" s="522">
        <f>MAX(Port[[#This Row],[ECL (THB)]]+Port[[#This Row],[ECL_Interest (THB)]], Port[[#This Row],[ECL CBIRC (THB)]])</f>
        <v>2470780.0844223709</v>
      </c>
    </row>
    <row r="251" spans="1:44">
      <c r="A251" s="2" t="s">
        <v>1000</v>
      </c>
      <c r="B251" s="2" t="s">
        <v>210</v>
      </c>
      <c r="C251" s="2" t="s">
        <v>175</v>
      </c>
      <c r="D251" s="2" t="s">
        <v>25</v>
      </c>
      <c r="E251" s="2" t="s">
        <v>172</v>
      </c>
      <c r="F251" s="2" t="s">
        <v>173</v>
      </c>
      <c r="G251" s="2" t="s">
        <v>21</v>
      </c>
      <c r="H251">
        <v>1</v>
      </c>
      <c r="I251" s="2" t="s">
        <v>526</v>
      </c>
      <c r="J251" s="505">
        <v>2.3168391354034413E-3</v>
      </c>
      <c r="K251" s="505">
        <v>0.90000000000000024</v>
      </c>
      <c r="L251" s="3">
        <v>1</v>
      </c>
      <c r="M251" s="3">
        <v>5.2488000000000001</v>
      </c>
      <c r="N251" s="507">
        <v>150000000</v>
      </c>
      <c r="O251" s="507">
        <v>0</v>
      </c>
      <c r="P251" s="507">
        <v>150000000</v>
      </c>
      <c r="Q251" s="507">
        <v>125416.67</v>
      </c>
      <c r="R251" s="507">
        <v>312773.28327946464</v>
      </c>
      <c r="S251" s="507">
        <v>0</v>
      </c>
      <c r="T251" s="507">
        <v>312773.28327946464</v>
      </c>
      <c r="U251" s="507">
        <v>261.51322435918087</v>
      </c>
      <c r="V251" s="507">
        <f>Port[[#This Row],[EAD_Drawn (CNY)]]*Port[[#This Row],[CNY -&gt; FCY]]</f>
        <v>150000000</v>
      </c>
      <c r="W251" s="507">
        <f>Port[[#This Row],[EAD_Undrawn (CNY)]]*Port[[#This Row],[CNY -&gt; FCY]]</f>
        <v>0</v>
      </c>
      <c r="X251" s="507">
        <f>Port[[#This Row],[EAD (CNY)]]*Port[[#This Row],[CNY -&gt; FCY]]</f>
        <v>150000000</v>
      </c>
      <c r="Y251" s="507">
        <f>Port[[#This Row],[EAD_Interest (CNY)]]*Port[[#This Row],[CNY -&gt; FCY]]</f>
        <v>125416.67</v>
      </c>
      <c r="Z251" s="507">
        <f>Port[[#This Row],[ECL_Drawn (CNY)]]*Port[[#This Row],[CNY -&gt; FCY]]</f>
        <v>312773.28327946464</v>
      </c>
      <c r="AA251" s="507">
        <f>Port[[#This Row],[ECL_Undrawn (CNY)]]*Port[[#This Row],[CNY -&gt; FCY]]</f>
        <v>0</v>
      </c>
      <c r="AB251" s="507">
        <f>Port[[#This Row],[ECL (CNY)]]*Port[[#This Row],[CNY -&gt; FCY]]</f>
        <v>312773.28327946464</v>
      </c>
      <c r="AC251" s="507">
        <f>Port[[#This Row],[ECL_Interest (CNY)]]*Port[[#This Row],[CNY -&gt; FCY]]</f>
        <v>261.51322435918087</v>
      </c>
      <c r="AD251" s="507">
        <f>Port[[#This Row],[EAD_Drawn (CNY)]]*Port[[#This Row],[CNY -&gt; THB]]</f>
        <v>787320000</v>
      </c>
      <c r="AE251" s="507">
        <f>Port[[#This Row],[EAD_Undrawn (CNY)]]*Port[[#This Row],[CNY -&gt; THB]]</f>
        <v>0</v>
      </c>
      <c r="AF251" s="507">
        <f>Port[[#This Row],[EAD (CNY)]]*Port[[#This Row],[CNY -&gt; THB]]</f>
        <v>787320000</v>
      </c>
      <c r="AG251" s="507">
        <f>Port[[#This Row],[EAD_Interest (CNY)]]*Port[[#This Row],[CNY -&gt; THB]]</f>
        <v>658287.01749600004</v>
      </c>
      <c r="AH251" s="507">
        <f>Port[[#This Row],[ECL_Drawn (CNY)]]*Port[[#This Row],[CNY -&gt; THB]]</f>
        <v>1641684.409277254</v>
      </c>
      <c r="AI251" s="507">
        <f>Port[[#This Row],[ECL_Undrawn (CNY)]]*Port[[#This Row],[CNY -&gt; THB]]</f>
        <v>0</v>
      </c>
      <c r="AJ251" s="507">
        <f>Port[[#This Row],[ECL (CNY)]]*Port[[#This Row],[CNY -&gt; THB]]</f>
        <v>1641684.409277254</v>
      </c>
      <c r="AK251" s="507">
        <f>Port[[#This Row],[ECL_Interest (CNY)]]*Port[[#This Row],[CNY -&gt; THB]]</f>
        <v>1372.6306120164686</v>
      </c>
      <c r="AL251" s="507">
        <f>Port[[#This Row],[EAD (THB)]]*Port[[#This Row],[PD_avg]]</f>
        <v>1824093.7880858374</v>
      </c>
      <c r="AM251" s="507">
        <f>Port[[#This Row],[EAD_Interest (THB)]]*Port[[#This Row],[PD_avg]]</f>
        <v>1525.1451244627428</v>
      </c>
      <c r="AN251" s="507">
        <f>Port[[#This Row],[EAD (THB)]]*Port[[#This Row],[LGD_avg]]</f>
        <v>708588000.00000024</v>
      </c>
      <c r="AO251" s="507">
        <f>Port[[#This Row],[EAD_Interest (THB)]]*Port[[#This Row],[LGD_avg]]</f>
        <v>592458.31574640016</v>
      </c>
      <c r="AP251" s="507">
        <f>Port[[#This Row],[EAD_Drawn (THB)]]+Port[[#This Row],[EAD_Interest (THB)]]</f>
        <v>787978287.01749599</v>
      </c>
      <c r="AQ2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1643057.0398892704</v>
      </c>
      <c r="AR251" s="522">
        <f>MAX(Port[[#This Row],[ECL (THB)]]+Port[[#This Row],[ECL_Interest (THB)]], Port[[#This Row],[ECL CBIRC (THB)]])</f>
        <v>1643057.0398892704</v>
      </c>
    </row>
    <row r="252" spans="1:44">
      <c r="A252" s="2" t="s">
        <v>1001</v>
      </c>
      <c r="B252" s="2" t="s">
        <v>196</v>
      </c>
      <c r="C252" s="2" t="s">
        <v>175</v>
      </c>
      <c r="D252" s="2" t="s">
        <v>25</v>
      </c>
      <c r="E252" s="2" t="s">
        <v>172</v>
      </c>
      <c r="F252" s="2" t="s">
        <v>173</v>
      </c>
      <c r="G252" s="2" t="s">
        <v>21</v>
      </c>
      <c r="H252">
        <v>1</v>
      </c>
      <c r="I252" s="2" t="s">
        <v>526</v>
      </c>
      <c r="J252" s="505">
        <v>1.3043899345507868E-2</v>
      </c>
      <c r="K252" s="505">
        <v>0.90000000000000024</v>
      </c>
      <c r="L252" s="3">
        <v>1</v>
      </c>
      <c r="M252" s="3">
        <v>5.2488000000000001</v>
      </c>
      <c r="N252" s="507">
        <v>100000000</v>
      </c>
      <c r="O252" s="507">
        <v>0</v>
      </c>
      <c r="P252" s="507">
        <v>100000000</v>
      </c>
      <c r="Q252" s="507">
        <v>87500</v>
      </c>
      <c r="R252" s="507">
        <v>1173950.9410957084</v>
      </c>
      <c r="S252" s="507">
        <v>0</v>
      </c>
      <c r="T252" s="507">
        <v>1173950.9410957084</v>
      </c>
      <c r="U252" s="507">
        <v>1027.2070734587446</v>
      </c>
      <c r="V252" s="507">
        <f>Port[[#This Row],[EAD_Drawn (CNY)]]*Port[[#This Row],[CNY -&gt; FCY]]</f>
        <v>100000000</v>
      </c>
      <c r="W252" s="507">
        <f>Port[[#This Row],[EAD_Undrawn (CNY)]]*Port[[#This Row],[CNY -&gt; FCY]]</f>
        <v>0</v>
      </c>
      <c r="X252" s="507">
        <f>Port[[#This Row],[EAD (CNY)]]*Port[[#This Row],[CNY -&gt; FCY]]</f>
        <v>100000000</v>
      </c>
      <c r="Y252" s="507">
        <f>Port[[#This Row],[EAD_Interest (CNY)]]*Port[[#This Row],[CNY -&gt; FCY]]</f>
        <v>87500</v>
      </c>
      <c r="Z252" s="507">
        <f>Port[[#This Row],[ECL_Drawn (CNY)]]*Port[[#This Row],[CNY -&gt; FCY]]</f>
        <v>1173950.9410957084</v>
      </c>
      <c r="AA252" s="507">
        <f>Port[[#This Row],[ECL_Undrawn (CNY)]]*Port[[#This Row],[CNY -&gt; FCY]]</f>
        <v>0</v>
      </c>
      <c r="AB252" s="507">
        <f>Port[[#This Row],[ECL (CNY)]]*Port[[#This Row],[CNY -&gt; FCY]]</f>
        <v>1173950.9410957084</v>
      </c>
      <c r="AC252" s="507">
        <f>Port[[#This Row],[ECL_Interest (CNY)]]*Port[[#This Row],[CNY -&gt; FCY]]</f>
        <v>1027.2070734587446</v>
      </c>
      <c r="AD252" s="507">
        <f>Port[[#This Row],[EAD_Drawn (CNY)]]*Port[[#This Row],[CNY -&gt; THB]]</f>
        <v>524880000</v>
      </c>
      <c r="AE252" s="507">
        <f>Port[[#This Row],[EAD_Undrawn (CNY)]]*Port[[#This Row],[CNY -&gt; THB]]</f>
        <v>0</v>
      </c>
      <c r="AF252" s="507">
        <f>Port[[#This Row],[EAD (CNY)]]*Port[[#This Row],[CNY -&gt; THB]]</f>
        <v>524880000</v>
      </c>
      <c r="AG252" s="507">
        <f>Port[[#This Row],[EAD_Interest (CNY)]]*Port[[#This Row],[CNY -&gt; THB]]</f>
        <v>459270</v>
      </c>
      <c r="AH252" s="507">
        <f>Port[[#This Row],[ECL_Drawn (CNY)]]*Port[[#This Row],[CNY -&gt; THB]]</f>
        <v>6161833.6996231545</v>
      </c>
      <c r="AI252" s="507">
        <f>Port[[#This Row],[ECL_Undrawn (CNY)]]*Port[[#This Row],[CNY -&gt; THB]]</f>
        <v>0</v>
      </c>
      <c r="AJ252" s="507">
        <f>Port[[#This Row],[ECL (CNY)]]*Port[[#This Row],[CNY -&gt; THB]]</f>
        <v>6161833.6996231545</v>
      </c>
      <c r="AK252" s="507">
        <f>Port[[#This Row],[ECL_Interest (CNY)]]*Port[[#This Row],[CNY -&gt; THB]]</f>
        <v>5391.6044871702588</v>
      </c>
      <c r="AL252" s="507">
        <f>Port[[#This Row],[EAD (THB)]]*Port[[#This Row],[PD_avg]]</f>
        <v>6846481.8884701701</v>
      </c>
      <c r="AM252" s="507">
        <f>Port[[#This Row],[EAD_Interest (THB)]]*Port[[#This Row],[PD_avg]]</f>
        <v>5990.671652411399</v>
      </c>
      <c r="AN252" s="507">
        <f>Port[[#This Row],[EAD (THB)]]*Port[[#This Row],[LGD_avg]]</f>
        <v>472392000.00000012</v>
      </c>
      <c r="AO252" s="507">
        <f>Port[[#This Row],[EAD_Interest (THB)]]*Port[[#This Row],[LGD_avg]]</f>
        <v>413343.00000000012</v>
      </c>
      <c r="AP252" s="507">
        <f>Port[[#This Row],[EAD_Drawn (THB)]]+Port[[#This Row],[EAD_Interest (THB)]]</f>
        <v>525339270</v>
      </c>
      <c r="AQ2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6167225.3041103249</v>
      </c>
      <c r="AR252" s="522">
        <f>MAX(Port[[#This Row],[ECL (THB)]]+Port[[#This Row],[ECL_Interest (THB)]], Port[[#This Row],[ECL CBIRC (THB)]])</f>
        <v>6167225.3041103249</v>
      </c>
    </row>
    <row r="253" spans="1:44">
      <c r="A253" s="2" t="s">
        <v>1002</v>
      </c>
      <c r="B253" s="2" t="s">
        <v>179</v>
      </c>
      <c r="C253" s="2" t="s">
        <v>175</v>
      </c>
      <c r="D253" s="2" t="s">
        <v>25</v>
      </c>
      <c r="E253" s="2" t="s">
        <v>172</v>
      </c>
      <c r="F253" s="2" t="s">
        <v>173</v>
      </c>
      <c r="G253" s="2" t="s">
        <v>21</v>
      </c>
      <c r="H253">
        <v>1</v>
      </c>
      <c r="I253" s="2" t="s">
        <v>526</v>
      </c>
      <c r="J253" s="505">
        <v>2.3168391354034413E-3</v>
      </c>
      <c r="K253" s="505">
        <v>0.9</v>
      </c>
      <c r="L253" s="3">
        <v>1</v>
      </c>
      <c r="M253" s="3">
        <v>5.2488000000000001</v>
      </c>
      <c r="N253" s="507">
        <v>150000000</v>
      </c>
      <c r="O253" s="507">
        <v>0</v>
      </c>
      <c r="P253" s="507">
        <v>150000000</v>
      </c>
      <c r="Q253" s="507">
        <v>116083.33</v>
      </c>
      <c r="R253" s="507">
        <v>312773.28327946464</v>
      </c>
      <c r="S253" s="507">
        <v>0</v>
      </c>
      <c r="T253" s="507">
        <v>312773.28327946464</v>
      </c>
      <c r="U253" s="507">
        <v>242.05176172075716</v>
      </c>
      <c r="V253" s="507">
        <f>Port[[#This Row],[EAD_Drawn (CNY)]]*Port[[#This Row],[CNY -&gt; FCY]]</f>
        <v>150000000</v>
      </c>
      <c r="W253" s="507">
        <f>Port[[#This Row],[EAD_Undrawn (CNY)]]*Port[[#This Row],[CNY -&gt; FCY]]</f>
        <v>0</v>
      </c>
      <c r="X253" s="507">
        <f>Port[[#This Row],[EAD (CNY)]]*Port[[#This Row],[CNY -&gt; FCY]]</f>
        <v>150000000</v>
      </c>
      <c r="Y253" s="507">
        <f>Port[[#This Row],[EAD_Interest (CNY)]]*Port[[#This Row],[CNY -&gt; FCY]]</f>
        <v>116083.33</v>
      </c>
      <c r="Z253" s="507">
        <f>Port[[#This Row],[ECL_Drawn (CNY)]]*Port[[#This Row],[CNY -&gt; FCY]]</f>
        <v>312773.28327946464</v>
      </c>
      <c r="AA253" s="507">
        <f>Port[[#This Row],[ECL_Undrawn (CNY)]]*Port[[#This Row],[CNY -&gt; FCY]]</f>
        <v>0</v>
      </c>
      <c r="AB253" s="507">
        <f>Port[[#This Row],[ECL (CNY)]]*Port[[#This Row],[CNY -&gt; FCY]]</f>
        <v>312773.28327946464</v>
      </c>
      <c r="AC253" s="507">
        <f>Port[[#This Row],[ECL_Interest (CNY)]]*Port[[#This Row],[CNY -&gt; FCY]]</f>
        <v>242.05176172075716</v>
      </c>
      <c r="AD253" s="507">
        <f>Port[[#This Row],[EAD_Drawn (CNY)]]*Port[[#This Row],[CNY -&gt; THB]]</f>
        <v>787320000</v>
      </c>
      <c r="AE253" s="507">
        <f>Port[[#This Row],[EAD_Undrawn (CNY)]]*Port[[#This Row],[CNY -&gt; THB]]</f>
        <v>0</v>
      </c>
      <c r="AF253" s="507">
        <f>Port[[#This Row],[EAD (CNY)]]*Port[[#This Row],[CNY -&gt; THB]]</f>
        <v>787320000</v>
      </c>
      <c r="AG253" s="507">
        <f>Port[[#This Row],[EAD_Interest (CNY)]]*Port[[#This Row],[CNY -&gt; THB]]</f>
        <v>609298.18250400003</v>
      </c>
      <c r="AH253" s="507">
        <f>Port[[#This Row],[ECL_Drawn (CNY)]]*Port[[#This Row],[CNY -&gt; THB]]</f>
        <v>1641684.409277254</v>
      </c>
      <c r="AI253" s="507">
        <f>Port[[#This Row],[ECL_Undrawn (CNY)]]*Port[[#This Row],[CNY -&gt; THB]]</f>
        <v>0</v>
      </c>
      <c r="AJ253" s="507">
        <f>Port[[#This Row],[ECL (CNY)]]*Port[[#This Row],[CNY -&gt; THB]]</f>
        <v>1641684.409277254</v>
      </c>
      <c r="AK253" s="507">
        <f>Port[[#This Row],[ECL_Interest (CNY)]]*Port[[#This Row],[CNY -&gt; THB]]</f>
        <v>1270.4812869199102</v>
      </c>
      <c r="AL253" s="507">
        <f>Port[[#This Row],[EAD (THB)]]*Port[[#This Row],[PD_avg]]</f>
        <v>1824093.7880858374</v>
      </c>
      <c r="AM253" s="507">
        <f>Port[[#This Row],[EAD_Interest (THB)]]*Port[[#This Row],[PD_avg]]</f>
        <v>1411.6458743554556</v>
      </c>
      <c r="AN253" s="507">
        <f>Port[[#This Row],[EAD (THB)]]*Port[[#This Row],[LGD_avg]]</f>
        <v>708588000</v>
      </c>
      <c r="AO253" s="507">
        <f>Port[[#This Row],[EAD_Interest (THB)]]*Port[[#This Row],[LGD_avg]]</f>
        <v>548368.36425360001</v>
      </c>
      <c r="AP253" s="507">
        <f>Port[[#This Row],[EAD_Drawn (THB)]]+Port[[#This Row],[EAD_Interest (THB)]]</f>
        <v>787929298.18250406</v>
      </c>
      <c r="AQ2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1642954.8905641739</v>
      </c>
      <c r="AR253" s="522">
        <f>MAX(Port[[#This Row],[ECL (THB)]]+Port[[#This Row],[ECL_Interest (THB)]], Port[[#This Row],[ECL CBIRC (THB)]])</f>
        <v>1642954.8905641739</v>
      </c>
    </row>
    <row r="254" spans="1:44">
      <c r="A254" s="2" t="s">
        <v>1003</v>
      </c>
      <c r="B254" s="2" t="s">
        <v>1004</v>
      </c>
      <c r="C254" s="2" t="s">
        <v>175</v>
      </c>
      <c r="D254" s="2" t="s">
        <v>25</v>
      </c>
      <c r="E254" s="2" t="s">
        <v>172</v>
      </c>
      <c r="F254" s="2" t="s">
        <v>173</v>
      </c>
      <c r="G254" s="2" t="s">
        <v>21</v>
      </c>
      <c r="H254">
        <v>1</v>
      </c>
      <c r="I254" s="2" t="s">
        <v>526</v>
      </c>
      <c r="J254" s="505">
        <v>2.3168391354034413E-3</v>
      </c>
      <c r="K254" s="505">
        <v>0.90000000000000013</v>
      </c>
      <c r="L254" s="3">
        <v>1</v>
      </c>
      <c r="M254" s="3">
        <v>5.2488000000000001</v>
      </c>
      <c r="N254" s="507">
        <v>250000000</v>
      </c>
      <c r="O254" s="507">
        <v>0</v>
      </c>
      <c r="P254" s="507">
        <v>250000000</v>
      </c>
      <c r="Q254" s="507">
        <v>684722.22</v>
      </c>
      <c r="R254" s="507">
        <v>521288.80546577438</v>
      </c>
      <c r="S254" s="507">
        <v>0</v>
      </c>
      <c r="T254" s="507">
        <v>521288.80546577438</v>
      </c>
      <c r="U254" s="507">
        <v>1427.7521125586925</v>
      </c>
      <c r="V254" s="507">
        <f>Port[[#This Row],[EAD_Drawn (CNY)]]*Port[[#This Row],[CNY -&gt; FCY]]</f>
        <v>250000000</v>
      </c>
      <c r="W254" s="507">
        <f>Port[[#This Row],[EAD_Undrawn (CNY)]]*Port[[#This Row],[CNY -&gt; FCY]]</f>
        <v>0</v>
      </c>
      <c r="X254" s="507">
        <f>Port[[#This Row],[EAD (CNY)]]*Port[[#This Row],[CNY -&gt; FCY]]</f>
        <v>250000000</v>
      </c>
      <c r="Y254" s="507">
        <f>Port[[#This Row],[EAD_Interest (CNY)]]*Port[[#This Row],[CNY -&gt; FCY]]</f>
        <v>684722.22</v>
      </c>
      <c r="Z254" s="507">
        <f>Port[[#This Row],[ECL_Drawn (CNY)]]*Port[[#This Row],[CNY -&gt; FCY]]</f>
        <v>521288.80546577438</v>
      </c>
      <c r="AA254" s="507">
        <f>Port[[#This Row],[ECL_Undrawn (CNY)]]*Port[[#This Row],[CNY -&gt; FCY]]</f>
        <v>0</v>
      </c>
      <c r="AB254" s="507">
        <f>Port[[#This Row],[ECL (CNY)]]*Port[[#This Row],[CNY -&gt; FCY]]</f>
        <v>521288.80546577438</v>
      </c>
      <c r="AC254" s="507">
        <f>Port[[#This Row],[ECL_Interest (CNY)]]*Port[[#This Row],[CNY -&gt; FCY]]</f>
        <v>1427.7521125586925</v>
      </c>
      <c r="AD254" s="507">
        <f>Port[[#This Row],[EAD_Drawn (CNY)]]*Port[[#This Row],[CNY -&gt; THB]]</f>
        <v>1312200000</v>
      </c>
      <c r="AE254" s="507">
        <f>Port[[#This Row],[EAD_Undrawn (CNY)]]*Port[[#This Row],[CNY -&gt; THB]]</f>
        <v>0</v>
      </c>
      <c r="AF254" s="507">
        <f>Port[[#This Row],[EAD (CNY)]]*Port[[#This Row],[CNY -&gt; THB]]</f>
        <v>1312200000</v>
      </c>
      <c r="AG254" s="507">
        <f>Port[[#This Row],[EAD_Interest (CNY)]]*Port[[#This Row],[CNY -&gt; THB]]</f>
        <v>3593969.9883360001</v>
      </c>
      <c r="AH254" s="507">
        <f>Port[[#This Row],[ECL_Drawn (CNY)]]*Port[[#This Row],[CNY -&gt; THB]]</f>
        <v>2736140.6821287568</v>
      </c>
      <c r="AI254" s="507">
        <f>Port[[#This Row],[ECL_Undrawn (CNY)]]*Port[[#This Row],[CNY -&gt; THB]]</f>
        <v>0</v>
      </c>
      <c r="AJ254" s="507">
        <f>Port[[#This Row],[ECL (CNY)]]*Port[[#This Row],[CNY -&gt; THB]]</f>
        <v>2736140.6821287568</v>
      </c>
      <c r="AK254" s="507">
        <f>Port[[#This Row],[ECL_Interest (CNY)]]*Port[[#This Row],[CNY -&gt; THB]]</f>
        <v>7493.9852883980657</v>
      </c>
      <c r="AL254" s="507">
        <f>Port[[#This Row],[EAD (THB)]]*Port[[#This Row],[PD_avg]]</f>
        <v>3040156.3134763958</v>
      </c>
      <c r="AM254" s="507">
        <f>Port[[#This Row],[EAD_Interest (THB)]]*Port[[#This Row],[PD_avg]]</f>
        <v>8326.6503204422952</v>
      </c>
      <c r="AN254" s="507">
        <f>Port[[#This Row],[EAD (THB)]]*Port[[#This Row],[LGD_avg]]</f>
        <v>1180980000.0000002</v>
      </c>
      <c r="AO254" s="507">
        <f>Port[[#This Row],[EAD_Interest (THB)]]*Port[[#This Row],[LGD_avg]]</f>
        <v>3234572.9895024006</v>
      </c>
      <c r="AP254" s="507">
        <f>Port[[#This Row],[EAD_Drawn (THB)]]+Port[[#This Row],[EAD_Interest (THB)]]</f>
        <v>1315793969.9883361</v>
      </c>
      <c r="AQ2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2743634.6674171546</v>
      </c>
      <c r="AR254" s="522">
        <f>MAX(Port[[#This Row],[ECL (THB)]]+Port[[#This Row],[ECL_Interest (THB)]], Port[[#This Row],[ECL CBIRC (THB)]])</f>
        <v>2743634.6674171546</v>
      </c>
    </row>
    <row r="255" spans="1:44">
      <c r="A255" s="2" t="s">
        <v>1005</v>
      </c>
      <c r="B255" s="2" t="s">
        <v>194</v>
      </c>
      <c r="C255" s="2" t="s">
        <v>175</v>
      </c>
      <c r="D255" s="2" t="s">
        <v>25</v>
      </c>
      <c r="E255" s="2" t="s">
        <v>172</v>
      </c>
      <c r="F255" s="2" t="s">
        <v>173</v>
      </c>
      <c r="G255" s="2" t="s">
        <v>21</v>
      </c>
      <c r="H255">
        <v>1</v>
      </c>
      <c r="I255" s="2" t="s">
        <v>526</v>
      </c>
      <c r="J255" s="505">
        <v>5.2260409683794924E-3</v>
      </c>
      <c r="K255" s="505">
        <v>0.89999999999999991</v>
      </c>
      <c r="L255" s="3">
        <v>1</v>
      </c>
      <c r="M255" s="3">
        <v>5.2488000000000001</v>
      </c>
      <c r="N255" s="507">
        <v>100000000</v>
      </c>
      <c r="O255" s="507">
        <v>0</v>
      </c>
      <c r="P255" s="507">
        <v>100000000</v>
      </c>
      <c r="Q255" s="507">
        <v>70972.22</v>
      </c>
      <c r="R255" s="507">
        <v>470343.68715415429</v>
      </c>
      <c r="S255" s="507">
        <v>0</v>
      </c>
      <c r="T255" s="507">
        <v>470343.68715415429</v>
      </c>
      <c r="U255" s="507">
        <v>333.81335640315808</v>
      </c>
      <c r="V255" s="507">
        <f>Port[[#This Row],[EAD_Drawn (CNY)]]*Port[[#This Row],[CNY -&gt; FCY]]</f>
        <v>100000000</v>
      </c>
      <c r="W255" s="507">
        <f>Port[[#This Row],[EAD_Undrawn (CNY)]]*Port[[#This Row],[CNY -&gt; FCY]]</f>
        <v>0</v>
      </c>
      <c r="X255" s="507">
        <f>Port[[#This Row],[EAD (CNY)]]*Port[[#This Row],[CNY -&gt; FCY]]</f>
        <v>100000000</v>
      </c>
      <c r="Y255" s="507">
        <f>Port[[#This Row],[EAD_Interest (CNY)]]*Port[[#This Row],[CNY -&gt; FCY]]</f>
        <v>70972.22</v>
      </c>
      <c r="Z255" s="507">
        <f>Port[[#This Row],[ECL_Drawn (CNY)]]*Port[[#This Row],[CNY -&gt; FCY]]</f>
        <v>470343.68715415429</v>
      </c>
      <c r="AA255" s="507">
        <f>Port[[#This Row],[ECL_Undrawn (CNY)]]*Port[[#This Row],[CNY -&gt; FCY]]</f>
        <v>0</v>
      </c>
      <c r="AB255" s="507">
        <f>Port[[#This Row],[ECL (CNY)]]*Port[[#This Row],[CNY -&gt; FCY]]</f>
        <v>470343.68715415429</v>
      </c>
      <c r="AC255" s="507">
        <f>Port[[#This Row],[ECL_Interest (CNY)]]*Port[[#This Row],[CNY -&gt; FCY]]</f>
        <v>333.81335640315808</v>
      </c>
      <c r="AD255" s="507">
        <f>Port[[#This Row],[EAD_Drawn (CNY)]]*Port[[#This Row],[CNY -&gt; THB]]</f>
        <v>524880000</v>
      </c>
      <c r="AE255" s="507">
        <f>Port[[#This Row],[EAD_Undrawn (CNY)]]*Port[[#This Row],[CNY -&gt; THB]]</f>
        <v>0</v>
      </c>
      <c r="AF255" s="507">
        <f>Port[[#This Row],[EAD (CNY)]]*Port[[#This Row],[CNY -&gt; THB]]</f>
        <v>524880000</v>
      </c>
      <c r="AG255" s="507">
        <f>Port[[#This Row],[EAD_Interest (CNY)]]*Port[[#This Row],[CNY -&gt; THB]]</f>
        <v>372518.98833600001</v>
      </c>
      <c r="AH255" s="507">
        <f>Port[[#This Row],[ECL_Drawn (CNY)]]*Port[[#This Row],[CNY -&gt; THB]]</f>
        <v>2468739.945134725</v>
      </c>
      <c r="AI255" s="507">
        <f>Port[[#This Row],[ECL_Undrawn (CNY)]]*Port[[#This Row],[CNY -&gt; THB]]</f>
        <v>0</v>
      </c>
      <c r="AJ255" s="507">
        <f>Port[[#This Row],[ECL (CNY)]]*Port[[#This Row],[CNY -&gt; THB]]</f>
        <v>2468739.945134725</v>
      </c>
      <c r="AK255" s="507">
        <f>Port[[#This Row],[ECL_Interest (CNY)]]*Port[[#This Row],[CNY -&gt; THB]]</f>
        <v>1752.1195450888961</v>
      </c>
      <c r="AL255" s="507">
        <f>Port[[#This Row],[EAD (THB)]]*Port[[#This Row],[PD_avg]]</f>
        <v>2743044.383483028</v>
      </c>
      <c r="AM255" s="507">
        <f>Port[[#This Row],[EAD_Interest (THB)]]*Port[[#This Row],[PD_avg]]</f>
        <v>1946.7994945432183</v>
      </c>
      <c r="AN255" s="507">
        <f>Port[[#This Row],[EAD (THB)]]*Port[[#This Row],[LGD_avg]]</f>
        <v>472391999.99999994</v>
      </c>
      <c r="AO255" s="507">
        <f>Port[[#This Row],[EAD_Interest (THB)]]*Port[[#This Row],[LGD_avg]]</f>
        <v>335267.08950239996</v>
      </c>
      <c r="AP255" s="507">
        <f>Port[[#This Row],[EAD_Drawn (THB)]]+Port[[#This Row],[EAD_Interest (THB)]]</f>
        <v>525252518.98833603</v>
      </c>
      <c r="AQ2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2470492.064679814</v>
      </c>
      <c r="AR255" s="522">
        <f>MAX(Port[[#This Row],[ECL (THB)]]+Port[[#This Row],[ECL_Interest (THB)]], Port[[#This Row],[ECL CBIRC (THB)]])</f>
        <v>2470492.064679814</v>
      </c>
    </row>
    <row r="256" spans="1:44">
      <c r="A256" s="2" t="s">
        <v>1006</v>
      </c>
      <c r="B256" s="2" t="s">
        <v>180</v>
      </c>
      <c r="C256" s="2" t="s">
        <v>175</v>
      </c>
      <c r="D256" s="2" t="s">
        <v>25</v>
      </c>
      <c r="E256" s="2" t="s">
        <v>172</v>
      </c>
      <c r="F256" s="2" t="s">
        <v>173</v>
      </c>
      <c r="G256" s="2" t="s">
        <v>21</v>
      </c>
      <c r="H256">
        <v>1</v>
      </c>
      <c r="I256" s="2" t="s">
        <v>526</v>
      </c>
      <c r="J256" s="505">
        <v>5.2260409683794924E-3</v>
      </c>
      <c r="K256" s="505">
        <v>0.89999999999999991</v>
      </c>
      <c r="L256" s="3">
        <v>1</v>
      </c>
      <c r="M256" s="3">
        <v>5.2488000000000001</v>
      </c>
      <c r="N256" s="507">
        <v>80000000</v>
      </c>
      <c r="O256" s="507">
        <v>0</v>
      </c>
      <c r="P256" s="507">
        <v>80000000</v>
      </c>
      <c r="Q256" s="507">
        <v>65333.33</v>
      </c>
      <c r="R256" s="507">
        <v>376274.9497233234</v>
      </c>
      <c r="S256" s="507">
        <v>0</v>
      </c>
      <c r="T256" s="507">
        <v>376274.9497233234</v>
      </c>
      <c r="U256" s="507">
        <v>307.29119326259126</v>
      </c>
      <c r="V256" s="507">
        <f>Port[[#This Row],[EAD_Drawn (CNY)]]*Port[[#This Row],[CNY -&gt; FCY]]</f>
        <v>80000000</v>
      </c>
      <c r="W256" s="507">
        <f>Port[[#This Row],[EAD_Undrawn (CNY)]]*Port[[#This Row],[CNY -&gt; FCY]]</f>
        <v>0</v>
      </c>
      <c r="X256" s="507">
        <f>Port[[#This Row],[EAD (CNY)]]*Port[[#This Row],[CNY -&gt; FCY]]</f>
        <v>80000000</v>
      </c>
      <c r="Y256" s="507">
        <f>Port[[#This Row],[EAD_Interest (CNY)]]*Port[[#This Row],[CNY -&gt; FCY]]</f>
        <v>65333.33</v>
      </c>
      <c r="Z256" s="507">
        <f>Port[[#This Row],[ECL_Drawn (CNY)]]*Port[[#This Row],[CNY -&gt; FCY]]</f>
        <v>376274.9497233234</v>
      </c>
      <c r="AA256" s="507">
        <f>Port[[#This Row],[ECL_Undrawn (CNY)]]*Port[[#This Row],[CNY -&gt; FCY]]</f>
        <v>0</v>
      </c>
      <c r="AB256" s="507">
        <f>Port[[#This Row],[ECL (CNY)]]*Port[[#This Row],[CNY -&gt; FCY]]</f>
        <v>376274.9497233234</v>
      </c>
      <c r="AC256" s="507">
        <f>Port[[#This Row],[ECL_Interest (CNY)]]*Port[[#This Row],[CNY -&gt; FCY]]</f>
        <v>307.29119326259126</v>
      </c>
      <c r="AD256" s="507">
        <f>Port[[#This Row],[EAD_Drawn (CNY)]]*Port[[#This Row],[CNY -&gt; THB]]</f>
        <v>419904000</v>
      </c>
      <c r="AE256" s="507">
        <f>Port[[#This Row],[EAD_Undrawn (CNY)]]*Port[[#This Row],[CNY -&gt; THB]]</f>
        <v>0</v>
      </c>
      <c r="AF256" s="507">
        <f>Port[[#This Row],[EAD (CNY)]]*Port[[#This Row],[CNY -&gt; THB]]</f>
        <v>419904000</v>
      </c>
      <c r="AG256" s="507">
        <f>Port[[#This Row],[EAD_Interest (CNY)]]*Port[[#This Row],[CNY -&gt; THB]]</f>
        <v>342921.58250399999</v>
      </c>
      <c r="AH256" s="507">
        <f>Port[[#This Row],[ECL_Drawn (CNY)]]*Port[[#This Row],[CNY -&gt; THB]]</f>
        <v>1974991.9561077799</v>
      </c>
      <c r="AI256" s="507">
        <f>Port[[#This Row],[ECL_Undrawn (CNY)]]*Port[[#This Row],[CNY -&gt; THB]]</f>
        <v>0</v>
      </c>
      <c r="AJ256" s="507">
        <f>Port[[#This Row],[ECL (CNY)]]*Port[[#This Row],[CNY -&gt; THB]]</f>
        <v>1974991.9561077799</v>
      </c>
      <c r="AK256" s="507">
        <f>Port[[#This Row],[ECL_Interest (CNY)]]*Port[[#This Row],[CNY -&gt; THB]]</f>
        <v>1612.9100151966891</v>
      </c>
      <c r="AL256" s="507">
        <f>Port[[#This Row],[EAD (THB)]]*Port[[#This Row],[PD_avg]]</f>
        <v>2194435.5067864223</v>
      </c>
      <c r="AM256" s="507">
        <f>Port[[#This Row],[EAD_Interest (THB)]]*Port[[#This Row],[PD_avg]]</f>
        <v>1792.1222391074321</v>
      </c>
      <c r="AN256" s="507">
        <f>Port[[#This Row],[EAD (THB)]]*Port[[#This Row],[LGD_avg]]</f>
        <v>377913599.99999994</v>
      </c>
      <c r="AO256" s="507">
        <f>Port[[#This Row],[EAD_Interest (THB)]]*Port[[#This Row],[LGD_avg]]</f>
        <v>308629.42425359995</v>
      </c>
      <c r="AP256" s="507">
        <f>Port[[#This Row],[EAD_Drawn (THB)]]+Port[[#This Row],[EAD_Interest (THB)]]</f>
        <v>420246921.58250397</v>
      </c>
      <c r="AQ2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1976604.8661229766</v>
      </c>
      <c r="AR256" s="522">
        <f>MAX(Port[[#This Row],[ECL (THB)]]+Port[[#This Row],[ECL_Interest (THB)]], Port[[#This Row],[ECL CBIRC (THB)]])</f>
        <v>1976604.8661229766</v>
      </c>
    </row>
    <row r="257" spans="1:44">
      <c r="A257" s="2" t="s">
        <v>1007</v>
      </c>
      <c r="B257" s="2" t="s">
        <v>1008</v>
      </c>
      <c r="C257" s="2" t="s">
        <v>175</v>
      </c>
      <c r="D257" s="2" t="s">
        <v>25</v>
      </c>
      <c r="E257" s="2" t="s">
        <v>172</v>
      </c>
      <c r="F257" s="2" t="s">
        <v>173</v>
      </c>
      <c r="G257" s="2" t="s">
        <v>21</v>
      </c>
      <c r="H257">
        <v>1</v>
      </c>
      <c r="I257" s="2" t="s">
        <v>526</v>
      </c>
      <c r="J257" s="505">
        <v>1.3043899345507868E-2</v>
      </c>
      <c r="K257" s="505">
        <v>0.89999999999999991</v>
      </c>
      <c r="L257" s="3">
        <v>1</v>
      </c>
      <c r="M257" s="3">
        <v>5.2488000000000001</v>
      </c>
      <c r="N257" s="507">
        <v>95000000</v>
      </c>
      <c r="O257" s="507">
        <v>0</v>
      </c>
      <c r="P257" s="507">
        <v>95000000</v>
      </c>
      <c r="Q257" s="507">
        <v>62277.78</v>
      </c>
      <c r="R257" s="507">
        <v>1115253.3940409226</v>
      </c>
      <c r="S257" s="507">
        <v>0</v>
      </c>
      <c r="T257" s="507">
        <v>1115253.3940409226</v>
      </c>
      <c r="U257" s="507">
        <v>731.11058440351462</v>
      </c>
      <c r="V257" s="507">
        <f>Port[[#This Row],[EAD_Drawn (CNY)]]*Port[[#This Row],[CNY -&gt; FCY]]</f>
        <v>95000000</v>
      </c>
      <c r="W257" s="507">
        <f>Port[[#This Row],[EAD_Undrawn (CNY)]]*Port[[#This Row],[CNY -&gt; FCY]]</f>
        <v>0</v>
      </c>
      <c r="X257" s="507">
        <f>Port[[#This Row],[EAD (CNY)]]*Port[[#This Row],[CNY -&gt; FCY]]</f>
        <v>95000000</v>
      </c>
      <c r="Y257" s="507">
        <f>Port[[#This Row],[EAD_Interest (CNY)]]*Port[[#This Row],[CNY -&gt; FCY]]</f>
        <v>62277.78</v>
      </c>
      <c r="Z257" s="507">
        <f>Port[[#This Row],[ECL_Drawn (CNY)]]*Port[[#This Row],[CNY -&gt; FCY]]</f>
        <v>1115253.3940409226</v>
      </c>
      <c r="AA257" s="507">
        <f>Port[[#This Row],[ECL_Undrawn (CNY)]]*Port[[#This Row],[CNY -&gt; FCY]]</f>
        <v>0</v>
      </c>
      <c r="AB257" s="507">
        <f>Port[[#This Row],[ECL (CNY)]]*Port[[#This Row],[CNY -&gt; FCY]]</f>
        <v>1115253.3940409226</v>
      </c>
      <c r="AC257" s="507">
        <f>Port[[#This Row],[ECL_Interest (CNY)]]*Port[[#This Row],[CNY -&gt; FCY]]</f>
        <v>731.11058440351462</v>
      </c>
      <c r="AD257" s="507">
        <f>Port[[#This Row],[EAD_Drawn (CNY)]]*Port[[#This Row],[CNY -&gt; THB]]</f>
        <v>498636000</v>
      </c>
      <c r="AE257" s="507">
        <f>Port[[#This Row],[EAD_Undrawn (CNY)]]*Port[[#This Row],[CNY -&gt; THB]]</f>
        <v>0</v>
      </c>
      <c r="AF257" s="507">
        <f>Port[[#This Row],[EAD (CNY)]]*Port[[#This Row],[CNY -&gt; THB]]</f>
        <v>498636000</v>
      </c>
      <c r="AG257" s="507">
        <f>Port[[#This Row],[EAD_Interest (CNY)]]*Port[[#This Row],[CNY -&gt; THB]]</f>
        <v>326883.61166400003</v>
      </c>
      <c r="AH257" s="507">
        <f>Port[[#This Row],[ECL_Drawn (CNY)]]*Port[[#This Row],[CNY -&gt; THB]]</f>
        <v>5853742.0146419946</v>
      </c>
      <c r="AI257" s="507">
        <f>Port[[#This Row],[ECL_Undrawn (CNY)]]*Port[[#This Row],[CNY -&gt; THB]]</f>
        <v>0</v>
      </c>
      <c r="AJ257" s="507">
        <f>Port[[#This Row],[ECL (CNY)]]*Port[[#This Row],[CNY -&gt; THB]]</f>
        <v>5853742.0146419946</v>
      </c>
      <c r="AK257" s="507">
        <f>Port[[#This Row],[ECL_Interest (CNY)]]*Port[[#This Row],[CNY -&gt; THB]]</f>
        <v>3837.4532354171674</v>
      </c>
      <c r="AL257" s="507">
        <f>Port[[#This Row],[EAD (THB)]]*Port[[#This Row],[PD_avg]]</f>
        <v>6504157.7940466618</v>
      </c>
      <c r="AM257" s="507">
        <f>Port[[#This Row],[EAD_Interest (THB)]]*Port[[#This Row],[PD_avg]]</f>
        <v>4263.8369282412978</v>
      </c>
      <c r="AN257" s="507">
        <f>Port[[#This Row],[EAD (THB)]]*Port[[#This Row],[LGD_avg]]</f>
        <v>448772399.99999994</v>
      </c>
      <c r="AO257" s="507">
        <f>Port[[#This Row],[EAD_Interest (THB)]]*Port[[#This Row],[LGD_avg]]</f>
        <v>294195.25049760001</v>
      </c>
      <c r="AP257" s="507">
        <f>Port[[#This Row],[EAD_Drawn (THB)]]+Port[[#This Row],[EAD_Interest (THB)]]</f>
        <v>498962883.611664</v>
      </c>
      <c r="AQ2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5857579.4678774122</v>
      </c>
      <c r="AR257" s="522">
        <f>MAX(Port[[#This Row],[ECL (THB)]]+Port[[#This Row],[ECL_Interest (THB)]], Port[[#This Row],[ECL CBIRC (THB)]])</f>
        <v>5857579.4678774122</v>
      </c>
    </row>
    <row r="258" spans="1:44">
      <c r="A258" s="2" t="s">
        <v>1009</v>
      </c>
      <c r="B258" s="2" t="s">
        <v>1008</v>
      </c>
      <c r="C258" s="2" t="s">
        <v>175</v>
      </c>
      <c r="D258" s="2" t="s">
        <v>25</v>
      </c>
      <c r="E258" s="2" t="s">
        <v>172</v>
      </c>
      <c r="F258" s="2" t="s">
        <v>173</v>
      </c>
      <c r="G258" s="2" t="s">
        <v>21</v>
      </c>
      <c r="H258">
        <v>1</v>
      </c>
      <c r="I258" s="2" t="s">
        <v>526</v>
      </c>
      <c r="J258" s="505">
        <v>1.3043899345507868E-2</v>
      </c>
      <c r="K258" s="505">
        <v>0.90000000000000036</v>
      </c>
      <c r="L258" s="3">
        <v>1</v>
      </c>
      <c r="M258" s="3">
        <v>5.2488000000000001</v>
      </c>
      <c r="N258" s="507">
        <v>100000000</v>
      </c>
      <c r="O258" s="507">
        <v>0</v>
      </c>
      <c r="P258" s="507">
        <v>100000000</v>
      </c>
      <c r="Q258" s="507">
        <v>66111.11</v>
      </c>
      <c r="R258" s="507">
        <v>1173950.9410957084</v>
      </c>
      <c r="S258" s="507">
        <v>0</v>
      </c>
      <c r="T258" s="507">
        <v>1173950.9410957084</v>
      </c>
      <c r="U258" s="507">
        <v>776.11199801381895</v>
      </c>
      <c r="V258" s="507">
        <f>Port[[#This Row],[EAD_Drawn (CNY)]]*Port[[#This Row],[CNY -&gt; FCY]]</f>
        <v>100000000</v>
      </c>
      <c r="W258" s="507">
        <f>Port[[#This Row],[EAD_Undrawn (CNY)]]*Port[[#This Row],[CNY -&gt; FCY]]</f>
        <v>0</v>
      </c>
      <c r="X258" s="507">
        <f>Port[[#This Row],[EAD (CNY)]]*Port[[#This Row],[CNY -&gt; FCY]]</f>
        <v>100000000</v>
      </c>
      <c r="Y258" s="507">
        <f>Port[[#This Row],[EAD_Interest (CNY)]]*Port[[#This Row],[CNY -&gt; FCY]]</f>
        <v>66111.11</v>
      </c>
      <c r="Z258" s="507">
        <f>Port[[#This Row],[ECL_Drawn (CNY)]]*Port[[#This Row],[CNY -&gt; FCY]]</f>
        <v>1173950.9410957084</v>
      </c>
      <c r="AA258" s="507">
        <f>Port[[#This Row],[ECL_Undrawn (CNY)]]*Port[[#This Row],[CNY -&gt; FCY]]</f>
        <v>0</v>
      </c>
      <c r="AB258" s="507">
        <f>Port[[#This Row],[ECL (CNY)]]*Port[[#This Row],[CNY -&gt; FCY]]</f>
        <v>1173950.9410957084</v>
      </c>
      <c r="AC258" s="507">
        <f>Port[[#This Row],[ECL_Interest (CNY)]]*Port[[#This Row],[CNY -&gt; FCY]]</f>
        <v>776.11199801381895</v>
      </c>
      <c r="AD258" s="507">
        <f>Port[[#This Row],[EAD_Drawn (CNY)]]*Port[[#This Row],[CNY -&gt; THB]]</f>
        <v>524880000</v>
      </c>
      <c r="AE258" s="507">
        <f>Port[[#This Row],[EAD_Undrawn (CNY)]]*Port[[#This Row],[CNY -&gt; THB]]</f>
        <v>0</v>
      </c>
      <c r="AF258" s="507">
        <f>Port[[#This Row],[EAD (CNY)]]*Port[[#This Row],[CNY -&gt; THB]]</f>
        <v>524880000</v>
      </c>
      <c r="AG258" s="507">
        <f>Port[[#This Row],[EAD_Interest (CNY)]]*Port[[#This Row],[CNY -&gt; THB]]</f>
        <v>347003.994168</v>
      </c>
      <c r="AH258" s="507">
        <f>Port[[#This Row],[ECL_Drawn (CNY)]]*Port[[#This Row],[CNY -&gt; THB]]</f>
        <v>6161833.6996231545</v>
      </c>
      <c r="AI258" s="507">
        <f>Port[[#This Row],[ECL_Undrawn (CNY)]]*Port[[#This Row],[CNY -&gt; THB]]</f>
        <v>0</v>
      </c>
      <c r="AJ258" s="507">
        <f>Port[[#This Row],[ECL (CNY)]]*Port[[#This Row],[CNY -&gt; THB]]</f>
        <v>6161833.6996231545</v>
      </c>
      <c r="AK258" s="507">
        <f>Port[[#This Row],[ECL_Interest (CNY)]]*Port[[#This Row],[CNY -&gt; THB]]</f>
        <v>4073.6566551749329</v>
      </c>
      <c r="AL258" s="507">
        <f>Port[[#This Row],[EAD (THB)]]*Port[[#This Row],[PD_avg]]</f>
        <v>6846481.8884701701</v>
      </c>
      <c r="AM258" s="507">
        <f>Port[[#This Row],[EAD_Interest (THB)]]*Port[[#This Row],[PD_avg]]</f>
        <v>4526.2851724165912</v>
      </c>
      <c r="AN258" s="507">
        <f>Port[[#This Row],[EAD (THB)]]*Port[[#This Row],[LGD_avg]]</f>
        <v>472392000.00000018</v>
      </c>
      <c r="AO258" s="507">
        <f>Port[[#This Row],[EAD_Interest (THB)]]*Port[[#This Row],[LGD_avg]]</f>
        <v>312303.59475120011</v>
      </c>
      <c r="AP258" s="507">
        <f>Port[[#This Row],[EAD_Drawn (THB)]]+Port[[#This Row],[EAD_Interest (THB)]]</f>
        <v>525227003.99416798</v>
      </c>
      <c r="AQ2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6165907.3562783292</v>
      </c>
      <c r="AR258" s="522">
        <f>MAX(Port[[#This Row],[ECL (THB)]]+Port[[#This Row],[ECL_Interest (THB)]], Port[[#This Row],[ECL CBIRC (THB)]])</f>
        <v>6165907.3562783292</v>
      </c>
    </row>
    <row r="259" spans="1:44">
      <c r="A259" s="2" t="s">
        <v>215</v>
      </c>
      <c r="B259" s="2" t="s">
        <v>216</v>
      </c>
      <c r="C259" s="2" t="s">
        <v>175</v>
      </c>
      <c r="D259" s="2" t="s">
        <v>25</v>
      </c>
      <c r="E259" s="2" t="s">
        <v>172</v>
      </c>
      <c r="F259" s="2" t="s">
        <v>173</v>
      </c>
      <c r="G259" s="2" t="s">
        <v>57</v>
      </c>
      <c r="H259">
        <v>1</v>
      </c>
      <c r="I259" s="2" t="s">
        <v>526</v>
      </c>
      <c r="J259" s="505">
        <v>2.3168391354034413E-3</v>
      </c>
      <c r="K259" s="505">
        <v>0.86210526315789493</v>
      </c>
      <c r="L259" s="3">
        <v>0.15684552284455039</v>
      </c>
      <c r="M259" s="3">
        <v>5.2488000000000001</v>
      </c>
      <c r="N259" s="507">
        <v>114634800</v>
      </c>
      <c r="O259" s="507">
        <v>6368600</v>
      </c>
      <c r="P259" s="507">
        <v>121003400</v>
      </c>
      <c r="Q259" s="507">
        <v>0</v>
      </c>
      <c r="R259" s="507">
        <v>239031.35182723182</v>
      </c>
      <c r="S259" s="507">
        <v>2656</v>
      </c>
      <c r="T259" s="507">
        <v>241687.35182723182</v>
      </c>
      <c r="U259" s="507">
        <v>0</v>
      </c>
      <c r="V259" s="507">
        <f>Port[[#This Row],[EAD_Drawn (CNY)]]*Port[[#This Row],[CNY -&gt; FCY]]</f>
        <v>17979955.142180465</v>
      </c>
      <c r="W259" s="507">
        <f>Port[[#This Row],[EAD_Undrawn (CNY)]]*Port[[#This Row],[CNY -&gt; FCY]]</f>
        <v>998886.39678780362</v>
      </c>
      <c r="X259" s="507">
        <f>Port[[#This Row],[EAD (CNY)]]*Port[[#This Row],[CNY -&gt; FCY]]</f>
        <v>18978841.538968269</v>
      </c>
      <c r="Y259" s="507">
        <f>Port[[#This Row],[EAD_Interest (CNY)]]*Port[[#This Row],[CNY -&gt; FCY]]</f>
        <v>0</v>
      </c>
      <c r="Z259" s="507">
        <f>Port[[#This Row],[ECL_Drawn (CNY)]]*Port[[#This Row],[CNY -&gt; FCY]]</f>
        <v>37490.99735358185</v>
      </c>
      <c r="AA259" s="507">
        <f>Port[[#This Row],[ECL_Undrawn (CNY)]]*Port[[#This Row],[CNY -&gt; FCY]]</f>
        <v>416.58170867512581</v>
      </c>
      <c r="AB259" s="507">
        <f>Port[[#This Row],[ECL (CNY)]]*Port[[#This Row],[CNY -&gt; FCY]]</f>
        <v>37907.579062256977</v>
      </c>
      <c r="AC259" s="507">
        <f>Port[[#This Row],[ECL_Interest (CNY)]]*Port[[#This Row],[CNY -&gt; FCY]]</f>
        <v>0</v>
      </c>
      <c r="AD259" s="507">
        <f>Port[[#This Row],[EAD_Drawn (CNY)]]*Port[[#This Row],[CNY -&gt; THB]]</f>
        <v>601695138.24000001</v>
      </c>
      <c r="AE259" s="507">
        <f>Port[[#This Row],[EAD_Undrawn (CNY)]]*Port[[#This Row],[CNY -&gt; THB]]</f>
        <v>33427507.68</v>
      </c>
      <c r="AF259" s="507">
        <f>Port[[#This Row],[EAD (CNY)]]*Port[[#This Row],[CNY -&gt; THB]]</f>
        <v>635122645.91999996</v>
      </c>
      <c r="AG259" s="507">
        <f>Port[[#This Row],[EAD_Interest (CNY)]]*Port[[#This Row],[CNY -&gt; THB]]</f>
        <v>0</v>
      </c>
      <c r="AH259" s="507">
        <f>Port[[#This Row],[ECL_Drawn (CNY)]]*Port[[#This Row],[CNY -&gt; THB]]</f>
        <v>1254627.7594707743</v>
      </c>
      <c r="AI259" s="507">
        <f>Port[[#This Row],[ECL_Undrawn (CNY)]]*Port[[#This Row],[CNY -&gt; THB]]</f>
        <v>13940.8128</v>
      </c>
      <c r="AJ259" s="507">
        <f>Port[[#This Row],[ECL (CNY)]]*Port[[#This Row],[CNY -&gt; THB]]</f>
        <v>1268568.5722707743</v>
      </c>
      <c r="AK259" s="507">
        <f>Port[[#This Row],[ECL_Interest (CNY)]]*Port[[#This Row],[CNY -&gt; THB]]</f>
        <v>0</v>
      </c>
      <c r="AL259" s="507">
        <f>Port[[#This Row],[EAD (THB)]]*Port[[#This Row],[PD_avg]]</f>
        <v>1471477.0018484388</v>
      </c>
      <c r="AM259" s="507">
        <f>Port[[#This Row],[EAD_Interest (THB)]]*Port[[#This Row],[PD_avg]]</f>
        <v>0</v>
      </c>
      <c r="AN259" s="507">
        <f>Port[[#This Row],[EAD (THB)]]*Port[[#This Row],[LGD_avg]]</f>
        <v>547542575.79840004</v>
      </c>
      <c r="AO259" s="507">
        <f>Port[[#This Row],[EAD_Interest (THB)]]*Port[[#This Row],[LGD_avg]]</f>
        <v>0</v>
      </c>
      <c r="AP259" s="507">
        <f>Port[[#This Row],[EAD_Drawn (THB)]]+Port[[#This Row],[EAD_Interest (THB)]]</f>
        <v>601695138.24000001</v>
      </c>
      <c r="AQ2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1268568.5722707743</v>
      </c>
      <c r="AR259" s="522">
        <f>MAX(Port[[#This Row],[ECL (THB)]]+Port[[#This Row],[ECL_Interest (THB)]], Port[[#This Row],[ECL CBIRC (THB)]])</f>
        <v>1268568.5722707743</v>
      </c>
    </row>
    <row r="260" spans="1:44">
      <c r="A260" s="2" t="s">
        <v>217</v>
      </c>
      <c r="B260" s="2" t="s">
        <v>216</v>
      </c>
      <c r="C260" s="2" t="s">
        <v>175</v>
      </c>
      <c r="D260" s="2" t="s">
        <v>25</v>
      </c>
      <c r="E260" s="2" t="s">
        <v>172</v>
      </c>
      <c r="F260" s="2" t="s">
        <v>173</v>
      </c>
      <c r="G260" s="2" t="s">
        <v>57</v>
      </c>
      <c r="H260">
        <v>1</v>
      </c>
      <c r="I260" s="2" t="s">
        <v>526</v>
      </c>
      <c r="J260" s="505">
        <v>2.3168391354034413E-3</v>
      </c>
      <c r="K260" s="505">
        <v>0.90000000000000013</v>
      </c>
      <c r="L260" s="3">
        <v>0.15684552284455039</v>
      </c>
      <c r="M260" s="3">
        <v>5.2488000000000001</v>
      </c>
      <c r="N260" s="507">
        <v>127372000</v>
      </c>
      <c r="O260" s="507">
        <v>0</v>
      </c>
      <c r="P260" s="507">
        <v>127372000</v>
      </c>
      <c r="Q260" s="507">
        <v>339127.95</v>
      </c>
      <c r="R260" s="507">
        <v>265590.39091914648</v>
      </c>
      <c r="S260" s="507">
        <v>0</v>
      </c>
      <c r="T260" s="507">
        <v>265590.39091914648</v>
      </c>
      <c r="U260" s="507">
        <v>707.13441582222742</v>
      </c>
      <c r="V260" s="507">
        <f>Port[[#This Row],[EAD_Drawn (CNY)]]*Port[[#This Row],[CNY -&gt; FCY]]</f>
        <v>19977727.935756072</v>
      </c>
      <c r="W260" s="507">
        <f>Port[[#This Row],[EAD_Undrawn (CNY)]]*Port[[#This Row],[CNY -&gt; FCY]]</f>
        <v>0</v>
      </c>
      <c r="X260" s="507">
        <f>Port[[#This Row],[EAD (CNY)]]*Port[[#This Row],[CNY -&gt; FCY]]</f>
        <v>19977727.935756072</v>
      </c>
      <c r="Y260" s="507">
        <f>Port[[#This Row],[EAD_Interest (CNY)]]*Port[[#This Row],[CNY -&gt; FCY]]</f>
        <v>53190.700628950544</v>
      </c>
      <c r="Z260" s="507">
        <f>Port[[#This Row],[ECL_Drawn (CNY)]]*Port[[#This Row],[CNY -&gt; FCY]]</f>
        <v>41656.663726202059</v>
      </c>
      <c r="AA260" s="507">
        <f>Port[[#This Row],[ECL_Undrawn (CNY)]]*Port[[#This Row],[CNY -&gt; FCY]]</f>
        <v>0</v>
      </c>
      <c r="AB260" s="507">
        <f>Port[[#This Row],[ECL (CNY)]]*Port[[#This Row],[CNY -&gt; FCY]]</f>
        <v>41656.663726202059</v>
      </c>
      <c r="AC260" s="507">
        <f>Port[[#This Row],[ECL_Interest (CNY)]]*Port[[#This Row],[CNY -&gt; FCY]]</f>
        <v>110.91086717101297</v>
      </c>
      <c r="AD260" s="507">
        <f>Port[[#This Row],[EAD_Drawn (CNY)]]*Port[[#This Row],[CNY -&gt; THB]]</f>
        <v>668550153.60000002</v>
      </c>
      <c r="AE260" s="507">
        <f>Port[[#This Row],[EAD_Undrawn (CNY)]]*Port[[#This Row],[CNY -&gt; THB]]</f>
        <v>0</v>
      </c>
      <c r="AF260" s="507">
        <f>Port[[#This Row],[EAD (CNY)]]*Port[[#This Row],[CNY -&gt; THB]]</f>
        <v>668550153.60000002</v>
      </c>
      <c r="AG260" s="507">
        <f>Port[[#This Row],[EAD_Interest (CNY)]]*Port[[#This Row],[CNY -&gt; THB]]</f>
        <v>1780014.7839600001</v>
      </c>
      <c r="AH260" s="507">
        <f>Port[[#This Row],[ECL_Drawn (CNY)]]*Port[[#This Row],[CNY -&gt; THB]]</f>
        <v>1394030.8438564162</v>
      </c>
      <c r="AI260" s="507">
        <f>Port[[#This Row],[ECL_Undrawn (CNY)]]*Port[[#This Row],[CNY -&gt; THB]]</f>
        <v>0</v>
      </c>
      <c r="AJ260" s="507">
        <f>Port[[#This Row],[ECL (CNY)]]*Port[[#This Row],[CNY -&gt; THB]]</f>
        <v>1394030.8438564162</v>
      </c>
      <c r="AK260" s="507">
        <f>Port[[#This Row],[ECL_Interest (CNY)]]*Port[[#This Row],[CNY -&gt; THB]]</f>
        <v>3711.6071217677072</v>
      </c>
      <c r="AL260" s="507">
        <f>Port[[#This Row],[EAD (THB)]]*Port[[#This Row],[PD_avg]]</f>
        <v>1548923.159840462</v>
      </c>
      <c r="AM260" s="507">
        <f>Port[[#This Row],[EAD_Interest (THB)]]*Port[[#This Row],[PD_avg]]</f>
        <v>4124.0079130752301</v>
      </c>
      <c r="AN260" s="507">
        <f>Port[[#This Row],[EAD (THB)]]*Port[[#This Row],[LGD_avg]]</f>
        <v>601695138.24000013</v>
      </c>
      <c r="AO260" s="507">
        <f>Port[[#This Row],[EAD_Interest (THB)]]*Port[[#This Row],[LGD_avg]]</f>
        <v>1602013.3055640003</v>
      </c>
      <c r="AP260" s="507">
        <f>Port[[#This Row],[EAD_Drawn (THB)]]+Port[[#This Row],[EAD_Interest (THB)]]</f>
        <v>670330168.38396001</v>
      </c>
      <c r="AQ26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1397742.4509781839</v>
      </c>
      <c r="AR260" s="522">
        <f>MAX(Port[[#This Row],[ECL (THB)]]+Port[[#This Row],[ECL_Interest (THB)]], Port[[#This Row],[ECL CBIRC (THB)]])</f>
        <v>1397742.4509781839</v>
      </c>
    </row>
    <row r="261" spans="1:44">
      <c r="A261" s="2" t="s">
        <v>218</v>
      </c>
      <c r="B261" s="2" t="s">
        <v>220</v>
      </c>
      <c r="C261" s="2" t="s">
        <v>219</v>
      </c>
      <c r="D261" s="2" t="s">
        <v>25</v>
      </c>
      <c r="E261" s="2" t="s">
        <v>172</v>
      </c>
      <c r="F261" s="2" t="s">
        <v>173</v>
      </c>
      <c r="G261" s="2" t="s">
        <v>21</v>
      </c>
      <c r="H261">
        <v>1</v>
      </c>
      <c r="I261" s="2" t="s">
        <v>526</v>
      </c>
      <c r="J261" s="505">
        <v>9.0832004774658653E-4</v>
      </c>
      <c r="K261" s="505">
        <v>0.9</v>
      </c>
      <c r="L261" s="3">
        <v>1</v>
      </c>
      <c r="M261" s="3">
        <v>5.2488000000000001</v>
      </c>
      <c r="N261" s="507">
        <v>91949.83</v>
      </c>
      <c r="O261" s="507">
        <v>0</v>
      </c>
      <c r="P261" s="507">
        <v>91949.83</v>
      </c>
      <c r="Q261" s="507">
        <v>6.23</v>
      </c>
      <c r="R261" s="507">
        <v>75.167886578301463</v>
      </c>
      <c r="S261" s="507">
        <v>0</v>
      </c>
      <c r="T261" s="507">
        <v>75.167886578301463</v>
      </c>
      <c r="U261" s="507">
        <v>5.092950507715111E-3</v>
      </c>
      <c r="V261" s="507">
        <f>Port[[#This Row],[EAD_Drawn (CNY)]]*Port[[#This Row],[CNY -&gt; FCY]]</f>
        <v>91949.83</v>
      </c>
      <c r="W261" s="507">
        <f>Port[[#This Row],[EAD_Undrawn (CNY)]]*Port[[#This Row],[CNY -&gt; FCY]]</f>
        <v>0</v>
      </c>
      <c r="X261" s="507">
        <f>Port[[#This Row],[EAD (CNY)]]*Port[[#This Row],[CNY -&gt; FCY]]</f>
        <v>91949.83</v>
      </c>
      <c r="Y261" s="507">
        <f>Port[[#This Row],[EAD_Interest (CNY)]]*Port[[#This Row],[CNY -&gt; FCY]]</f>
        <v>6.23</v>
      </c>
      <c r="Z261" s="507">
        <f>Port[[#This Row],[ECL_Drawn (CNY)]]*Port[[#This Row],[CNY -&gt; FCY]]</f>
        <v>75.167886578301463</v>
      </c>
      <c r="AA261" s="507">
        <f>Port[[#This Row],[ECL_Undrawn (CNY)]]*Port[[#This Row],[CNY -&gt; FCY]]</f>
        <v>0</v>
      </c>
      <c r="AB261" s="507">
        <f>Port[[#This Row],[ECL (CNY)]]*Port[[#This Row],[CNY -&gt; FCY]]</f>
        <v>75.167886578301463</v>
      </c>
      <c r="AC261" s="507">
        <f>Port[[#This Row],[ECL_Interest (CNY)]]*Port[[#This Row],[CNY -&gt; FCY]]</f>
        <v>5.092950507715111E-3</v>
      </c>
      <c r="AD261" s="507">
        <f>Port[[#This Row],[EAD_Drawn (CNY)]]*Port[[#This Row],[CNY -&gt; THB]]</f>
        <v>482626.267704</v>
      </c>
      <c r="AE261" s="507">
        <f>Port[[#This Row],[EAD_Undrawn (CNY)]]*Port[[#This Row],[CNY -&gt; THB]]</f>
        <v>0</v>
      </c>
      <c r="AF261" s="507">
        <f>Port[[#This Row],[EAD (CNY)]]*Port[[#This Row],[CNY -&gt; THB]]</f>
        <v>482626.267704</v>
      </c>
      <c r="AG261" s="507">
        <f>Port[[#This Row],[EAD_Interest (CNY)]]*Port[[#This Row],[CNY -&gt; THB]]</f>
        <v>32.700024000000006</v>
      </c>
      <c r="AH261" s="507">
        <f>Port[[#This Row],[ECL_Drawn (CNY)]]*Port[[#This Row],[CNY -&gt; THB]]</f>
        <v>394.54120307218875</v>
      </c>
      <c r="AI261" s="507">
        <f>Port[[#This Row],[ECL_Undrawn (CNY)]]*Port[[#This Row],[CNY -&gt; THB]]</f>
        <v>0</v>
      </c>
      <c r="AJ261" s="507">
        <f>Port[[#This Row],[ECL (CNY)]]*Port[[#This Row],[CNY -&gt; THB]]</f>
        <v>394.54120307218875</v>
      </c>
      <c r="AK261" s="507">
        <f>Port[[#This Row],[ECL_Interest (CNY)]]*Port[[#This Row],[CNY -&gt; THB]]</f>
        <v>2.6731878624895074E-2</v>
      </c>
      <c r="AL261" s="507">
        <f>Port[[#This Row],[EAD (THB)]]*Port[[#This Row],[PD_avg]]</f>
        <v>438.37911452465414</v>
      </c>
      <c r="AM261" s="507">
        <f>Port[[#This Row],[EAD_Interest (THB)]]*Port[[#This Row],[PD_avg]]</f>
        <v>2.9702087360994531E-2</v>
      </c>
      <c r="AN261" s="507">
        <f>Port[[#This Row],[EAD (THB)]]*Port[[#This Row],[LGD_avg]]</f>
        <v>434363.64093360002</v>
      </c>
      <c r="AO261" s="507">
        <f>Port[[#This Row],[EAD_Interest (THB)]]*Port[[#This Row],[LGD_avg]]</f>
        <v>29.430021600000007</v>
      </c>
      <c r="AP261" s="507">
        <f>Port[[#This Row],[EAD_Drawn (THB)]]+Port[[#This Row],[EAD_Interest (THB)]]</f>
        <v>482658.96772800002</v>
      </c>
      <c r="AQ26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394.56793495081365</v>
      </c>
      <c r="AR261" s="522">
        <f>MAX(Port[[#This Row],[ECL (THB)]]+Port[[#This Row],[ECL_Interest (THB)]], Port[[#This Row],[ECL CBIRC (THB)]])</f>
        <v>394.56793495081365</v>
      </c>
    </row>
    <row r="262" spans="1:44">
      <c r="A262" s="2" t="s">
        <v>221</v>
      </c>
      <c r="B262" s="2" t="s">
        <v>220</v>
      </c>
      <c r="C262" s="2" t="s">
        <v>219</v>
      </c>
      <c r="D262" s="2" t="s">
        <v>25</v>
      </c>
      <c r="E262" s="2" t="s">
        <v>172</v>
      </c>
      <c r="F262" s="2" t="s">
        <v>173</v>
      </c>
      <c r="G262" s="2" t="s">
        <v>57</v>
      </c>
      <c r="H262">
        <v>1</v>
      </c>
      <c r="I262" s="2" t="s">
        <v>526</v>
      </c>
      <c r="J262" s="505">
        <v>9.0832004774658653E-4</v>
      </c>
      <c r="K262" s="505">
        <v>0.8999999999999998</v>
      </c>
      <c r="L262" s="3">
        <v>0.15684552284455039</v>
      </c>
      <c r="M262" s="3">
        <v>5.2488000000000001</v>
      </c>
      <c r="N262" s="507">
        <v>1727556.880504</v>
      </c>
      <c r="O262" s="507">
        <v>0</v>
      </c>
      <c r="P262" s="507">
        <v>1727556.880504</v>
      </c>
      <c r="Q262" s="507">
        <v>3.439044</v>
      </c>
      <c r="R262" s="507">
        <v>1412.2570933659035</v>
      </c>
      <c r="S262" s="507">
        <v>0</v>
      </c>
      <c r="T262" s="507">
        <v>1412.2570933659035</v>
      </c>
      <c r="U262" s="507">
        <v>2.811377349254351E-3</v>
      </c>
      <c r="V262" s="507">
        <f>Port[[#This Row],[EAD_Drawn (CNY)]]*Port[[#This Row],[CNY -&gt; FCY]]</f>
        <v>270959.56216635031</v>
      </c>
      <c r="W262" s="507">
        <f>Port[[#This Row],[EAD_Undrawn (CNY)]]*Port[[#This Row],[CNY -&gt; FCY]]</f>
        <v>0</v>
      </c>
      <c r="X262" s="507">
        <f>Port[[#This Row],[EAD (CNY)]]*Port[[#This Row],[CNY -&gt; FCY]]</f>
        <v>270959.56216635031</v>
      </c>
      <c r="Y262" s="507">
        <f>Port[[#This Row],[EAD_Interest (CNY)]]*Port[[#This Row],[CNY -&gt; FCY]]</f>
        <v>0.539398654265414</v>
      </c>
      <c r="Z262" s="507">
        <f>Port[[#This Row],[ECL_Drawn (CNY)]]*Port[[#This Row],[CNY -&gt; FCY]]</f>
        <v>221.50620219990014</v>
      </c>
      <c r="AA262" s="507">
        <f>Port[[#This Row],[ECL_Undrawn (CNY)]]*Port[[#This Row],[CNY -&gt; FCY]]</f>
        <v>0</v>
      </c>
      <c r="AB262" s="507">
        <f>Port[[#This Row],[ECL (CNY)]]*Port[[#This Row],[CNY -&gt; FCY]]</f>
        <v>221.50620219990014</v>
      </c>
      <c r="AC262" s="507">
        <f>Port[[#This Row],[ECL_Interest (CNY)]]*Port[[#This Row],[CNY -&gt; FCY]]</f>
        <v>4.4095195025712481E-4</v>
      </c>
      <c r="AD262" s="507">
        <f>Port[[#This Row],[EAD_Drawn (CNY)]]*Port[[#This Row],[CNY -&gt; THB]]</f>
        <v>9067600.5543893948</v>
      </c>
      <c r="AE262" s="507">
        <f>Port[[#This Row],[EAD_Undrawn (CNY)]]*Port[[#This Row],[CNY -&gt; THB]]</f>
        <v>0</v>
      </c>
      <c r="AF262" s="507">
        <f>Port[[#This Row],[EAD (CNY)]]*Port[[#This Row],[CNY -&gt; THB]]</f>
        <v>9067600.5543893948</v>
      </c>
      <c r="AG262" s="507">
        <f>Port[[#This Row],[EAD_Interest (CNY)]]*Port[[#This Row],[CNY -&gt; THB]]</f>
        <v>18.050854147199999</v>
      </c>
      <c r="AH262" s="507">
        <f>Port[[#This Row],[ECL_Drawn (CNY)]]*Port[[#This Row],[CNY -&gt; THB]]</f>
        <v>7412.6550316589546</v>
      </c>
      <c r="AI262" s="507">
        <f>Port[[#This Row],[ECL_Undrawn (CNY)]]*Port[[#This Row],[CNY -&gt; THB]]</f>
        <v>0</v>
      </c>
      <c r="AJ262" s="507">
        <f>Port[[#This Row],[ECL (CNY)]]*Port[[#This Row],[CNY -&gt; THB]]</f>
        <v>7412.6550316589546</v>
      </c>
      <c r="AK262" s="507">
        <f>Port[[#This Row],[ECL_Interest (CNY)]]*Port[[#This Row],[CNY -&gt; THB]]</f>
        <v>1.4756357430766238E-2</v>
      </c>
      <c r="AL262" s="507">
        <f>Port[[#This Row],[EAD (THB)]]*Port[[#This Row],[PD_avg]]</f>
        <v>8236.2833685099504</v>
      </c>
      <c r="AM262" s="507">
        <f>Port[[#This Row],[EAD_Interest (THB)]]*Port[[#This Row],[PD_avg]]</f>
        <v>1.6395952700851372E-2</v>
      </c>
      <c r="AN262" s="507">
        <f>Port[[#This Row],[EAD (THB)]]*Port[[#This Row],[LGD_avg]]</f>
        <v>8160840.4989504535</v>
      </c>
      <c r="AO262" s="507">
        <f>Port[[#This Row],[EAD_Interest (THB)]]*Port[[#This Row],[LGD_avg]]</f>
        <v>16.245768732479995</v>
      </c>
      <c r="AP262" s="507">
        <f>Port[[#This Row],[EAD_Drawn (THB)]]+Port[[#This Row],[EAD_Interest (THB)]]</f>
        <v>9067618.6052435413</v>
      </c>
      <c r="AQ26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7412.6697880163856</v>
      </c>
      <c r="AR262" s="522">
        <f>MAX(Port[[#This Row],[ECL (THB)]]+Port[[#This Row],[ECL_Interest (THB)]], Port[[#This Row],[ECL CBIRC (THB)]])</f>
        <v>7412.6697880163856</v>
      </c>
    </row>
    <row r="263" spans="1:44">
      <c r="A263" s="2" t="s">
        <v>222</v>
      </c>
      <c r="B263" s="2" t="s">
        <v>223</v>
      </c>
      <c r="C263" s="2" t="s">
        <v>219</v>
      </c>
      <c r="D263" s="2" t="s">
        <v>25</v>
      </c>
      <c r="E263" s="2" t="s">
        <v>172</v>
      </c>
      <c r="F263" s="2" t="s">
        <v>173</v>
      </c>
      <c r="G263" s="2" t="s">
        <v>57</v>
      </c>
      <c r="H263">
        <v>1</v>
      </c>
      <c r="I263" s="2" t="s">
        <v>526</v>
      </c>
      <c r="J263" s="505">
        <v>9.0832004774658653E-4</v>
      </c>
      <c r="K263" s="505">
        <v>0.9</v>
      </c>
      <c r="L263" s="3">
        <v>0.15684552284455039</v>
      </c>
      <c r="M263" s="3">
        <v>5.2488000000000001</v>
      </c>
      <c r="N263" s="507">
        <v>20184.959269999999</v>
      </c>
      <c r="O263" s="507">
        <v>0</v>
      </c>
      <c r="P263" s="507">
        <v>20184.959269999999</v>
      </c>
      <c r="Q263" s="507">
        <v>1.2100340000000001</v>
      </c>
      <c r="R263" s="507">
        <v>16.500962851100375</v>
      </c>
      <c r="S263" s="507">
        <v>0</v>
      </c>
      <c r="T263" s="507">
        <v>16.500962851100375</v>
      </c>
      <c r="U263" s="507">
        <v>9.8918832658949373E-4</v>
      </c>
      <c r="V263" s="507">
        <f>Port[[#This Row],[EAD_Drawn (CNY)]]*Port[[#This Row],[CNY -&gt; FCY]]</f>
        <v>3165.9204902991041</v>
      </c>
      <c r="W263" s="507">
        <f>Port[[#This Row],[EAD_Undrawn (CNY)]]*Port[[#This Row],[CNY -&gt; FCY]]</f>
        <v>0</v>
      </c>
      <c r="X263" s="507">
        <f>Port[[#This Row],[EAD (CNY)]]*Port[[#This Row],[CNY -&gt; FCY]]</f>
        <v>3165.9204902991041</v>
      </c>
      <c r="Y263" s="507">
        <f>Port[[#This Row],[EAD_Interest (CNY)]]*Port[[#This Row],[CNY -&gt; FCY]]</f>
        <v>0.18978841538968269</v>
      </c>
      <c r="Z263" s="507">
        <f>Port[[#This Row],[ECL_Drawn (CNY)]]*Port[[#This Row],[CNY -&gt; FCY]]</f>
        <v>2.5881021458193412</v>
      </c>
      <c r="AA263" s="507">
        <f>Port[[#This Row],[ECL_Undrawn (CNY)]]*Port[[#This Row],[CNY -&gt; FCY]]</f>
        <v>0</v>
      </c>
      <c r="AB263" s="507">
        <f>Port[[#This Row],[ECL (CNY)]]*Port[[#This Row],[CNY -&gt; FCY]]</f>
        <v>2.5881021458193412</v>
      </c>
      <c r="AC263" s="507">
        <f>Port[[#This Row],[ECL_Interest (CNY)]]*Port[[#This Row],[CNY -&gt; FCY]]</f>
        <v>1.55149760275655E-4</v>
      </c>
      <c r="AD263" s="507">
        <f>Port[[#This Row],[EAD_Drawn (CNY)]]*Port[[#This Row],[CNY -&gt; THB]]</f>
        <v>105946.81421637601</v>
      </c>
      <c r="AE263" s="507">
        <f>Port[[#This Row],[EAD_Undrawn (CNY)]]*Port[[#This Row],[CNY -&gt; THB]]</f>
        <v>0</v>
      </c>
      <c r="AF263" s="507">
        <f>Port[[#This Row],[EAD (CNY)]]*Port[[#This Row],[CNY -&gt; THB]]</f>
        <v>105946.81421637601</v>
      </c>
      <c r="AG263" s="507">
        <f>Port[[#This Row],[EAD_Interest (CNY)]]*Port[[#This Row],[CNY -&gt; THB]]</f>
        <v>6.3512264592000003</v>
      </c>
      <c r="AH263" s="507">
        <f>Port[[#This Row],[ECL_Drawn (CNY)]]*Port[[#This Row],[CNY -&gt; THB]]</f>
        <v>86.610253812855646</v>
      </c>
      <c r="AI263" s="507">
        <f>Port[[#This Row],[ECL_Undrawn (CNY)]]*Port[[#This Row],[CNY -&gt; THB]]</f>
        <v>0</v>
      </c>
      <c r="AJ263" s="507">
        <f>Port[[#This Row],[ECL (CNY)]]*Port[[#This Row],[CNY -&gt; THB]]</f>
        <v>86.610253812855646</v>
      </c>
      <c r="AK263" s="507">
        <f>Port[[#This Row],[ECL_Interest (CNY)]]*Port[[#This Row],[CNY -&gt; THB]]</f>
        <v>5.1920516886029347E-3</v>
      </c>
      <c r="AL263" s="507">
        <f>Port[[#This Row],[EAD (THB)]]*Port[[#This Row],[PD_avg]]</f>
        <v>96.233615347617388</v>
      </c>
      <c r="AM263" s="507">
        <f>Port[[#This Row],[EAD_Interest (THB)]]*Port[[#This Row],[PD_avg]]</f>
        <v>5.7689463206699277E-3</v>
      </c>
      <c r="AN263" s="507">
        <f>Port[[#This Row],[EAD (THB)]]*Port[[#This Row],[LGD_avg]]</f>
        <v>95352.132794738412</v>
      </c>
      <c r="AO263" s="507">
        <f>Port[[#This Row],[EAD_Interest (THB)]]*Port[[#This Row],[LGD_avg]]</f>
        <v>5.7161038132800002</v>
      </c>
      <c r="AP263" s="507">
        <f>Port[[#This Row],[EAD_Drawn (THB)]]+Port[[#This Row],[EAD_Interest (THB)]]</f>
        <v>105953.1654428352</v>
      </c>
      <c r="AQ26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86.615445864544256</v>
      </c>
      <c r="AR263" s="522">
        <f>MAX(Port[[#This Row],[ECL (THB)]]+Port[[#This Row],[ECL_Interest (THB)]], Port[[#This Row],[ECL CBIRC (THB)]])</f>
        <v>86.615445864544256</v>
      </c>
    </row>
    <row r="264" spans="1:44">
      <c r="A264" s="2" t="s">
        <v>224</v>
      </c>
      <c r="B264" s="2" t="s">
        <v>225</v>
      </c>
      <c r="C264" s="2" t="s">
        <v>219</v>
      </c>
      <c r="D264" s="2" t="s">
        <v>25</v>
      </c>
      <c r="E264" s="2" t="s">
        <v>172</v>
      </c>
      <c r="F264" s="2" t="s">
        <v>173</v>
      </c>
      <c r="G264" s="2" t="s">
        <v>21</v>
      </c>
      <c r="H264">
        <v>1</v>
      </c>
      <c r="I264" s="2" t="s">
        <v>526</v>
      </c>
      <c r="J264" s="505">
        <v>9.0832004774658653E-4</v>
      </c>
      <c r="K264" s="505">
        <v>0.89999999999999991</v>
      </c>
      <c r="L264" s="3">
        <v>1</v>
      </c>
      <c r="M264" s="3">
        <v>5.2488000000000001</v>
      </c>
      <c r="N264" s="507">
        <v>10077695.609999999</v>
      </c>
      <c r="O264" s="507">
        <v>0</v>
      </c>
      <c r="P264" s="507">
        <v>10077695.609999999</v>
      </c>
      <c r="Q264" s="507">
        <v>28269.69</v>
      </c>
      <c r="R264" s="507">
        <v>8238.3956618856882</v>
      </c>
      <c r="S264" s="507">
        <v>0</v>
      </c>
      <c r="T264" s="507">
        <v>8238.3956618856882</v>
      </c>
      <c r="U264" s="507">
        <v>23.110133553523077</v>
      </c>
      <c r="V264" s="507">
        <f>Port[[#This Row],[EAD_Drawn (CNY)]]*Port[[#This Row],[CNY -&gt; FCY]]</f>
        <v>10077695.609999999</v>
      </c>
      <c r="W264" s="507">
        <f>Port[[#This Row],[EAD_Undrawn (CNY)]]*Port[[#This Row],[CNY -&gt; FCY]]</f>
        <v>0</v>
      </c>
      <c r="X264" s="507">
        <f>Port[[#This Row],[EAD (CNY)]]*Port[[#This Row],[CNY -&gt; FCY]]</f>
        <v>10077695.609999999</v>
      </c>
      <c r="Y264" s="507">
        <f>Port[[#This Row],[EAD_Interest (CNY)]]*Port[[#This Row],[CNY -&gt; FCY]]</f>
        <v>28269.69</v>
      </c>
      <c r="Z264" s="507">
        <f>Port[[#This Row],[ECL_Drawn (CNY)]]*Port[[#This Row],[CNY -&gt; FCY]]</f>
        <v>8238.3956618856882</v>
      </c>
      <c r="AA264" s="507">
        <f>Port[[#This Row],[ECL_Undrawn (CNY)]]*Port[[#This Row],[CNY -&gt; FCY]]</f>
        <v>0</v>
      </c>
      <c r="AB264" s="507">
        <f>Port[[#This Row],[ECL (CNY)]]*Port[[#This Row],[CNY -&gt; FCY]]</f>
        <v>8238.3956618856882</v>
      </c>
      <c r="AC264" s="507">
        <f>Port[[#This Row],[ECL_Interest (CNY)]]*Port[[#This Row],[CNY -&gt; FCY]]</f>
        <v>23.110133553523077</v>
      </c>
      <c r="AD264" s="507">
        <f>Port[[#This Row],[EAD_Drawn (CNY)]]*Port[[#This Row],[CNY -&gt; THB]]</f>
        <v>52895808.717767999</v>
      </c>
      <c r="AE264" s="507">
        <f>Port[[#This Row],[EAD_Undrawn (CNY)]]*Port[[#This Row],[CNY -&gt; THB]]</f>
        <v>0</v>
      </c>
      <c r="AF264" s="507">
        <f>Port[[#This Row],[EAD (CNY)]]*Port[[#This Row],[CNY -&gt; THB]]</f>
        <v>52895808.717767999</v>
      </c>
      <c r="AG264" s="507">
        <f>Port[[#This Row],[EAD_Interest (CNY)]]*Port[[#This Row],[CNY -&gt; THB]]</f>
        <v>148381.94887200001</v>
      </c>
      <c r="AH264" s="507">
        <f>Port[[#This Row],[ECL_Drawn (CNY)]]*Port[[#This Row],[CNY -&gt; THB]]</f>
        <v>43241.691150105602</v>
      </c>
      <c r="AI264" s="507">
        <f>Port[[#This Row],[ECL_Undrawn (CNY)]]*Port[[#This Row],[CNY -&gt; THB]]</f>
        <v>0</v>
      </c>
      <c r="AJ264" s="507">
        <f>Port[[#This Row],[ECL (CNY)]]*Port[[#This Row],[CNY -&gt; THB]]</f>
        <v>43241.691150105602</v>
      </c>
      <c r="AK264" s="507">
        <f>Port[[#This Row],[ECL_Interest (CNY)]]*Port[[#This Row],[CNY -&gt; THB]]</f>
        <v>121.30046899573193</v>
      </c>
      <c r="AL264" s="507">
        <f>Port[[#This Row],[EAD (THB)]]*Port[[#This Row],[PD_avg]]</f>
        <v>48046.323500117338</v>
      </c>
      <c r="AM264" s="507">
        <f>Port[[#This Row],[EAD_Interest (THB)]]*Port[[#This Row],[PD_avg]]</f>
        <v>134.77829888414661</v>
      </c>
      <c r="AN264" s="507">
        <f>Port[[#This Row],[EAD (THB)]]*Port[[#This Row],[LGD_avg]]</f>
        <v>47606227.845991194</v>
      </c>
      <c r="AO264" s="507">
        <f>Port[[#This Row],[EAD_Interest (THB)]]*Port[[#This Row],[LGD_avg]]</f>
        <v>133543.75398479999</v>
      </c>
      <c r="AP264" s="507">
        <f>Port[[#This Row],[EAD_Drawn (THB)]]+Port[[#This Row],[EAD_Interest (THB)]]</f>
        <v>53044190.666639999</v>
      </c>
      <c r="AQ26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43362.991619101333</v>
      </c>
      <c r="AR264" s="522">
        <f>MAX(Port[[#This Row],[ECL (THB)]]+Port[[#This Row],[ECL_Interest (THB)]], Port[[#This Row],[ECL CBIRC (THB)]])</f>
        <v>43362.991619101333</v>
      </c>
    </row>
    <row r="265" spans="1:44">
      <c r="A265" s="2" t="s">
        <v>226</v>
      </c>
      <c r="B265" s="2" t="s">
        <v>225</v>
      </c>
      <c r="C265" s="2" t="s">
        <v>219</v>
      </c>
      <c r="D265" s="2" t="s">
        <v>25</v>
      </c>
      <c r="E265" s="2" t="s">
        <v>172</v>
      </c>
      <c r="F265" s="2" t="s">
        <v>173</v>
      </c>
      <c r="G265" s="2" t="s">
        <v>57</v>
      </c>
      <c r="H265">
        <v>1</v>
      </c>
      <c r="I265" s="2" t="s">
        <v>526</v>
      </c>
      <c r="J265" s="505">
        <v>9.0832004774658653E-4</v>
      </c>
      <c r="K265" s="505">
        <v>0.89999999999999991</v>
      </c>
      <c r="L265" s="3">
        <v>0.15684552284455039</v>
      </c>
      <c r="M265" s="3">
        <v>5.2488000000000001</v>
      </c>
      <c r="N265" s="507">
        <v>25927.334831999997</v>
      </c>
      <c r="O265" s="507">
        <v>0</v>
      </c>
      <c r="P265" s="507">
        <v>25927.334831999997</v>
      </c>
      <c r="Q265" s="507">
        <v>6.3685999999999993E-2</v>
      </c>
      <c r="R265" s="507">
        <v>21.195286211289577</v>
      </c>
      <c r="S265" s="507">
        <v>0</v>
      </c>
      <c r="T265" s="507">
        <v>21.195286211289577</v>
      </c>
      <c r="U265" s="507">
        <v>5.2062543504710195E-5</v>
      </c>
      <c r="V265" s="507">
        <f>Port[[#This Row],[EAD_Drawn (CNY)]]*Port[[#This Row],[CNY -&gt; FCY]]</f>
        <v>4066.5863876907624</v>
      </c>
      <c r="W265" s="507">
        <f>Port[[#This Row],[EAD_Undrawn (CNY)]]*Port[[#This Row],[CNY -&gt; FCY]]</f>
        <v>0</v>
      </c>
      <c r="X265" s="507">
        <f>Port[[#This Row],[EAD (CNY)]]*Port[[#This Row],[CNY -&gt; FCY]]</f>
        <v>4066.5863876907624</v>
      </c>
      <c r="Y265" s="507">
        <f>Port[[#This Row],[EAD_Interest (CNY)]]*Port[[#This Row],[CNY -&gt; FCY]]</f>
        <v>9.9888639678780353E-3</v>
      </c>
      <c r="Z265" s="507">
        <f>Port[[#This Row],[ECL_Drawn (CNY)]]*Port[[#This Row],[CNY -&gt; FCY]]</f>
        <v>3.324385747649603</v>
      </c>
      <c r="AA265" s="507">
        <f>Port[[#This Row],[ECL_Undrawn (CNY)]]*Port[[#This Row],[CNY -&gt; FCY]]</f>
        <v>0</v>
      </c>
      <c r="AB265" s="507">
        <f>Port[[#This Row],[ECL (CNY)]]*Port[[#This Row],[CNY -&gt; FCY]]</f>
        <v>3.324385747649603</v>
      </c>
      <c r="AC265" s="507">
        <f>Port[[#This Row],[ECL_Interest (CNY)]]*Port[[#This Row],[CNY -&gt; FCY]]</f>
        <v>8.1657768566134218E-6</v>
      </c>
      <c r="AD265" s="507">
        <f>Port[[#This Row],[EAD_Drawn (CNY)]]*Port[[#This Row],[CNY -&gt; THB]]</f>
        <v>136087.3950662016</v>
      </c>
      <c r="AE265" s="507">
        <f>Port[[#This Row],[EAD_Undrawn (CNY)]]*Port[[#This Row],[CNY -&gt; THB]]</f>
        <v>0</v>
      </c>
      <c r="AF265" s="507">
        <f>Port[[#This Row],[EAD (CNY)]]*Port[[#This Row],[CNY -&gt; THB]]</f>
        <v>136087.3950662016</v>
      </c>
      <c r="AG265" s="507">
        <f>Port[[#This Row],[EAD_Interest (CNY)]]*Port[[#This Row],[CNY -&gt; THB]]</f>
        <v>0.33427507679999996</v>
      </c>
      <c r="AH265" s="507">
        <f>Port[[#This Row],[ECL_Drawn (CNY)]]*Port[[#This Row],[CNY -&gt; THB]]</f>
        <v>111.24981826581674</v>
      </c>
      <c r="AI265" s="507">
        <f>Port[[#This Row],[ECL_Undrawn (CNY)]]*Port[[#This Row],[CNY -&gt; THB]]</f>
        <v>0</v>
      </c>
      <c r="AJ265" s="507">
        <f>Port[[#This Row],[ECL (CNY)]]*Port[[#This Row],[CNY -&gt; THB]]</f>
        <v>111.24981826581674</v>
      </c>
      <c r="AK265" s="507">
        <f>Port[[#This Row],[ECL_Interest (CNY)]]*Port[[#This Row],[CNY -&gt; THB]]</f>
        <v>2.7326587834752288E-4</v>
      </c>
      <c r="AL265" s="507">
        <f>Port[[#This Row],[EAD (THB)]]*Port[[#This Row],[PD_avg]]</f>
        <v>123.61090918424082</v>
      </c>
      <c r="AM265" s="507">
        <f>Port[[#This Row],[EAD_Interest (THB)]]*Port[[#This Row],[PD_avg]]</f>
        <v>3.0362875371946983E-4</v>
      </c>
      <c r="AN265" s="507">
        <f>Port[[#This Row],[EAD (THB)]]*Port[[#This Row],[LGD_avg]]</f>
        <v>122478.65555958143</v>
      </c>
      <c r="AO265" s="507">
        <f>Port[[#This Row],[EAD_Interest (THB)]]*Port[[#This Row],[LGD_avg]]</f>
        <v>0.30084756911999994</v>
      </c>
      <c r="AP265" s="507">
        <f>Port[[#This Row],[EAD_Drawn (THB)]]+Port[[#This Row],[EAD_Interest (THB)]]</f>
        <v>136087.72934127841</v>
      </c>
      <c r="AQ26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111.25009153169509</v>
      </c>
      <c r="AR265" s="522">
        <f>MAX(Port[[#This Row],[ECL (THB)]]+Port[[#This Row],[ECL_Interest (THB)]], Port[[#This Row],[ECL CBIRC (THB)]])</f>
        <v>111.25009153169509</v>
      </c>
    </row>
    <row r="266" spans="1:44">
      <c r="A266" s="2" t="s">
        <v>227</v>
      </c>
      <c r="B266" s="2" t="s">
        <v>228</v>
      </c>
      <c r="C266" s="2" t="s">
        <v>219</v>
      </c>
      <c r="D266" s="2" t="s">
        <v>25</v>
      </c>
      <c r="E266" s="2" t="s">
        <v>172</v>
      </c>
      <c r="F266" s="2" t="s">
        <v>173</v>
      </c>
      <c r="G266" s="2" t="s">
        <v>21</v>
      </c>
      <c r="H266">
        <v>1</v>
      </c>
      <c r="I266" s="2" t="s">
        <v>526</v>
      </c>
      <c r="J266" s="505">
        <v>9.0832004774658653E-4</v>
      </c>
      <c r="K266" s="505">
        <v>0.8999999999999998</v>
      </c>
      <c r="L266" s="3">
        <v>1</v>
      </c>
      <c r="M266" s="3">
        <v>5.2488000000000001</v>
      </c>
      <c r="N266" s="507">
        <v>2553050.6</v>
      </c>
      <c r="O266" s="507">
        <v>0</v>
      </c>
      <c r="P266" s="507">
        <v>2553050.6</v>
      </c>
      <c r="Q266" s="507">
        <v>375.38</v>
      </c>
      <c r="R266" s="507">
        <v>2087.0883386023061</v>
      </c>
      <c r="S266" s="507">
        <v>0</v>
      </c>
      <c r="T266" s="507">
        <v>2087.0883386023061</v>
      </c>
      <c r="U266" s="507">
        <v>0.30686866157080228</v>
      </c>
      <c r="V266" s="507">
        <f>Port[[#This Row],[EAD_Drawn (CNY)]]*Port[[#This Row],[CNY -&gt; FCY]]</f>
        <v>2553050.6</v>
      </c>
      <c r="W266" s="507">
        <f>Port[[#This Row],[EAD_Undrawn (CNY)]]*Port[[#This Row],[CNY -&gt; FCY]]</f>
        <v>0</v>
      </c>
      <c r="X266" s="507">
        <f>Port[[#This Row],[EAD (CNY)]]*Port[[#This Row],[CNY -&gt; FCY]]</f>
        <v>2553050.6</v>
      </c>
      <c r="Y266" s="507">
        <f>Port[[#This Row],[EAD_Interest (CNY)]]*Port[[#This Row],[CNY -&gt; FCY]]</f>
        <v>375.38</v>
      </c>
      <c r="Z266" s="507">
        <f>Port[[#This Row],[ECL_Drawn (CNY)]]*Port[[#This Row],[CNY -&gt; FCY]]</f>
        <v>2087.0883386023061</v>
      </c>
      <c r="AA266" s="507">
        <f>Port[[#This Row],[ECL_Undrawn (CNY)]]*Port[[#This Row],[CNY -&gt; FCY]]</f>
        <v>0</v>
      </c>
      <c r="AB266" s="507">
        <f>Port[[#This Row],[ECL (CNY)]]*Port[[#This Row],[CNY -&gt; FCY]]</f>
        <v>2087.0883386023061</v>
      </c>
      <c r="AC266" s="507">
        <f>Port[[#This Row],[ECL_Interest (CNY)]]*Port[[#This Row],[CNY -&gt; FCY]]</f>
        <v>0.30686866157080228</v>
      </c>
      <c r="AD266" s="507">
        <f>Port[[#This Row],[EAD_Drawn (CNY)]]*Port[[#This Row],[CNY -&gt; THB]]</f>
        <v>13400451.98928</v>
      </c>
      <c r="AE266" s="507">
        <f>Port[[#This Row],[EAD_Undrawn (CNY)]]*Port[[#This Row],[CNY -&gt; THB]]</f>
        <v>0</v>
      </c>
      <c r="AF266" s="507">
        <f>Port[[#This Row],[EAD (CNY)]]*Port[[#This Row],[CNY -&gt; THB]]</f>
        <v>13400451.98928</v>
      </c>
      <c r="AG266" s="507">
        <f>Port[[#This Row],[EAD_Interest (CNY)]]*Port[[#This Row],[CNY -&gt; THB]]</f>
        <v>1970.2945440000001</v>
      </c>
      <c r="AH266" s="507">
        <f>Port[[#This Row],[ECL_Drawn (CNY)]]*Port[[#This Row],[CNY -&gt; THB]]</f>
        <v>10954.709271655784</v>
      </c>
      <c r="AI266" s="507">
        <f>Port[[#This Row],[ECL_Undrawn (CNY)]]*Port[[#This Row],[CNY -&gt; THB]]</f>
        <v>0</v>
      </c>
      <c r="AJ266" s="507">
        <f>Port[[#This Row],[ECL (CNY)]]*Port[[#This Row],[CNY -&gt; THB]]</f>
        <v>10954.709271655784</v>
      </c>
      <c r="AK266" s="507">
        <f>Port[[#This Row],[ECL_Interest (CNY)]]*Port[[#This Row],[CNY -&gt; THB]]</f>
        <v>1.6106922308528271</v>
      </c>
      <c r="AL266" s="507">
        <f>Port[[#This Row],[EAD (THB)]]*Port[[#This Row],[PD_avg]]</f>
        <v>12171.899190728651</v>
      </c>
      <c r="AM266" s="507">
        <f>Port[[#This Row],[EAD_Interest (THB)]]*Port[[#This Row],[PD_avg]]</f>
        <v>1.789658034280919</v>
      </c>
      <c r="AN266" s="507">
        <f>Port[[#This Row],[EAD (THB)]]*Port[[#This Row],[LGD_avg]]</f>
        <v>12060406.790351998</v>
      </c>
      <c r="AO266" s="507">
        <f>Port[[#This Row],[EAD_Interest (THB)]]*Port[[#This Row],[LGD_avg]]</f>
        <v>1773.2650895999998</v>
      </c>
      <c r="AP266" s="507">
        <f>Port[[#This Row],[EAD_Drawn (THB)]]+Port[[#This Row],[EAD_Interest (THB)]]</f>
        <v>13402422.283824001</v>
      </c>
      <c r="AQ26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10956.319963886637</v>
      </c>
      <c r="AR266" s="522">
        <f>MAX(Port[[#This Row],[ECL (THB)]]+Port[[#This Row],[ECL_Interest (THB)]], Port[[#This Row],[ECL CBIRC (THB)]])</f>
        <v>10956.319963886637</v>
      </c>
    </row>
    <row r="267" spans="1:44">
      <c r="A267" s="2" t="s">
        <v>229</v>
      </c>
      <c r="B267" s="2" t="s">
        <v>230</v>
      </c>
      <c r="C267" s="2" t="s">
        <v>219</v>
      </c>
      <c r="D267" s="2" t="s">
        <v>25</v>
      </c>
      <c r="E267" s="2" t="s">
        <v>172</v>
      </c>
      <c r="F267" s="2" t="s">
        <v>173</v>
      </c>
      <c r="G267" s="2" t="s">
        <v>57</v>
      </c>
      <c r="H267">
        <v>1</v>
      </c>
      <c r="I267" s="2" t="s">
        <v>526</v>
      </c>
      <c r="J267" s="505">
        <v>9.0832004774658653E-4</v>
      </c>
      <c r="K267" s="505">
        <v>0.9</v>
      </c>
      <c r="L267" s="3">
        <v>0.15684552284455039</v>
      </c>
      <c r="M267" s="3">
        <v>5.2488000000000001</v>
      </c>
      <c r="N267" s="507">
        <v>110645931.38923799</v>
      </c>
      <c r="O267" s="507">
        <v>0</v>
      </c>
      <c r="P267" s="507">
        <v>110645931.38923799</v>
      </c>
      <c r="Q267" s="507">
        <v>0</v>
      </c>
      <c r="R267" s="507">
        <v>90451.725914194365</v>
      </c>
      <c r="S267" s="507">
        <v>0</v>
      </c>
      <c r="T267" s="507">
        <v>90451.725914194365</v>
      </c>
      <c r="U267" s="507">
        <v>0</v>
      </c>
      <c r="V267" s="507">
        <f>Port[[#This Row],[EAD_Drawn (CNY)]]*Port[[#This Row],[CNY -&gt; FCY]]</f>
        <v>17354318.959367283</v>
      </c>
      <c r="W267" s="507">
        <f>Port[[#This Row],[EAD_Undrawn (CNY)]]*Port[[#This Row],[CNY -&gt; FCY]]</f>
        <v>0</v>
      </c>
      <c r="X267" s="507">
        <f>Port[[#This Row],[EAD (CNY)]]*Port[[#This Row],[CNY -&gt; FCY]]</f>
        <v>17354318.959367283</v>
      </c>
      <c r="Y267" s="507">
        <f>Port[[#This Row],[EAD_Interest (CNY)]]*Port[[#This Row],[CNY -&gt; FCY]]</f>
        <v>0</v>
      </c>
      <c r="Z267" s="507">
        <f>Port[[#This Row],[ECL_Drawn (CNY)]]*Port[[#This Row],[CNY -&gt; FCY]]</f>
        <v>14186.948243203782</v>
      </c>
      <c r="AA267" s="507">
        <f>Port[[#This Row],[ECL_Undrawn (CNY)]]*Port[[#This Row],[CNY -&gt; FCY]]</f>
        <v>0</v>
      </c>
      <c r="AB267" s="507">
        <f>Port[[#This Row],[ECL (CNY)]]*Port[[#This Row],[CNY -&gt; FCY]]</f>
        <v>14186.948243203782</v>
      </c>
      <c r="AC267" s="507">
        <f>Port[[#This Row],[ECL_Interest (CNY)]]*Port[[#This Row],[CNY -&gt; FCY]]</f>
        <v>0</v>
      </c>
      <c r="AD267" s="507">
        <f>Port[[#This Row],[EAD_Drawn (CNY)]]*Port[[#This Row],[CNY -&gt; THB]]</f>
        <v>580758364.67583239</v>
      </c>
      <c r="AE267" s="507">
        <f>Port[[#This Row],[EAD_Undrawn (CNY)]]*Port[[#This Row],[CNY -&gt; THB]]</f>
        <v>0</v>
      </c>
      <c r="AF267" s="507">
        <f>Port[[#This Row],[EAD (CNY)]]*Port[[#This Row],[CNY -&gt; THB]]</f>
        <v>580758364.67583239</v>
      </c>
      <c r="AG267" s="507">
        <f>Port[[#This Row],[EAD_Interest (CNY)]]*Port[[#This Row],[CNY -&gt; THB]]</f>
        <v>0</v>
      </c>
      <c r="AH267" s="507">
        <f>Port[[#This Row],[ECL_Drawn (CNY)]]*Port[[#This Row],[CNY -&gt; THB]]</f>
        <v>474763.01897842338</v>
      </c>
      <c r="AI267" s="507">
        <f>Port[[#This Row],[ECL_Undrawn (CNY)]]*Port[[#This Row],[CNY -&gt; THB]]</f>
        <v>0</v>
      </c>
      <c r="AJ267" s="507">
        <f>Port[[#This Row],[ECL (CNY)]]*Port[[#This Row],[CNY -&gt; THB]]</f>
        <v>474763.01897842338</v>
      </c>
      <c r="AK267" s="507">
        <f>Port[[#This Row],[ECL_Interest (CNY)]]*Port[[#This Row],[CNY -&gt; THB]]</f>
        <v>0</v>
      </c>
      <c r="AL267" s="507">
        <f>Port[[#This Row],[EAD (THB)]]*Port[[#This Row],[PD_avg]]</f>
        <v>527514.46553158155</v>
      </c>
      <c r="AM267" s="507">
        <f>Port[[#This Row],[EAD_Interest (THB)]]*Port[[#This Row],[PD_avg]]</f>
        <v>0</v>
      </c>
      <c r="AN267" s="507">
        <f>Port[[#This Row],[EAD (THB)]]*Port[[#This Row],[LGD_avg]]</f>
        <v>522682528.20824915</v>
      </c>
      <c r="AO267" s="507">
        <f>Port[[#This Row],[EAD_Interest (THB)]]*Port[[#This Row],[LGD_avg]]</f>
        <v>0</v>
      </c>
      <c r="AP267" s="507">
        <f>Port[[#This Row],[EAD_Drawn (THB)]]+Port[[#This Row],[EAD_Interest (THB)]]</f>
        <v>580758364.67583239</v>
      </c>
      <c r="AQ26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474763.01897842338</v>
      </c>
      <c r="AR267" s="522">
        <f>MAX(Port[[#This Row],[ECL (THB)]]+Port[[#This Row],[ECL_Interest (THB)]], Port[[#This Row],[ECL CBIRC (THB)]])</f>
        <v>474763.01897842338</v>
      </c>
    </row>
    <row r="268" spans="1:44">
      <c r="A268" s="2" t="s">
        <v>231</v>
      </c>
      <c r="B268" s="2" t="s">
        <v>232</v>
      </c>
      <c r="C268" s="2" t="s">
        <v>219</v>
      </c>
      <c r="D268" s="2" t="s">
        <v>25</v>
      </c>
      <c r="E268" s="2" t="s">
        <v>172</v>
      </c>
      <c r="F268" s="2" t="s">
        <v>173</v>
      </c>
      <c r="G268" s="2" t="s">
        <v>21</v>
      </c>
      <c r="H268">
        <v>1</v>
      </c>
      <c r="I268" s="2" t="s">
        <v>526</v>
      </c>
      <c r="J268" s="505">
        <v>9.0832004774658653E-4</v>
      </c>
      <c r="K268" s="505">
        <v>0.8999999999999998</v>
      </c>
      <c r="L268" s="3">
        <v>1</v>
      </c>
      <c r="M268" s="3">
        <v>5.2488000000000001</v>
      </c>
      <c r="N268" s="507">
        <v>5397.57</v>
      </c>
      <c r="O268" s="507">
        <v>0</v>
      </c>
      <c r="P268" s="507">
        <v>5397.57</v>
      </c>
      <c r="Q268" s="507">
        <v>0.35</v>
      </c>
      <c r="R268" s="507">
        <v>4.4124489361039885</v>
      </c>
      <c r="S268" s="507">
        <v>0</v>
      </c>
      <c r="T268" s="507">
        <v>4.4124489361039885</v>
      </c>
      <c r="U268" s="507">
        <v>2.8612081504017473E-4</v>
      </c>
      <c r="V268" s="507">
        <f>Port[[#This Row],[EAD_Drawn (CNY)]]*Port[[#This Row],[CNY -&gt; FCY]]</f>
        <v>5397.57</v>
      </c>
      <c r="W268" s="507">
        <f>Port[[#This Row],[EAD_Undrawn (CNY)]]*Port[[#This Row],[CNY -&gt; FCY]]</f>
        <v>0</v>
      </c>
      <c r="X268" s="507">
        <f>Port[[#This Row],[EAD (CNY)]]*Port[[#This Row],[CNY -&gt; FCY]]</f>
        <v>5397.57</v>
      </c>
      <c r="Y268" s="507">
        <f>Port[[#This Row],[EAD_Interest (CNY)]]*Port[[#This Row],[CNY -&gt; FCY]]</f>
        <v>0.35</v>
      </c>
      <c r="Z268" s="507">
        <f>Port[[#This Row],[ECL_Drawn (CNY)]]*Port[[#This Row],[CNY -&gt; FCY]]</f>
        <v>4.4124489361039885</v>
      </c>
      <c r="AA268" s="507">
        <f>Port[[#This Row],[ECL_Undrawn (CNY)]]*Port[[#This Row],[CNY -&gt; FCY]]</f>
        <v>0</v>
      </c>
      <c r="AB268" s="507">
        <f>Port[[#This Row],[ECL (CNY)]]*Port[[#This Row],[CNY -&gt; FCY]]</f>
        <v>4.4124489361039885</v>
      </c>
      <c r="AC268" s="507">
        <f>Port[[#This Row],[ECL_Interest (CNY)]]*Port[[#This Row],[CNY -&gt; FCY]]</f>
        <v>2.8612081504017473E-4</v>
      </c>
      <c r="AD268" s="507">
        <f>Port[[#This Row],[EAD_Drawn (CNY)]]*Port[[#This Row],[CNY -&gt; THB]]</f>
        <v>28330.765415999998</v>
      </c>
      <c r="AE268" s="507">
        <f>Port[[#This Row],[EAD_Undrawn (CNY)]]*Port[[#This Row],[CNY -&gt; THB]]</f>
        <v>0</v>
      </c>
      <c r="AF268" s="507">
        <f>Port[[#This Row],[EAD (CNY)]]*Port[[#This Row],[CNY -&gt; THB]]</f>
        <v>28330.765415999998</v>
      </c>
      <c r="AG268" s="507">
        <f>Port[[#This Row],[EAD_Interest (CNY)]]*Port[[#This Row],[CNY -&gt; THB]]</f>
        <v>1.8370799999999998</v>
      </c>
      <c r="AH268" s="507">
        <f>Port[[#This Row],[ECL_Drawn (CNY)]]*Port[[#This Row],[CNY -&gt; THB]]</f>
        <v>23.160061975822614</v>
      </c>
      <c r="AI268" s="507">
        <f>Port[[#This Row],[ECL_Undrawn (CNY)]]*Port[[#This Row],[CNY -&gt; THB]]</f>
        <v>0</v>
      </c>
      <c r="AJ268" s="507">
        <f>Port[[#This Row],[ECL (CNY)]]*Port[[#This Row],[CNY -&gt; THB]]</f>
        <v>23.160061975822614</v>
      </c>
      <c r="AK268" s="507">
        <f>Port[[#This Row],[ECL_Interest (CNY)]]*Port[[#This Row],[CNY -&gt; THB]]</f>
        <v>1.5017909339828692E-3</v>
      </c>
      <c r="AL268" s="507">
        <f>Port[[#This Row],[EAD (THB)]]*Port[[#This Row],[PD_avg]]</f>
        <v>25.733402195358462</v>
      </c>
      <c r="AM268" s="507">
        <f>Port[[#This Row],[EAD_Interest (THB)]]*Port[[#This Row],[PD_avg]]</f>
        <v>1.6686565933142991E-3</v>
      </c>
      <c r="AN268" s="507">
        <f>Port[[#This Row],[EAD (THB)]]*Port[[#This Row],[LGD_avg]]</f>
        <v>25497.688874399992</v>
      </c>
      <c r="AO268" s="507">
        <f>Port[[#This Row],[EAD_Interest (THB)]]*Port[[#This Row],[LGD_avg]]</f>
        <v>1.6533719999999994</v>
      </c>
      <c r="AP268" s="507">
        <f>Port[[#This Row],[EAD_Drawn (THB)]]+Port[[#This Row],[EAD_Interest (THB)]]</f>
        <v>28332.602496</v>
      </c>
      <c r="AQ26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23.161563766756597</v>
      </c>
      <c r="AR268" s="522">
        <f>MAX(Port[[#This Row],[ECL (THB)]]+Port[[#This Row],[ECL_Interest (THB)]], Port[[#This Row],[ECL CBIRC (THB)]])</f>
        <v>23.161563766756597</v>
      </c>
    </row>
    <row r="269" spans="1:44">
      <c r="A269" s="2" t="s">
        <v>233</v>
      </c>
      <c r="B269" s="2" t="s">
        <v>234</v>
      </c>
      <c r="C269" s="2" t="s">
        <v>219</v>
      </c>
      <c r="D269" s="2" t="s">
        <v>25</v>
      </c>
      <c r="E269" s="2" t="s">
        <v>172</v>
      </c>
      <c r="F269" s="2" t="s">
        <v>173</v>
      </c>
      <c r="G269" s="2" t="s">
        <v>21</v>
      </c>
      <c r="H269">
        <v>1</v>
      </c>
      <c r="I269" s="2" t="s">
        <v>526</v>
      </c>
      <c r="J269" s="505">
        <v>9.0832004774658653E-4</v>
      </c>
      <c r="K269" s="505">
        <v>0.89999999999999991</v>
      </c>
      <c r="L269" s="3">
        <v>1</v>
      </c>
      <c r="M269" s="3">
        <v>5.2488000000000001</v>
      </c>
      <c r="N269" s="507">
        <v>127472.88</v>
      </c>
      <c r="O269" s="507">
        <v>0</v>
      </c>
      <c r="P269" s="507">
        <v>127472.88</v>
      </c>
      <c r="Q269" s="507">
        <v>44.62</v>
      </c>
      <c r="R269" s="507">
        <v>104.2075552031954</v>
      </c>
      <c r="S269" s="507">
        <v>0</v>
      </c>
      <c r="T269" s="507">
        <v>104.2075552031954</v>
      </c>
      <c r="U269" s="507">
        <v>3.6476316477407421E-2</v>
      </c>
      <c r="V269" s="507">
        <f>Port[[#This Row],[EAD_Drawn (CNY)]]*Port[[#This Row],[CNY -&gt; FCY]]</f>
        <v>127472.88</v>
      </c>
      <c r="W269" s="507">
        <f>Port[[#This Row],[EAD_Undrawn (CNY)]]*Port[[#This Row],[CNY -&gt; FCY]]</f>
        <v>0</v>
      </c>
      <c r="X269" s="507">
        <f>Port[[#This Row],[EAD (CNY)]]*Port[[#This Row],[CNY -&gt; FCY]]</f>
        <v>127472.88</v>
      </c>
      <c r="Y269" s="507">
        <f>Port[[#This Row],[EAD_Interest (CNY)]]*Port[[#This Row],[CNY -&gt; FCY]]</f>
        <v>44.62</v>
      </c>
      <c r="Z269" s="507">
        <f>Port[[#This Row],[ECL_Drawn (CNY)]]*Port[[#This Row],[CNY -&gt; FCY]]</f>
        <v>104.2075552031954</v>
      </c>
      <c r="AA269" s="507">
        <f>Port[[#This Row],[ECL_Undrawn (CNY)]]*Port[[#This Row],[CNY -&gt; FCY]]</f>
        <v>0</v>
      </c>
      <c r="AB269" s="507">
        <f>Port[[#This Row],[ECL (CNY)]]*Port[[#This Row],[CNY -&gt; FCY]]</f>
        <v>104.2075552031954</v>
      </c>
      <c r="AC269" s="507">
        <f>Port[[#This Row],[ECL_Interest (CNY)]]*Port[[#This Row],[CNY -&gt; FCY]]</f>
        <v>3.6476316477407421E-2</v>
      </c>
      <c r="AD269" s="507">
        <f>Port[[#This Row],[EAD_Drawn (CNY)]]*Port[[#This Row],[CNY -&gt; THB]]</f>
        <v>669079.65254400007</v>
      </c>
      <c r="AE269" s="507">
        <f>Port[[#This Row],[EAD_Undrawn (CNY)]]*Port[[#This Row],[CNY -&gt; THB]]</f>
        <v>0</v>
      </c>
      <c r="AF269" s="507">
        <f>Port[[#This Row],[EAD (CNY)]]*Port[[#This Row],[CNY -&gt; THB]]</f>
        <v>669079.65254400007</v>
      </c>
      <c r="AG269" s="507">
        <f>Port[[#This Row],[EAD_Interest (CNY)]]*Port[[#This Row],[CNY -&gt; THB]]</f>
        <v>234.20145599999998</v>
      </c>
      <c r="AH269" s="507">
        <f>Port[[#This Row],[ECL_Drawn (CNY)]]*Port[[#This Row],[CNY -&gt; THB]]</f>
        <v>546.96461575053206</v>
      </c>
      <c r="AI269" s="507">
        <f>Port[[#This Row],[ECL_Undrawn (CNY)]]*Port[[#This Row],[CNY -&gt; THB]]</f>
        <v>0</v>
      </c>
      <c r="AJ269" s="507">
        <f>Port[[#This Row],[ECL (CNY)]]*Port[[#This Row],[CNY -&gt; THB]]</f>
        <v>546.96461575053206</v>
      </c>
      <c r="AK269" s="507">
        <f>Port[[#This Row],[ECL_Interest (CNY)]]*Port[[#This Row],[CNY -&gt; THB]]</f>
        <v>0.19145688992661608</v>
      </c>
      <c r="AL269" s="507">
        <f>Port[[#This Row],[EAD (THB)]]*Port[[#This Row],[PD_avg]]</f>
        <v>607.73846194503562</v>
      </c>
      <c r="AM269" s="507">
        <f>Port[[#This Row],[EAD_Interest (THB)]]*Port[[#This Row],[PD_avg]]</f>
        <v>0.21272987769624008</v>
      </c>
      <c r="AN269" s="507">
        <f>Port[[#This Row],[EAD (THB)]]*Port[[#This Row],[LGD_avg]]</f>
        <v>602171.68728960003</v>
      </c>
      <c r="AO269" s="507">
        <f>Port[[#This Row],[EAD_Interest (THB)]]*Port[[#This Row],[LGD_avg]]</f>
        <v>210.78131039999997</v>
      </c>
      <c r="AP269" s="507">
        <f>Port[[#This Row],[EAD_Drawn (THB)]]+Port[[#This Row],[EAD_Interest (THB)]]</f>
        <v>669313.85400000005</v>
      </c>
      <c r="AQ26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547.15607264045866</v>
      </c>
      <c r="AR269" s="522">
        <f>MAX(Port[[#This Row],[ECL (THB)]]+Port[[#This Row],[ECL_Interest (THB)]], Port[[#This Row],[ECL CBIRC (THB)]])</f>
        <v>547.15607264045866</v>
      </c>
    </row>
    <row r="270" spans="1:44">
      <c r="A270" s="2" t="s">
        <v>235</v>
      </c>
      <c r="B270" s="2" t="s">
        <v>236</v>
      </c>
      <c r="C270" s="2" t="s">
        <v>219</v>
      </c>
      <c r="D270" s="2" t="s">
        <v>25</v>
      </c>
      <c r="E270" s="2" t="s">
        <v>172</v>
      </c>
      <c r="F270" s="2" t="s">
        <v>173</v>
      </c>
      <c r="G270" s="2" t="s">
        <v>170</v>
      </c>
      <c r="H270">
        <v>1</v>
      </c>
      <c r="I270" s="2" t="s">
        <v>526</v>
      </c>
      <c r="J270" s="505">
        <v>9.0832004774658653E-4</v>
      </c>
      <c r="K270" s="505">
        <v>0.89999999999999991</v>
      </c>
      <c r="L270" s="3">
        <v>5.2308000000000003</v>
      </c>
      <c r="M270" s="3">
        <v>5.2488000000000001</v>
      </c>
      <c r="N270" s="507">
        <v>1898342.6154549613</v>
      </c>
      <c r="O270" s="507">
        <v>0</v>
      </c>
      <c r="P270" s="507">
        <v>1898342.6154549613</v>
      </c>
      <c r="Q270" s="507">
        <v>0</v>
      </c>
      <c r="R270" s="507">
        <v>1551.8723895984872</v>
      </c>
      <c r="S270" s="507">
        <v>0</v>
      </c>
      <c r="T270" s="507">
        <v>1551.8723895984872</v>
      </c>
      <c r="U270" s="507">
        <v>0</v>
      </c>
      <c r="V270" s="507">
        <f>Port[[#This Row],[EAD_Drawn (CNY)]]*Port[[#This Row],[CNY -&gt; FCY]]</f>
        <v>9929850.552921813</v>
      </c>
      <c r="W270" s="507">
        <f>Port[[#This Row],[EAD_Undrawn (CNY)]]*Port[[#This Row],[CNY -&gt; FCY]]</f>
        <v>0</v>
      </c>
      <c r="X270" s="507">
        <f>Port[[#This Row],[EAD (CNY)]]*Port[[#This Row],[CNY -&gt; FCY]]</f>
        <v>9929850.552921813</v>
      </c>
      <c r="Y270" s="507">
        <f>Port[[#This Row],[EAD_Interest (CNY)]]*Port[[#This Row],[CNY -&gt; FCY]]</f>
        <v>0</v>
      </c>
      <c r="Z270" s="507">
        <f>Port[[#This Row],[ECL_Drawn (CNY)]]*Port[[#This Row],[CNY -&gt; FCY]]</f>
        <v>8117.5340955117672</v>
      </c>
      <c r="AA270" s="507">
        <f>Port[[#This Row],[ECL_Undrawn (CNY)]]*Port[[#This Row],[CNY -&gt; FCY]]</f>
        <v>0</v>
      </c>
      <c r="AB270" s="507">
        <f>Port[[#This Row],[ECL (CNY)]]*Port[[#This Row],[CNY -&gt; FCY]]</f>
        <v>8117.5340955117672</v>
      </c>
      <c r="AC270" s="507">
        <f>Port[[#This Row],[ECL_Interest (CNY)]]*Port[[#This Row],[CNY -&gt; FCY]]</f>
        <v>0</v>
      </c>
      <c r="AD270" s="507">
        <f>Port[[#This Row],[EAD_Drawn (CNY)]]*Port[[#This Row],[CNY -&gt; THB]]</f>
        <v>9964020.7200000007</v>
      </c>
      <c r="AE270" s="507">
        <f>Port[[#This Row],[EAD_Undrawn (CNY)]]*Port[[#This Row],[CNY -&gt; THB]]</f>
        <v>0</v>
      </c>
      <c r="AF270" s="507">
        <f>Port[[#This Row],[EAD (CNY)]]*Port[[#This Row],[CNY -&gt; THB]]</f>
        <v>9964020.7200000007</v>
      </c>
      <c r="AG270" s="507">
        <f>Port[[#This Row],[EAD_Interest (CNY)]]*Port[[#This Row],[CNY -&gt; THB]]</f>
        <v>0</v>
      </c>
      <c r="AH270" s="507">
        <f>Port[[#This Row],[ECL_Drawn (CNY)]]*Port[[#This Row],[CNY -&gt; THB]]</f>
        <v>8145.4677985245398</v>
      </c>
      <c r="AI270" s="507">
        <f>Port[[#This Row],[ECL_Undrawn (CNY)]]*Port[[#This Row],[CNY -&gt; THB]]</f>
        <v>0</v>
      </c>
      <c r="AJ270" s="507">
        <f>Port[[#This Row],[ECL (CNY)]]*Port[[#This Row],[CNY -&gt; THB]]</f>
        <v>8145.4677985245398</v>
      </c>
      <c r="AK270" s="507">
        <f>Port[[#This Row],[ECL_Interest (CNY)]]*Port[[#This Row],[CNY -&gt; THB]]</f>
        <v>0</v>
      </c>
      <c r="AL270" s="507">
        <f>Port[[#This Row],[EAD (THB)]]*Port[[#This Row],[PD_avg]]</f>
        <v>9050.5197761383788</v>
      </c>
      <c r="AM270" s="507">
        <f>Port[[#This Row],[EAD_Interest (THB)]]*Port[[#This Row],[PD_avg]]</f>
        <v>0</v>
      </c>
      <c r="AN270" s="507">
        <f>Port[[#This Row],[EAD (THB)]]*Port[[#This Row],[LGD_avg]]</f>
        <v>8967618.648</v>
      </c>
      <c r="AO270" s="507">
        <f>Port[[#This Row],[EAD_Interest (THB)]]*Port[[#This Row],[LGD_avg]]</f>
        <v>0</v>
      </c>
      <c r="AP270" s="507">
        <f>Port[[#This Row],[EAD_Drawn (THB)]]+Port[[#This Row],[EAD_Interest (THB)]]</f>
        <v>9964020.7200000007</v>
      </c>
      <c r="AQ27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8145.4677985245398</v>
      </c>
      <c r="AR270" s="522">
        <f>MAX(Port[[#This Row],[ECL (THB)]]+Port[[#This Row],[ECL_Interest (THB)]], Port[[#This Row],[ECL CBIRC (THB)]])</f>
        <v>8145.4677985245398</v>
      </c>
    </row>
    <row r="271" spans="1:44">
      <c r="A271" s="2" t="s">
        <v>237</v>
      </c>
      <c r="B271" s="2" t="s">
        <v>236</v>
      </c>
      <c r="C271" s="2" t="s">
        <v>219</v>
      </c>
      <c r="D271" s="2" t="s">
        <v>25</v>
      </c>
      <c r="E271" s="2" t="s">
        <v>172</v>
      </c>
      <c r="F271" s="2" t="s">
        <v>173</v>
      </c>
      <c r="G271" s="2" t="s">
        <v>57</v>
      </c>
      <c r="H271">
        <v>1</v>
      </c>
      <c r="I271" s="2" t="s">
        <v>526</v>
      </c>
      <c r="J271" s="505">
        <v>9.0832004774658653E-4</v>
      </c>
      <c r="K271" s="505">
        <v>0.9</v>
      </c>
      <c r="L271" s="3">
        <v>0.15684552284455039</v>
      </c>
      <c r="M271" s="3">
        <v>5.2488000000000001</v>
      </c>
      <c r="N271" s="507">
        <v>858456.90177800006</v>
      </c>
      <c r="O271" s="507">
        <v>0</v>
      </c>
      <c r="P271" s="507">
        <v>858456.90177800006</v>
      </c>
      <c r="Q271" s="507">
        <v>0</v>
      </c>
      <c r="R271" s="507">
        <v>701.77825261024179</v>
      </c>
      <c r="S271" s="507">
        <v>0</v>
      </c>
      <c r="T271" s="507">
        <v>701.77825261024179</v>
      </c>
      <c r="U271" s="507">
        <v>0</v>
      </c>
      <c r="V271" s="507">
        <f>Port[[#This Row],[EAD_Drawn (CNY)]]*Port[[#This Row],[CNY -&gt; FCY]]</f>
        <v>134645.12159888327</v>
      </c>
      <c r="W271" s="507">
        <f>Port[[#This Row],[EAD_Undrawn (CNY)]]*Port[[#This Row],[CNY -&gt; FCY]]</f>
        <v>0</v>
      </c>
      <c r="X271" s="507">
        <f>Port[[#This Row],[EAD (CNY)]]*Port[[#This Row],[CNY -&gt; FCY]]</f>
        <v>134645.12159888327</v>
      </c>
      <c r="Y271" s="507">
        <f>Port[[#This Row],[EAD_Interest (CNY)]]*Port[[#This Row],[CNY -&gt; FCY]]</f>
        <v>0</v>
      </c>
      <c r="Z271" s="507">
        <f>Port[[#This Row],[ECL_Drawn (CNY)]]*Port[[#This Row],[CNY -&gt; FCY]]</f>
        <v>110.07077695158833</v>
      </c>
      <c r="AA271" s="507">
        <f>Port[[#This Row],[ECL_Undrawn (CNY)]]*Port[[#This Row],[CNY -&gt; FCY]]</f>
        <v>0</v>
      </c>
      <c r="AB271" s="507">
        <f>Port[[#This Row],[ECL (CNY)]]*Port[[#This Row],[CNY -&gt; FCY]]</f>
        <v>110.07077695158833</v>
      </c>
      <c r="AC271" s="507">
        <f>Port[[#This Row],[ECL_Interest (CNY)]]*Port[[#This Row],[CNY -&gt; FCY]]</f>
        <v>0</v>
      </c>
      <c r="AD271" s="507">
        <f>Port[[#This Row],[EAD_Drawn (CNY)]]*Port[[#This Row],[CNY -&gt; THB]]</f>
        <v>4505868.5860523665</v>
      </c>
      <c r="AE271" s="507">
        <f>Port[[#This Row],[EAD_Undrawn (CNY)]]*Port[[#This Row],[CNY -&gt; THB]]</f>
        <v>0</v>
      </c>
      <c r="AF271" s="507">
        <f>Port[[#This Row],[EAD (CNY)]]*Port[[#This Row],[CNY -&gt; THB]]</f>
        <v>4505868.5860523665</v>
      </c>
      <c r="AG271" s="507">
        <f>Port[[#This Row],[EAD_Interest (CNY)]]*Port[[#This Row],[CNY -&gt; THB]]</f>
        <v>0</v>
      </c>
      <c r="AH271" s="507">
        <f>Port[[#This Row],[ECL_Drawn (CNY)]]*Port[[#This Row],[CNY -&gt; THB]]</f>
        <v>3683.4936923006371</v>
      </c>
      <c r="AI271" s="507">
        <f>Port[[#This Row],[ECL_Undrawn (CNY)]]*Port[[#This Row],[CNY -&gt; THB]]</f>
        <v>0</v>
      </c>
      <c r="AJ271" s="507">
        <f>Port[[#This Row],[ECL (CNY)]]*Port[[#This Row],[CNY -&gt; THB]]</f>
        <v>3683.4936923006371</v>
      </c>
      <c r="AK271" s="507">
        <f>Port[[#This Row],[ECL_Interest (CNY)]]*Port[[#This Row],[CNY -&gt; THB]]</f>
        <v>0</v>
      </c>
      <c r="AL271" s="507">
        <f>Port[[#This Row],[EAD (THB)]]*Port[[#This Row],[PD_avg]]</f>
        <v>4092.7707692229301</v>
      </c>
      <c r="AM271" s="507">
        <f>Port[[#This Row],[EAD_Interest (THB)]]*Port[[#This Row],[PD_avg]]</f>
        <v>0</v>
      </c>
      <c r="AN271" s="507">
        <f>Port[[#This Row],[EAD (THB)]]*Port[[#This Row],[LGD_avg]]</f>
        <v>4055281.7274471298</v>
      </c>
      <c r="AO271" s="507">
        <f>Port[[#This Row],[EAD_Interest (THB)]]*Port[[#This Row],[LGD_avg]]</f>
        <v>0</v>
      </c>
      <c r="AP271" s="507">
        <f>Port[[#This Row],[EAD_Drawn (THB)]]+Port[[#This Row],[EAD_Interest (THB)]]</f>
        <v>4505868.5860523665</v>
      </c>
      <c r="AQ27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3683.4936923006371</v>
      </c>
      <c r="AR271" s="522">
        <f>MAX(Port[[#This Row],[ECL (THB)]]+Port[[#This Row],[ECL_Interest (THB)]], Port[[#This Row],[ECL CBIRC (THB)]])</f>
        <v>3683.4936923006371</v>
      </c>
    </row>
    <row r="272" spans="1:44">
      <c r="A272" s="2" t="s">
        <v>238</v>
      </c>
      <c r="B272" s="2" t="s">
        <v>239</v>
      </c>
      <c r="C272" s="2" t="s">
        <v>219</v>
      </c>
      <c r="D272" s="2" t="s">
        <v>25</v>
      </c>
      <c r="E272" s="2" t="s">
        <v>172</v>
      </c>
      <c r="F272" s="2" t="s">
        <v>173</v>
      </c>
      <c r="G272" s="2" t="s">
        <v>21</v>
      </c>
      <c r="H272">
        <v>1</v>
      </c>
      <c r="I272" s="2" t="s">
        <v>526</v>
      </c>
      <c r="J272" s="505">
        <v>9.0832004774658653E-4</v>
      </c>
      <c r="K272" s="505">
        <v>0.9</v>
      </c>
      <c r="L272" s="3">
        <v>1</v>
      </c>
      <c r="M272" s="3">
        <v>5.2488000000000001</v>
      </c>
      <c r="N272" s="507">
        <v>5587023.9199999999</v>
      </c>
      <c r="O272" s="507">
        <v>0</v>
      </c>
      <c r="P272" s="507">
        <v>5587023.9199999999</v>
      </c>
      <c r="Q272" s="507">
        <v>0</v>
      </c>
      <c r="R272" s="507">
        <v>4567.3252503981494</v>
      </c>
      <c r="S272" s="507">
        <v>0</v>
      </c>
      <c r="T272" s="507">
        <v>4567.3252503981494</v>
      </c>
      <c r="U272" s="507">
        <v>0</v>
      </c>
      <c r="V272" s="507">
        <f>Port[[#This Row],[EAD_Drawn (CNY)]]*Port[[#This Row],[CNY -&gt; FCY]]</f>
        <v>5587023.9199999999</v>
      </c>
      <c r="W272" s="507">
        <f>Port[[#This Row],[EAD_Undrawn (CNY)]]*Port[[#This Row],[CNY -&gt; FCY]]</f>
        <v>0</v>
      </c>
      <c r="X272" s="507">
        <f>Port[[#This Row],[EAD (CNY)]]*Port[[#This Row],[CNY -&gt; FCY]]</f>
        <v>5587023.9199999999</v>
      </c>
      <c r="Y272" s="507">
        <f>Port[[#This Row],[EAD_Interest (CNY)]]*Port[[#This Row],[CNY -&gt; FCY]]</f>
        <v>0</v>
      </c>
      <c r="Z272" s="507">
        <f>Port[[#This Row],[ECL_Drawn (CNY)]]*Port[[#This Row],[CNY -&gt; FCY]]</f>
        <v>4567.3252503981494</v>
      </c>
      <c r="AA272" s="507">
        <f>Port[[#This Row],[ECL_Undrawn (CNY)]]*Port[[#This Row],[CNY -&gt; FCY]]</f>
        <v>0</v>
      </c>
      <c r="AB272" s="507">
        <f>Port[[#This Row],[ECL (CNY)]]*Port[[#This Row],[CNY -&gt; FCY]]</f>
        <v>4567.3252503981494</v>
      </c>
      <c r="AC272" s="507">
        <f>Port[[#This Row],[ECL_Interest (CNY)]]*Port[[#This Row],[CNY -&gt; FCY]]</f>
        <v>0</v>
      </c>
      <c r="AD272" s="507">
        <f>Port[[#This Row],[EAD_Drawn (CNY)]]*Port[[#This Row],[CNY -&gt; THB]]</f>
        <v>29325171.151296001</v>
      </c>
      <c r="AE272" s="507">
        <f>Port[[#This Row],[EAD_Undrawn (CNY)]]*Port[[#This Row],[CNY -&gt; THB]]</f>
        <v>0</v>
      </c>
      <c r="AF272" s="507">
        <f>Port[[#This Row],[EAD (CNY)]]*Port[[#This Row],[CNY -&gt; THB]]</f>
        <v>29325171.151296001</v>
      </c>
      <c r="AG272" s="507">
        <f>Port[[#This Row],[EAD_Interest (CNY)]]*Port[[#This Row],[CNY -&gt; THB]]</f>
        <v>0</v>
      </c>
      <c r="AH272" s="507">
        <f>Port[[#This Row],[ECL_Drawn (CNY)]]*Port[[#This Row],[CNY -&gt; THB]]</f>
        <v>23972.976774289808</v>
      </c>
      <c r="AI272" s="507">
        <f>Port[[#This Row],[ECL_Undrawn (CNY)]]*Port[[#This Row],[CNY -&gt; THB]]</f>
        <v>0</v>
      </c>
      <c r="AJ272" s="507">
        <f>Port[[#This Row],[ECL (CNY)]]*Port[[#This Row],[CNY -&gt; THB]]</f>
        <v>23972.976774289808</v>
      </c>
      <c r="AK272" s="507">
        <f>Port[[#This Row],[ECL_Interest (CNY)]]*Port[[#This Row],[CNY -&gt; THB]]</f>
        <v>0</v>
      </c>
      <c r="AL272" s="507">
        <f>Port[[#This Row],[EAD (THB)]]*Port[[#This Row],[PD_avg]]</f>
        <v>26636.640860322004</v>
      </c>
      <c r="AM272" s="507">
        <f>Port[[#This Row],[EAD_Interest (THB)]]*Port[[#This Row],[PD_avg]]</f>
        <v>0</v>
      </c>
      <c r="AN272" s="507">
        <f>Port[[#This Row],[EAD (THB)]]*Port[[#This Row],[LGD_avg]]</f>
        <v>26392654.0361664</v>
      </c>
      <c r="AO272" s="507">
        <f>Port[[#This Row],[EAD_Interest (THB)]]*Port[[#This Row],[LGD_avg]]</f>
        <v>0</v>
      </c>
      <c r="AP272" s="507">
        <f>Port[[#This Row],[EAD_Drawn (THB)]]+Port[[#This Row],[EAD_Interest (THB)]]</f>
        <v>29325171.151296001</v>
      </c>
      <c r="AQ27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23972.976774289808</v>
      </c>
      <c r="AR272" s="522">
        <f>MAX(Port[[#This Row],[ECL (THB)]]+Port[[#This Row],[ECL_Interest (THB)]], Port[[#This Row],[ECL CBIRC (THB)]])</f>
        <v>23972.976774289808</v>
      </c>
    </row>
    <row r="273" spans="1:44">
      <c r="A273" s="2" t="s">
        <v>240</v>
      </c>
      <c r="B273" s="2" t="s">
        <v>241</v>
      </c>
      <c r="C273" s="2" t="s">
        <v>219</v>
      </c>
      <c r="D273" s="2" t="s">
        <v>25</v>
      </c>
      <c r="E273" s="2" t="s">
        <v>172</v>
      </c>
      <c r="F273" s="2" t="s">
        <v>173</v>
      </c>
      <c r="G273" s="2" t="s">
        <v>21</v>
      </c>
      <c r="H273">
        <v>1</v>
      </c>
      <c r="I273" s="2" t="s">
        <v>526</v>
      </c>
      <c r="J273" s="505">
        <v>9.0832004774658653E-4</v>
      </c>
      <c r="K273" s="505">
        <v>0.9</v>
      </c>
      <c r="L273" s="3">
        <v>1</v>
      </c>
      <c r="M273" s="3">
        <v>5.2488000000000001</v>
      </c>
      <c r="N273" s="507">
        <v>189523680.18000001</v>
      </c>
      <c r="O273" s="507">
        <v>0</v>
      </c>
      <c r="P273" s="507">
        <v>189523680.18000001</v>
      </c>
      <c r="Q273" s="507">
        <v>38296.74</v>
      </c>
      <c r="R273" s="507">
        <v>154933.34240718576</v>
      </c>
      <c r="S273" s="507">
        <v>0</v>
      </c>
      <c r="T273" s="507">
        <v>154933.34240718576</v>
      </c>
      <c r="U273" s="507">
        <v>31.307127034804743</v>
      </c>
      <c r="V273" s="507">
        <f>Port[[#This Row],[EAD_Drawn (CNY)]]*Port[[#This Row],[CNY -&gt; FCY]]</f>
        <v>189523680.18000001</v>
      </c>
      <c r="W273" s="507">
        <f>Port[[#This Row],[EAD_Undrawn (CNY)]]*Port[[#This Row],[CNY -&gt; FCY]]</f>
        <v>0</v>
      </c>
      <c r="X273" s="507">
        <f>Port[[#This Row],[EAD (CNY)]]*Port[[#This Row],[CNY -&gt; FCY]]</f>
        <v>189523680.18000001</v>
      </c>
      <c r="Y273" s="507">
        <f>Port[[#This Row],[EAD_Interest (CNY)]]*Port[[#This Row],[CNY -&gt; FCY]]</f>
        <v>38296.74</v>
      </c>
      <c r="Z273" s="507">
        <f>Port[[#This Row],[ECL_Drawn (CNY)]]*Port[[#This Row],[CNY -&gt; FCY]]</f>
        <v>154933.34240718576</v>
      </c>
      <c r="AA273" s="507">
        <f>Port[[#This Row],[ECL_Undrawn (CNY)]]*Port[[#This Row],[CNY -&gt; FCY]]</f>
        <v>0</v>
      </c>
      <c r="AB273" s="507">
        <f>Port[[#This Row],[ECL (CNY)]]*Port[[#This Row],[CNY -&gt; FCY]]</f>
        <v>154933.34240718576</v>
      </c>
      <c r="AC273" s="507">
        <f>Port[[#This Row],[ECL_Interest (CNY)]]*Port[[#This Row],[CNY -&gt; FCY]]</f>
        <v>31.307127034804743</v>
      </c>
      <c r="AD273" s="507">
        <f>Port[[#This Row],[EAD_Drawn (CNY)]]*Port[[#This Row],[CNY -&gt; THB]]</f>
        <v>994771892.52878404</v>
      </c>
      <c r="AE273" s="507">
        <f>Port[[#This Row],[EAD_Undrawn (CNY)]]*Port[[#This Row],[CNY -&gt; THB]]</f>
        <v>0</v>
      </c>
      <c r="AF273" s="507">
        <f>Port[[#This Row],[EAD (CNY)]]*Port[[#This Row],[CNY -&gt; THB]]</f>
        <v>994771892.52878404</v>
      </c>
      <c r="AG273" s="507">
        <f>Port[[#This Row],[EAD_Interest (CNY)]]*Port[[#This Row],[CNY -&gt; THB]]</f>
        <v>201011.928912</v>
      </c>
      <c r="AH273" s="507">
        <f>Port[[#This Row],[ECL_Drawn (CNY)]]*Port[[#This Row],[CNY -&gt; THB]]</f>
        <v>813214.12762683665</v>
      </c>
      <c r="AI273" s="507">
        <f>Port[[#This Row],[ECL_Undrawn (CNY)]]*Port[[#This Row],[CNY -&gt; THB]]</f>
        <v>0</v>
      </c>
      <c r="AJ273" s="507">
        <f>Port[[#This Row],[ECL (CNY)]]*Port[[#This Row],[CNY -&gt; THB]]</f>
        <v>813214.12762683665</v>
      </c>
      <c r="AK273" s="507">
        <f>Port[[#This Row],[ECL_Interest (CNY)]]*Port[[#This Row],[CNY -&gt; THB]]</f>
        <v>164.32484838028313</v>
      </c>
      <c r="AL273" s="507">
        <f>Port[[#This Row],[EAD (THB)]]*Port[[#This Row],[PD_avg]]</f>
        <v>903571.25291870732</v>
      </c>
      <c r="AM273" s="507">
        <f>Port[[#This Row],[EAD_Interest (THB)]]*Port[[#This Row],[PD_avg]]</f>
        <v>182.58316486698129</v>
      </c>
      <c r="AN273" s="507">
        <f>Port[[#This Row],[EAD (THB)]]*Port[[#This Row],[LGD_avg]]</f>
        <v>895294703.27590561</v>
      </c>
      <c r="AO273" s="507">
        <f>Port[[#This Row],[EAD_Interest (THB)]]*Port[[#This Row],[LGD_avg]]</f>
        <v>180910.73602080002</v>
      </c>
      <c r="AP273" s="507">
        <f>Port[[#This Row],[EAD_Drawn (THB)]]+Port[[#This Row],[EAD_Interest (THB)]]</f>
        <v>994972904.45769608</v>
      </c>
      <c r="AQ27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813378.45247521694</v>
      </c>
      <c r="AR273" s="522">
        <f>MAX(Port[[#This Row],[ECL (THB)]]+Port[[#This Row],[ECL_Interest (THB)]], Port[[#This Row],[ECL CBIRC (THB)]])</f>
        <v>813378.45247521694</v>
      </c>
    </row>
    <row r="274" spans="1:44">
      <c r="A274" s="2" t="s">
        <v>242</v>
      </c>
      <c r="B274" s="2" t="s">
        <v>241</v>
      </c>
      <c r="C274" s="2" t="s">
        <v>219</v>
      </c>
      <c r="D274" s="2" t="s">
        <v>25</v>
      </c>
      <c r="E274" s="2" t="s">
        <v>172</v>
      </c>
      <c r="F274" s="2" t="s">
        <v>173</v>
      </c>
      <c r="G274" s="2" t="s">
        <v>164</v>
      </c>
      <c r="H274">
        <v>1</v>
      </c>
      <c r="I274" s="2" t="s">
        <v>526</v>
      </c>
      <c r="J274" s="505">
        <v>9.0832004774658653E-4</v>
      </c>
      <c r="K274" s="505">
        <v>0.89999999999999991</v>
      </c>
      <c r="L274" s="3">
        <v>1.2230919765166341</v>
      </c>
      <c r="M274" s="3">
        <v>5.2488000000000001</v>
      </c>
      <c r="N274" s="507">
        <v>171522.9819974</v>
      </c>
      <c r="O274" s="507">
        <v>0</v>
      </c>
      <c r="P274" s="507">
        <v>171522.9819974</v>
      </c>
      <c r="Q274" s="507">
        <v>0.16331800000000002</v>
      </c>
      <c r="R274" s="507">
        <v>140.21798687776374</v>
      </c>
      <c r="S274" s="507">
        <v>0</v>
      </c>
      <c r="T274" s="507">
        <v>140.21798687776374</v>
      </c>
      <c r="U274" s="507">
        <v>1.3351051220208932E-4</v>
      </c>
      <c r="V274" s="507">
        <f>Port[[#This Row],[EAD_Drawn (CNY)]]*Port[[#This Row],[CNY -&gt; FCY]]</f>
        <v>209788.38306922701</v>
      </c>
      <c r="W274" s="507">
        <f>Port[[#This Row],[EAD_Undrawn (CNY)]]*Port[[#This Row],[CNY -&gt; FCY]]</f>
        <v>0</v>
      </c>
      <c r="X274" s="507">
        <f>Port[[#This Row],[EAD (CNY)]]*Port[[#This Row],[CNY -&gt; FCY]]</f>
        <v>209788.38306922701</v>
      </c>
      <c r="Y274" s="507">
        <f>Port[[#This Row],[EAD_Interest (CNY)]]*Port[[#This Row],[CNY -&gt; FCY]]</f>
        <v>0.19975293542074368</v>
      </c>
      <c r="Z274" s="507">
        <f>Port[[#This Row],[ECL_Drawn (CNY)]]*Port[[#This Row],[CNY -&gt; FCY]]</f>
        <v>171.49949471350752</v>
      </c>
      <c r="AA274" s="507">
        <f>Port[[#This Row],[ECL_Undrawn (CNY)]]*Port[[#This Row],[CNY -&gt; FCY]]</f>
        <v>0</v>
      </c>
      <c r="AB274" s="507">
        <f>Port[[#This Row],[ECL (CNY)]]*Port[[#This Row],[CNY -&gt; FCY]]</f>
        <v>171.49949471350752</v>
      </c>
      <c r="AC274" s="507">
        <f>Port[[#This Row],[ECL_Interest (CNY)]]*Port[[#This Row],[CNY -&gt; FCY]]</f>
        <v>1.6329563625500163E-4</v>
      </c>
      <c r="AD274" s="507">
        <f>Port[[#This Row],[EAD_Drawn (CNY)]]*Port[[#This Row],[CNY -&gt; THB]]</f>
        <v>900289.82790795318</v>
      </c>
      <c r="AE274" s="507">
        <f>Port[[#This Row],[EAD_Undrawn (CNY)]]*Port[[#This Row],[CNY -&gt; THB]]</f>
        <v>0</v>
      </c>
      <c r="AF274" s="507">
        <f>Port[[#This Row],[EAD (CNY)]]*Port[[#This Row],[CNY -&gt; THB]]</f>
        <v>900289.82790795318</v>
      </c>
      <c r="AG274" s="507">
        <f>Port[[#This Row],[EAD_Interest (CNY)]]*Port[[#This Row],[CNY -&gt; THB]]</f>
        <v>0.85722351840000011</v>
      </c>
      <c r="AH274" s="507">
        <f>Port[[#This Row],[ECL_Drawn (CNY)]]*Port[[#This Row],[CNY -&gt; THB]]</f>
        <v>735.97616952400631</v>
      </c>
      <c r="AI274" s="507">
        <f>Port[[#This Row],[ECL_Undrawn (CNY)]]*Port[[#This Row],[CNY -&gt; THB]]</f>
        <v>0</v>
      </c>
      <c r="AJ274" s="507">
        <f>Port[[#This Row],[ECL (CNY)]]*Port[[#This Row],[CNY -&gt; THB]]</f>
        <v>735.97616952400631</v>
      </c>
      <c r="AK274" s="507">
        <f>Port[[#This Row],[ECL_Interest (CNY)]]*Port[[#This Row],[CNY -&gt; THB]]</f>
        <v>7.0076997644632642E-4</v>
      </c>
      <c r="AL274" s="507">
        <f>Port[[#This Row],[EAD (THB)]]*Port[[#This Row],[PD_avg]]</f>
        <v>817.75129947111816</v>
      </c>
      <c r="AM274" s="507">
        <f>Port[[#This Row],[EAD_Interest (THB)]]*Port[[#This Row],[PD_avg]]</f>
        <v>7.7863330716258501E-4</v>
      </c>
      <c r="AN274" s="507">
        <f>Port[[#This Row],[EAD (THB)]]*Port[[#This Row],[LGD_avg]]</f>
        <v>810260.84511715779</v>
      </c>
      <c r="AO274" s="507">
        <f>Port[[#This Row],[EAD_Interest (THB)]]*Port[[#This Row],[LGD_avg]]</f>
        <v>0.77150116656000001</v>
      </c>
      <c r="AP274" s="507">
        <f>Port[[#This Row],[EAD_Drawn (THB)]]+Port[[#This Row],[EAD_Interest (THB)]]</f>
        <v>900290.6851314716</v>
      </c>
      <c r="AQ27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735.97687029398276</v>
      </c>
      <c r="AR274" s="522">
        <f>MAX(Port[[#This Row],[ECL (THB)]]+Port[[#This Row],[ECL_Interest (THB)]], Port[[#This Row],[ECL CBIRC (THB)]])</f>
        <v>735.97687029398276</v>
      </c>
    </row>
    <row r="275" spans="1:44">
      <c r="A275" s="2" t="s">
        <v>243</v>
      </c>
      <c r="B275" s="2" t="s">
        <v>244</v>
      </c>
      <c r="C275" s="2" t="s">
        <v>219</v>
      </c>
      <c r="D275" s="2" t="s">
        <v>25</v>
      </c>
      <c r="E275" s="2" t="s">
        <v>172</v>
      </c>
      <c r="F275" s="2" t="s">
        <v>173</v>
      </c>
      <c r="G275" s="2" t="s">
        <v>21</v>
      </c>
      <c r="H275">
        <v>1</v>
      </c>
      <c r="I275" s="2" t="s">
        <v>526</v>
      </c>
      <c r="J275" s="505">
        <v>9.0832004774658653E-4</v>
      </c>
      <c r="K275" s="505">
        <v>0.90000000000000013</v>
      </c>
      <c r="L275" s="3">
        <v>1</v>
      </c>
      <c r="M275" s="3">
        <v>5.2488000000000001</v>
      </c>
      <c r="N275" s="507">
        <v>4617.91</v>
      </c>
      <c r="O275" s="507">
        <v>0</v>
      </c>
      <c r="P275" s="507">
        <v>4617.91</v>
      </c>
      <c r="Q275" s="507">
        <v>0.63</v>
      </c>
      <c r="R275" s="507">
        <v>3.7750862085204959</v>
      </c>
      <c r="S275" s="507">
        <v>0</v>
      </c>
      <c r="T275" s="507">
        <v>3.7750862085204959</v>
      </c>
      <c r="U275" s="507">
        <v>5.1501746707231452E-4</v>
      </c>
      <c r="V275" s="507">
        <f>Port[[#This Row],[EAD_Drawn (CNY)]]*Port[[#This Row],[CNY -&gt; FCY]]</f>
        <v>4617.91</v>
      </c>
      <c r="W275" s="507">
        <f>Port[[#This Row],[EAD_Undrawn (CNY)]]*Port[[#This Row],[CNY -&gt; FCY]]</f>
        <v>0</v>
      </c>
      <c r="X275" s="507">
        <f>Port[[#This Row],[EAD (CNY)]]*Port[[#This Row],[CNY -&gt; FCY]]</f>
        <v>4617.91</v>
      </c>
      <c r="Y275" s="507">
        <f>Port[[#This Row],[EAD_Interest (CNY)]]*Port[[#This Row],[CNY -&gt; FCY]]</f>
        <v>0.63</v>
      </c>
      <c r="Z275" s="507">
        <f>Port[[#This Row],[ECL_Drawn (CNY)]]*Port[[#This Row],[CNY -&gt; FCY]]</f>
        <v>3.7750862085204959</v>
      </c>
      <c r="AA275" s="507">
        <f>Port[[#This Row],[ECL_Undrawn (CNY)]]*Port[[#This Row],[CNY -&gt; FCY]]</f>
        <v>0</v>
      </c>
      <c r="AB275" s="507">
        <f>Port[[#This Row],[ECL (CNY)]]*Port[[#This Row],[CNY -&gt; FCY]]</f>
        <v>3.7750862085204959</v>
      </c>
      <c r="AC275" s="507">
        <f>Port[[#This Row],[ECL_Interest (CNY)]]*Port[[#This Row],[CNY -&gt; FCY]]</f>
        <v>5.1501746707231452E-4</v>
      </c>
      <c r="AD275" s="507">
        <f>Port[[#This Row],[EAD_Drawn (CNY)]]*Port[[#This Row],[CNY -&gt; THB]]</f>
        <v>24238.486008</v>
      </c>
      <c r="AE275" s="507">
        <f>Port[[#This Row],[EAD_Undrawn (CNY)]]*Port[[#This Row],[CNY -&gt; THB]]</f>
        <v>0</v>
      </c>
      <c r="AF275" s="507">
        <f>Port[[#This Row],[EAD (CNY)]]*Port[[#This Row],[CNY -&gt; THB]]</f>
        <v>24238.486008</v>
      </c>
      <c r="AG275" s="507">
        <f>Port[[#This Row],[EAD_Interest (CNY)]]*Port[[#This Row],[CNY -&gt; THB]]</f>
        <v>3.3067440000000001</v>
      </c>
      <c r="AH275" s="507">
        <f>Port[[#This Row],[ECL_Drawn (CNY)]]*Port[[#This Row],[CNY -&gt; THB]]</f>
        <v>19.81467249128238</v>
      </c>
      <c r="AI275" s="507">
        <f>Port[[#This Row],[ECL_Undrawn (CNY)]]*Port[[#This Row],[CNY -&gt; THB]]</f>
        <v>0</v>
      </c>
      <c r="AJ275" s="507">
        <f>Port[[#This Row],[ECL (CNY)]]*Port[[#This Row],[CNY -&gt; THB]]</f>
        <v>19.81467249128238</v>
      </c>
      <c r="AK275" s="507">
        <f>Port[[#This Row],[ECL_Interest (CNY)]]*Port[[#This Row],[CNY -&gt; THB]]</f>
        <v>2.7032236811691647E-3</v>
      </c>
      <c r="AL275" s="507">
        <f>Port[[#This Row],[EAD (THB)]]*Port[[#This Row],[PD_avg]]</f>
        <v>22.016302768091528</v>
      </c>
      <c r="AM275" s="507">
        <f>Port[[#This Row],[EAD_Interest (THB)]]*Port[[#This Row],[PD_avg]]</f>
        <v>3.0035818679657387E-3</v>
      </c>
      <c r="AN275" s="507">
        <f>Port[[#This Row],[EAD (THB)]]*Port[[#This Row],[LGD_avg]]</f>
        <v>21814.637407200004</v>
      </c>
      <c r="AO275" s="507">
        <f>Port[[#This Row],[EAD_Interest (THB)]]*Port[[#This Row],[LGD_avg]]</f>
        <v>2.9760696000000006</v>
      </c>
      <c r="AP275" s="507">
        <f>Port[[#This Row],[EAD_Drawn (THB)]]+Port[[#This Row],[EAD_Interest (THB)]]</f>
        <v>24241.792752000001</v>
      </c>
      <c r="AQ27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19.81737571496355</v>
      </c>
      <c r="AR275" s="522">
        <f>MAX(Port[[#This Row],[ECL (THB)]]+Port[[#This Row],[ECL_Interest (THB)]], Port[[#This Row],[ECL CBIRC (THB)]])</f>
        <v>19.81737571496355</v>
      </c>
    </row>
    <row r="276" spans="1:44">
      <c r="A276" s="2" t="s">
        <v>245</v>
      </c>
      <c r="B276" s="2" t="s">
        <v>246</v>
      </c>
      <c r="C276" s="2" t="s">
        <v>219</v>
      </c>
      <c r="D276" s="2" t="s">
        <v>25</v>
      </c>
      <c r="E276" s="2" t="s">
        <v>172</v>
      </c>
      <c r="F276" s="2" t="s">
        <v>173</v>
      </c>
      <c r="G276" s="2" t="s">
        <v>21</v>
      </c>
      <c r="H276">
        <v>1</v>
      </c>
      <c r="I276" s="2" t="s">
        <v>526</v>
      </c>
      <c r="J276" s="505">
        <v>9.0832004774658653E-4</v>
      </c>
      <c r="K276" s="505">
        <v>0.89999999999999991</v>
      </c>
      <c r="L276" s="3">
        <v>1</v>
      </c>
      <c r="M276" s="3">
        <v>5.2488000000000001</v>
      </c>
      <c r="N276" s="507">
        <v>1271102.71</v>
      </c>
      <c r="O276" s="507">
        <v>0</v>
      </c>
      <c r="P276" s="507">
        <v>1271102.71</v>
      </c>
      <c r="Q276" s="507">
        <v>86.5</v>
      </c>
      <c r="R276" s="507">
        <v>1039.1112668142139</v>
      </c>
      <c r="S276" s="507">
        <v>0</v>
      </c>
      <c r="T276" s="507">
        <v>1039.1112668142139</v>
      </c>
      <c r="U276" s="507">
        <v>7.0712715717071745E-2</v>
      </c>
      <c r="V276" s="507">
        <f>Port[[#This Row],[EAD_Drawn (CNY)]]*Port[[#This Row],[CNY -&gt; FCY]]</f>
        <v>1271102.71</v>
      </c>
      <c r="W276" s="507">
        <f>Port[[#This Row],[EAD_Undrawn (CNY)]]*Port[[#This Row],[CNY -&gt; FCY]]</f>
        <v>0</v>
      </c>
      <c r="X276" s="507">
        <f>Port[[#This Row],[EAD (CNY)]]*Port[[#This Row],[CNY -&gt; FCY]]</f>
        <v>1271102.71</v>
      </c>
      <c r="Y276" s="507">
        <f>Port[[#This Row],[EAD_Interest (CNY)]]*Port[[#This Row],[CNY -&gt; FCY]]</f>
        <v>86.5</v>
      </c>
      <c r="Z276" s="507">
        <f>Port[[#This Row],[ECL_Drawn (CNY)]]*Port[[#This Row],[CNY -&gt; FCY]]</f>
        <v>1039.1112668142139</v>
      </c>
      <c r="AA276" s="507">
        <f>Port[[#This Row],[ECL_Undrawn (CNY)]]*Port[[#This Row],[CNY -&gt; FCY]]</f>
        <v>0</v>
      </c>
      <c r="AB276" s="507">
        <f>Port[[#This Row],[ECL (CNY)]]*Port[[#This Row],[CNY -&gt; FCY]]</f>
        <v>1039.1112668142139</v>
      </c>
      <c r="AC276" s="507">
        <f>Port[[#This Row],[ECL_Interest (CNY)]]*Port[[#This Row],[CNY -&gt; FCY]]</f>
        <v>7.0712715717071745E-2</v>
      </c>
      <c r="AD276" s="507">
        <f>Port[[#This Row],[EAD_Drawn (CNY)]]*Port[[#This Row],[CNY -&gt; THB]]</f>
        <v>6671763.9042480001</v>
      </c>
      <c r="AE276" s="507">
        <f>Port[[#This Row],[EAD_Undrawn (CNY)]]*Port[[#This Row],[CNY -&gt; THB]]</f>
        <v>0</v>
      </c>
      <c r="AF276" s="507">
        <f>Port[[#This Row],[EAD (CNY)]]*Port[[#This Row],[CNY -&gt; THB]]</f>
        <v>6671763.9042480001</v>
      </c>
      <c r="AG276" s="507">
        <f>Port[[#This Row],[EAD_Interest (CNY)]]*Port[[#This Row],[CNY -&gt; THB]]</f>
        <v>454.02120000000002</v>
      </c>
      <c r="AH276" s="507">
        <f>Port[[#This Row],[ECL_Drawn (CNY)]]*Port[[#This Row],[CNY -&gt; THB]]</f>
        <v>5454.0872172544459</v>
      </c>
      <c r="AI276" s="507">
        <f>Port[[#This Row],[ECL_Undrawn (CNY)]]*Port[[#This Row],[CNY -&gt; THB]]</f>
        <v>0</v>
      </c>
      <c r="AJ276" s="507">
        <f>Port[[#This Row],[ECL (CNY)]]*Port[[#This Row],[CNY -&gt; THB]]</f>
        <v>5454.0872172544459</v>
      </c>
      <c r="AK276" s="507">
        <f>Port[[#This Row],[ECL_Interest (CNY)]]*Port[[#This Row],[CNY -&gt; THB]]</f>
        <v>0.3711569022557662</v>
      </c>
      <c r="AL276" s="507">
        <f>Port[[#This Row],[EAD (THB)]]*Port[[#This Row],[PD_avg]]</f>
        <v>6060.0969080604964</v>
      </c>
      <c r="AM276" s="507">
        <f>Port[[#This Row],[EAD_Interest (THB)]]*Port[[#This Row],[PD_avg]]</f>
        <v>0.41239655806196251</v>
      </c>
      <c r="AN276" s="507">
        <f>Port[[#This Row],[EAD (THB)]]*Port[[#This Row],[LGD_avg]]</f>
        <v>6004587.5138231991</v>
      </c>
      <c r="AO276" s="507">
        <f>Port[[#This Row],[EAD_Interest (THB)]]*Port[[#This Row],[LGD_avg]]</f>
        <v>408.61908</v>
      </c>
      <c r="AP276" s="507">
        <f>Port[[#This Row],[EAD_Drawn (THB)]]+Port[[#This Row],[EAD_Interest (THB)]]</f>
        <v>6672217.9254480004</v>
      </c>
      <c r="AQ27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5454.4583741567021</v>
      </c>
      <c r="AR276" s="522">
        <f>MAX(Port[[#This Row],[ECL (THB)]]+Port[[#This Row],[ECL_Interest (THB)]], Port[[#This Row],[ECL CBIRC (THB)]])</f>
        <v>5454.4583741567021</v>
      </c>
    </row>
    <row r="277" spans="1:44">
      <c r="A277" s="2" t="s">
        <v>247</v>
      </c>
      <c r="B277" s="2" t="s">
        <v>248</v>
      </c>
      <c r="C277" s="2" t="s">
        <v>219</v>
      </c>
      <c r="D277" s="2" t="s">
        <v>25</v>
      </c>
      <c r="E277" s="2" t="s">
        <v>172</v>
      </c>
      <c r="F277" s="2" t="s">
        <v>173</v>
      </c>
      <c r="G277" s="2" t="s">
        <v>21</v>
      </c>
      <c r="H277">
        <v>1</v>
      </c>
      <c r="I277" s="2" t="s">
        <v>526</v>
      </c>
      <c r="J277" s="505">
        <v>9.0832004774658653E-4</v>
      </c>
      <c r="K277" s="505">
        <v>0.90000000000000013</v>
      </c>
      <c r="L277" s="3">
        <v>1</v>
      </c>
      <c r="M277" s="3">
        <v>5.2488000000000001</v>
      </c>
      <c r="N277" s="507">
        <v>142436.73000000001</v>
      </c>
      <c r="O277" s="507">
        <v>0</v>
      </c>
      <c r="P277" s="507">
        <v>142436.73000000001</v>
      </c>
      <c r="Q277" s="507">
        <v>9.66</v>
      </c>
      <c r="R277" s="507">
        <v>116.4403236550209</v>
      </c>
      <c r="S277" s="507">
        <v>0</v>
      </c>
      <c r="T277" s="507">
        <v>116.4403236550209</v>
      </c>
      <c r="U277" s="507">
        <v>7.8969344951088233E-3</v>
      </c>
      <c r="V277" s="507">
        <f>Port[[#This Row],[EAD_Drawn (CNY)]]*Port[[#This Row],[CNY -&gt; FCY]]</f>
        <v>142436.73000000001</v>
      </c>
      <c r="W277" s="507">
        <f>Port[[#This Row],[EAD_Undrawn (CNY)]]*Port[[#This Row],[CNY -&gt; FCY]]</f>
        <v>0</v>
      </c>
      <c r="X277" s="507">
        <f>Port[[#This Row],[EAD (CNY)]]*Port[[#This Row],[CNY -&gt; FCY]]</f>
        <v>142436.73000000001</v>
      </c>
      <c r="Y277" s="507">
        <f>Port[[#This Row],[EAD_Interest (CNY)]]*Port[[#This Row],[CNY -&gt; FCY]]</f>
        <v>9.66</v>
      </c>
      <c r="Z277" s="507">
        <f>Port[[#This Row],[ECL_Drawn (CNY)]]*Port[[#This Row],[CNY -&gt; FCY]]</f>
        <v>116.4403236550209</v>
      </c>
      <c r="AA277" s="507">
        <f>Port[[#This Row],[ECL_Undrawn (CNY)]]*Port[[#This Row],[CNY -&gt; FCY]]</f>
        <v>0</v>
      </c>
      <c r="AB277" s="507">
        <f>Port[[#This Row],[ECL (CNY)]]*Port[[#This Row],[CNY -&gt; FCY]]</f>
        <v>116.4403236550209</v>
      </c>
      <c r="AC277" s="507">
        <f>Port[[#This Row],[ECL_Interest (CNY)]]*Port[[#This Row],[CNY -&gt; FCY]]</f>
        <v>7.8969344951088233E-3</v>
      </c>
      <c r="AD277" s="507">
        <f>Port[[#This Row],[EAD_Drawn (CNY)]]*Port[[#This Row],[CNY -&gt; THB]]</f>
        <v>747621.90842400002</v>
      </c>
      <c r="AE277" s="507">
        <f>Port[[#This Row],[EAD_Undrawn (CNY)]]*Port[[#This Row],[CNY -&gt; THB]]</f>
        <v>0</v>
      </c>
      <c r="AF277" s="507">
        <f>Port[[#This Row],[EAD (CNY)]]*Port[[#This Row],[CNY -&gt; THB]]</f>
        <v>747621.90842400002</v>
      </c>
      <c r="AG277" s="507">
        <f>Port[[#This Row],[EAD_Interest (CNY)]]*Port[[#This Row],[CNY -&gt; THB]]</f>
        <v>50.703408000000003</v>
      </c>
      <c r="AH277" s="507">
        <f>Port[[#This Row],[ECL_Drawn (CNY)]]*Port[[#This Row],[CNY -&gt; THB]]</f>
        <v>611.17197080047379</v>
      </c>
      <c r="AI277" s="507">
        <f>Port[[#This Row],[ECL_Undrawn (CNY)]]*Port[[#This Row],[CNY -&gt; THB]]</f>
        <v>0</v>
      </c>
      <c r="AJ277" s="507">
        <f>Port[[#This Row],[ECL (CNY)]]*Port[[#This Row],[CNY -&gt; THB]]</f>
        <v>611.17197080047379</v>
      </c>
      <c r="AK277" s="507">
        <f>Port[[#This Row],[ECL_Interest (CNY)]]*Port[[#This Row],[CNY -&gt; THB]]</f>
        <v>4.1449429777927191E-2</v>
      </c>
      <c r="AL277" s="507">
        <f>Port[[#This Row],[EAD (THB)]]*Port[[#This Row],[PD_avg]]</f>
        <v>679.0799675560819</v>
      </c>
      <c r="AM277" s="507">
        <f>Port[[#This Row],[EAD_Interest (THB)]]*Port[[#This Row],[PD_avg]]</f>
        <v>4.6054921975474658E-2</v>
      </c>
      <c r="AN277" s="507">
        <f>Port[[#This Row],[EAD (THB)]]*Port[[#This Row],[LGD_avg]]</f>
        <v>672859.71758160007</v>
      </c>
      <c r="AO277" s="507">
        <f>Port[[#This Row],[EAD_Interest (THB)]]*Port[[#This Row],[LGD_avg]]</f>
        <v>45.633067200000006</v>
      </c>
      <c r="AP277" s="507">
        <f>Port[[#This Row],[EAD_Drawn (THB)]]+Port[[#This Row],[EAD_Interest (THB)]]</f>
        <v>747672.61183199997</v>
      </c>
      <c r="AQ27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611.2134202302517</v>
      </c>
      <c r="AR277" s="522">
        <f>MAX(Port[[#This Row],[ECL (THB)]]+Port[[#This Row],[ECL_Interest (THB)]], Port[[#This Row],[ECL CBIRC (THB)]])</f>
        <v>611.2134202302517</v>
      </c>
    </row>
    <row r="278" spans="1:44">
      <c r="A278" s="2" t="s">
        <v>249</v>
      </c>
      <c r="B278" s="2" t="s">
        <v>250</v>
      </c>
      <c r="C278" s="2" t="s">
        <v>219</v>
      </c>
      <c r="D278" s="2" t="s">
        <v>25</v>
      </c>
      <c r="E278" s="2" t="s">
        <v>172</v>
      </c>
      <c r="F278" s="2" t="s">
        <v>173</v>
      </c>
      <c r="G278" s="2" t="s">
        <v>21</v>
      </c>
      <c r="H278">
        <v>1</v>
      </c>
      <c r="I278" s="2" t="s">
        <v>526</v>
      </c>
      <c r="J278" s="505">
        <v>9.0832004774658653E-4</v>
      </c>
      <c r="K278" s="505">
        <v>0.9</v>
      </c>
      <c r="L278" s="3">
        <v>1</v>
      </c>
      <c r="M278" s="3">
        <v>5.2488000000000001</v>
      </c>
      <c r="N278" s="507">
        <v>749189.42</v>
      </c>
      <c r="O278" s="507">
        <v>0</v>
      </c>
      <c r="P278" s="507">
        <v>749189.42</v>
      </c>
      <c r="Q278" s="507">
        <v>56.88</v>
      </c>
      <c r="R278" s="507">
        <v>612.45339277107382</v>
      </c>
      <c r="S278" s="507">
        <v>0</v>
      </c>
      <c r="T278" s="507">
        <v>612.45339277107382</v>
      </c>
      <c r="U278" s="507">
        <v>4.6498719884243256E-2</v>
      </c>
      <c r="V278" s="507">
        <f>Port[[#This Row],[EAD_Drawn (CNY)]]*Port[[#This Row],[CNY -&gt; FCY]]</f>
        <v>749189.42</v>
      </c>
      <c r="W278" s="507">
        <f>Port[[#This Row],[EAD_Undrawn (CNY)]]*Port[[#This Row],[CNY -&gt; FCY]]</f>
        <v>0</v>
      </c>
      <c r="X278" s="507">
        <f>Port[[#This Row],[EAD (CNY)]]*Port[[#This Row],[CNY -&gt; FCY]]</f>
        <v>749189.42</v>
      </c>
      <c r="Y278" s="507">
        <f>Port[[#This Row],[EAD_Interest (CNY)]]*Port[[#This Row],[CNY -&gt; FCY]]</f>
        <v>56.88</v>
      </c>
      <c r="Z278" s="507">
        <f>Port[[#This Row],[ECL_Drawn (CNY)]]*Port[[#This Row],[CNY -&gt; FCY]]</f>
        <v>612.45339277107382</v>
      </c>
      <c r="AA278" s="507">
        <f>Port[[#This Row],[ECL_Undrawn (CNY)]]*Port[[#This Row],[CNY -&gt; FCY]]</f>
        <v>0</v>
      </c>
      <c r="AB278" s="507">
        <f>Port[[#This Row],[ECL (CNY)]]*Port[[#This Row],[CNY -&gt; FCY]]</f>
        <v>612.45339277107382</v>
      </c>
      <c r="AC278" s="507">
        <f>Port[[#This Row],[ECL_Interest (CNY)]]*Port[[#This Row],[CNY -&gt; FCY]]</f>
        <v>4.6498719884243256E-2</v>
      </c>
      <c r="AD278" s="507">
        <f>Port[[#This Row],[EAD_Drawn (CNY)]]*Port[[#This Row],[CNY -&gt; THB]]</f>
        <v>3932345.4276960003</v>
      </c>
      <c r="AE278" s="507">
        <f>Port[[#This Row],[EAD_Undrawn (CNY)]]*Port[[#This Row],[CNY -&gt; THB]]</f>
        <v>0</v>
      </c>
      <c r="AF278" s="507">
        <f>Port[[#This Row],[EAD (CNY)]]*Port[[#This Row],[CNY -&gt; THB]]</f>
        <v>3932345.4276960003</v>
      </c>
      <c r="AG278" s="507">
        <f>Port[[#This Row],[EAD_Interest (CNY)]]*Port[[#This Row],[CNY -&gt; THB]]</f>
        <v>298.55174400000004</v>
      </c>
      <c r="AH278" s="507">
        <f>Port[[#This Row],[ECL_Drawn (CNY)]]*Port[[#This Row],[CNY -&gt; THB]]</f>
        <v>3214.6453679768124</v>
      </c>
      <c r="AI278" s="507">
        <f>Port[[#This Row],[ECL_Undrawn (CNY)]]*Port[[#This Row],[CNY -&gt; THB]]</f>
        <v>0</v>
      </c>
      <c r="AJ278" s="507">
        <f>Port[[#This Row],[ECL (CNY)]]*Port[[#This Row],[CNY -&gt; THB]]</f>
        <v>3214.6453679768124</v>
      </c>
      <c r="AK278" s="507">
        <f>Port[[#This Row],[ECL_Interest (CNY)]]*Port[[#This Row],[CNY -&gt; THB]]</f>
        <v>0.24406248092841601</v>
      </c>
      <c r="AL278" s="507">
        <f>Port[[#This Row],[EAD (THB)]]*Port[[#This Row],[PD_avg]]</f>
        <v>3571.8281866409025</v>
      </c>
      <c r="AM278" s="507">
        <f>Port[[#This Row],[EAD_Interest (THB)]]*Port[[#This Row],[PD_avg]]</f>
        <v>0.27118053436490669</v>
      </c>
      <c r="AN278" s="507">
        <f>Port[[#This Row],[EAD (THB)]]*Port[[#This Row],[LGD_avg]]</f>
        <v>3539110.8849264001</v>
      </c>
      <c r="AO278" s="507">
        <f>Port[[#This Row],[EAD_Interest (THB)]]*Port[[#This Row],[LGD_avg]]</f>
        <v>268.69656960000003</v>
      </c>
      <c r="AP278" s="507">
        <f>Port[[#This Row],[EAD_Drawn (THB)]]+Port[[#This Row],[EAD_Interest (THB)]]</f>
        <v>3932643.9794400004</v>
      </c>
      <c r="AQ27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3214.8894304577407</v>
      </c>
      <c r="AR278" s="522">
        <f>MAX(Port[[#This Row],[ECL (THB)]]+Port[[#This Row],[ECL_Interest (THB)]], Port[[#This Row],[ECL CBIRC (THB)]])</f>
        <v>3214.8894304577407</v>
      </c>
    </row>
    <row r="279" spans="1:44">
      <c r="A279" s="2" t="s">
        <v>251</v>
      </c>
      <c r="B279" s="2" t="s">
        <v>252</v>
      </c>
      <c r="C279" s="2" t="s">
        <v>219</v>
      </c>
      <c r="D279" s="2" t="s">
        <v>25</v>
      </c>
      <c r="E279" s="2" t="s">
        <v>172</v>
      </c>
      <c r="F279" s="2" t="s">
        <v>173</v>
      </c>
      <c r="G279" s="2" t="s">
        <v>164</v>
      </c>
      <c r="H279">
        <v>1</v>
      </c>
      <c r="I279" s="2" t="s">
        <v>526</v>
      </c>
      <c r="J279" s="505">
        <v>9.0832004774658653E-4</v>
      </c>
      <c r="K279" s="505">
        <v>0.9</v>
      </c>
      <c r="L279" s="3">
        <v>1.2230919765166341</v>
      </c>
      <c r="M279" s="3">
        <v>5.2488000000000001</v>
      </c>
      <c r="N279" s="507">
        <v>30691876.182481702</v>
      </c>
      <c r="O279" s="507">
        <v>0</v>
      </c>
      <c r="P279" s="507">
        <v>30691876.182481702</v>
      </c>
      <c r="Q279" s="507">
        <v>0</v>
      </c>
      <c r="R279" s="507">
        <v>25090.241795553691</v>
      </c>
      <c r="S279" s="507">
        <v>0</v>
      </c>
      <c r="T279" s="507">
        <v>25090.241795553691</v>
      </c>
      <c r="U279" s="507">
        <v>0</v>
      </c>
      <c r="V279" s="507">
        <f>Port[[#This Row],[EAD_Drawn (CNY)]]*Port[[#This Row],[CNY -&gt; FCY]]</f>
        <v>37538987.503035352</v>
      </c>
      <c r="W279" s="507">
        <f>Port[[#This Row],[EAD_Undrawn (CNY)]]*Port[[#This Row],[CNY -&gt; FCY]]</f>
        <v>0</v>
      </c>
      <c r="X279" s="507">
        <f>Port[[#This Row],[EAD (CNY)]]*Port[[#This Row],[CNY -&gt; FCY]]</f>
        <v>37538987.503035352</v>
      </c>
      <c r="Y279" s="507">
        <f>Port[[#This Row],[EAD_Interest (CNY)]]*Port[[#This Row],[CNY -&gt; FCY]]</f>
        <v>0</v>
      </c>
      <c r="Z279" s="507">
        <f>Port[[#This Row],[ECL_Drawn (CNY)]]*Port[[#This Row],[CNY -&gt; FCY]]</f>
        <v>30687.673429004029</v>
      </c>
      <c r="AA279" s="507">
        <f>Port[[#This Row],[ECL_Undrawn (CNY)]]*Port[[#This Row],[CNY -&gt; FCY]]</f>
        <v>0</v>
      </c>
      <c r="AB279" s="507">
        <f>Port[[#This Row],[ECL (CNY)]]*Port[[#This Row],[CNY -&gt; FCY]]</f>
        <v>30687.673429004029</v>
      </c>
      <c r="AC279" s="507">
        <f>Port[[#This Row],[ECL_Interest (CNY)]]*Port[[#This Row],[CNY -&gt; FCY]]</f>
        <v>0</v>
      </c>
      <c r="AD279" s="507">
        <f>Port[[#This Row],[EAD_Drawn (CNY)]]*Port[[#This Row],[CNY -&gt; THB]]</f>
        <v>161095519.70660996</v>
      </c>
      <c r="AE279" s="507">
        <f>Port[[#This Row],[EAD_Undrawn (CNY)]]*Port[[#This Row],[CNY -&gt; THB]]</f>
        <v>0</v>
      </c>
      <c r="AF279" s="507">
        <f>Port[[#This Row],[EAD (CNY)]]*Port[[#This Row],[CNY -&gt; THB]]</f>
        <v>161095519.70660996</v>
      </c>
      <c r="AG279" s="507">
        <f>Port[[#This Row],[EAD_Interest (CNY)]]*Port[[#This Row],[CNY -&gt; THB]]</f>
        <v>0</v>
      </c>
      <c r="AH279" s="507">
        <f>Port[[#This Row],[ECL_Drawn (CNY)]]*Port[[#This Row],[CNY -&gt; THB]]</f>
        <v>131693.66113650223</v>
      </c>
      <c r="AI279" s="507">
        <f>Port[[#This Row],[ECL_Undrawn (CNY)]]*Port[[#This Row],[CNY -&gt; THB]]</f>
        <v>0</v>
      </c>
      <c r="AJ279" s="507">
        <f>Port[[#This Row],[ECL (CNY)]]*Port[[#This Row],[CNY -&gt; THB]]</f>
        <v>131693.66113650223</v>
      </c>
      <c r="AK279" s="507">
        <f>Port[[#This Row],[ECL_Interest (CNY)]]*Port[[#This Row],[CNY -&gt; THB]]</f>
        <v>0</v>
      </c>
      <c r="AL279" s="507">
        <f>Port[[#This Row],[EAD (THB)]]*Port[[#This Row],[PD_avg]]</f>
        <v>146326.29015166912</v>
      </c>
      <c r="AM279" s="507">
        <f>Port[[#This Row],[EAD_Interest (THB)]]*Port[[#This Row],[PD_avg]]</f>
        <v>0</v>
      </c>
      <c r="AN279" s="507">
        <f>Port[[#This Row],[EAD (THB)]]*Port[[#This Row],[LGD_avg]]</f>
        <v>144985967.73594898</v>
      </c>
      <c r="AO279" s="507">
        <f>Port[[#This Row],[EAD_Interest (THB)]]*Port[[#This Row],[LGD_avg]]</f>
        <v>0</v>
      </c>
      <c r="AP279" s="507">
        <f>Port[[#This Row],[EAD_Drawn (THB)]]+Port[[#This Row],[EAD_Interest (THB)]]</f>
        <v>161095519.70660996</v>
      </c>
      <c r="AQ27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131693.66113650223</v>
      </c>
      <c r="AR279" s="522">
        <f>MAX(Port[[#This Row],[ECL (THB)]]+Port[[#This Row],[ECL_Interest (THB)]], Port[[#This Row],[ECL CBIRC (THB)]])</f>
        <v>131693.66113650223</v>
      </c>
    </row>
    <row r="280" spans="1:44">
      <c r="A280" s="2" t="s">
        <v>253</v>
      </c>
      <c r="B280" s="2" t="s">
        <v>254</v>
      </c>
      <c r="C280" s="2" t="s">
        <v>219</v>
      </c>
      <c r="D280" s="2" t="s">
        <v>25</v>
      </c>
      <c r="E280" s="2" t="s">
        <v>172</v>
      </c>
      <c r="F280" s="2" t="s">
        <v>173</v>
      </c>
      <c r="G280" s="2" t="s">
        <v>255</v>
      </c>
      <c r="H280">
        <v>1</v>
      </c>
      <c r="I280" s="2" t="s">
        <v>526</v>
      </c>
      <c r="J280" s="505">
        <v>9.0832004774658653E-4</v>
      </c>
      <c r="K280" s="505">
        <v>0.90000000000000013</v>
      </c>
      <c r="L280" s="3">
        <v>18.044027426921691</v>
      </c>
      <c r="M280" s="3">
        <v>5.2488000000000001</v>
      </c>
      <c r="N280" s="507">
        <v>154692.220011</v>
      </c>
      <c r="O280" s="507">
        <v>0</v>
      </c>
      <c r="P280" s="507">
        <v>154692.220011</v>
      </c>
      <c r="Q280" s="507">
        <v>0</v>
      </c>
      <c r="R280" s="507">
        <v>126.45904019977529</v>
      </c>
      <c r="S280" s="507">
        <v>0</v>
      </c>
      <c r="T280" s="507">
        <v>126.45904019977529</v>
      </c>
      <c r="U280" s="507">
        <v>0</v>
      </c>
      <c r="V280" s="507">
        <f>Port[[#This Row],[EAD_Drawn (CNY)]]*Port[[#This Row],[CNY -&gt; FCY]]</f>
        <v>2791270.6606098884</v>
      </c>
      <c r="W280" s="507">
        <f>Port[[#This Row],[EAD_Undrawn (CNY)]]*Port[[#This Row],[CNY -&gt; FCY]]</f>
        <v>0</v>
      </c>
      <c r="X280" s="507">
        <f>Port[[#This Row],[EAD (CNY)]]*Port[[#This Row],[CNY -&gt; FCY]]</f>
        <v>2791270.6606098884</v>
      </c>
      <c r="Y280" s="507">
        <f>Port[[#This Row],[EAD_Interest (CNY)]]*Port[[#This Row],[CNY -&gt; FCY]]</f>
        <v>0</v>
      </c>
      <c r="Z280" s="507">
        <f>Port[[#This Row],[ECL_Drawn (CNY)]]*Port[[#This Row],[CNY -&gt; FCY]]</f>
        <v>2281.8303897469377</v>
      </c>
      <c r="AA280" s="507">
        <f>Port[[#This Row],[ECL_Undrawn (CNY)]]*Port[[#This Row],[CNY -&gt; FCY]]</f>
        <v>0</v>
      </c>
      <c r="AB280" s="507">
        <f>Port[[#This Row],[ECL (CNY)]]*Port[[#This Row],[CNY -&gt; FCY]]</f>
        <v>2281.8303897469377</v>
      </c>
      <c r="AC280" s="507">
        <f>Port[[#This Row],[ECL_Interest (CNY)]]*Port[[#This Row],[CNY -&gt; FCY]]</f>
        <v>0</v>
      </c>
      <c r="AD280" s="507">
        <f>Port[[#This Row],[EAD_Drawn (CNY)]]*Port[[#This Row],[CNY -&gt; THB]]</f>
        <v>811948.52439373685</v>
      </c>
      <c r="AE280" s="507">
        <f>Port[[#This Row],[EAD_Undrawn (CNY)]]*Port[[#This Row],[CNY -&gt; THB]]</f>
        <v>0</v>
      </c>
      <c r="AF280" s="507">
        <f>Port[[#This Row],[EAD (CNY)]]*Port[[#This Row],[CNY -&gt; THB]]</f>
        <v>811948.52439373685</v>
      </c>
      <c r="AG280" s="507">
        <f>Port[[#This Row],[EAD_Interest (CNY)]]*Port[[#This Row],[CNY -&gt; THB]]</f>
        <v>0</v>
      </c>
      <c r="AH280" s="507">
        <f>Port[[#This Row],[ECL_Drawn (CNY)]]*Port[[#This Row],[CNY -&gt; THB]]</f>
        <v>663.75821020058049</v>
      </c>
      <c r="AI280" s="507">
        <f>Port[[#This Row],[ECL_Undrawn (CNY)]]*Port[[#This Row],[CNY -&gt; THB]]</f>
        <v>0</v>
      </c>
      <c r="AJ280" s="507">
        <f>Port[[#This Row],[ECL (CNY)]]*Port[[#This Row],[CNY -&gt; THB]]</f>
        <v>663.75821020058049</v>
      </c>
      <c r="AK280" s="507">
        <f>Port[[#This Row],[ECL_Interest (CNY)]]*Port[[#This Row],[CNY -&gt; THB]]</f>
        <v>0</v>
      </c>
      <c r="AL280" s="507">
        <f>Port[[#This Row],[EAD (THB)]]*Port[[#This Row],[PD_avg]]</f>
        <v>737.50912244508959</v>
      </c>
      <c r="AM280" s="507">
        <f>Port[[#This Row],[EAD_Interest (THB)]]*Port[[#This Row],[PD_avg]]</f>
        <v>0</v>
      </c>
      <c r="AN280" s="507">
        <f>Port[[#This Row],[EAD (THB)]]*Port[[#This Row],[LGD_avg]]</f>
        <v>730753.67195436324</v>
      </c>
      <c r="AO280" s="507">
        <f>Port[[#This Row],[EAD_Interest (THB)]]*Port[[#This Row],[LGD_avg]]</f>
        <v>0</v>
      </c>
      <c r="AP280" s="507">
        <f>Port[[#This Row],[EAD_Drawn (THB)]]+Port[[#This Row],[EAD_Interest (THB)]]</f>
        <v>811948.52439373685</v>
      </c>
      <c r="AQ28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663.75821020058049</v>
      </c>
      <c r="AR280" s="522">
        <f>MAX(Port[[#This Row],[ECL (THB)]]+Port[[#This Row],[ECL_Interest (THB)]], Port[[#This Row],[ECL CBIRC (THB)]])</f>
        <v>663.75821020058049</v>
      </c>
    </row>
    <row r="281" spans="1:44">
      <c r="A281" s="2" t="s">
        <v>256</v>
      </c>
      <c r="B281" s="2" t="s">
        <v>257</v>
      </c>
      <c r="C281" s="2" t="s">
        <v>219</v>
      </c>
      <c r="D281" s="2" t="s">
        <v>25</v>
      </c>
      <c r="E281" s="2" t="s">
        <v>172</v>
      </c>
      <c r="F281" s="2" t="s">
        <v>173</v>
      </c>
      <c r="G281" s="2" t="s">
        <v>21</v>
      </c>
      <c r="H281">
        <v>1</v>
      </c>
      <c r="I281" s="2" t="s">
        <v>526</v>
      </c>
      <c r="J281" s="505">
        <v>9.0832004774658653E-4</v>
      </c>
      <c r="K281" s="505">
        <v>0.89999999999999991</v>
      </c>
      <c r="L281" s="3">
        <v>1</v>
      </c>
      <c r="M281" s="3">
        <v>5.2488000000000001</v>
      </c>
      <c r="N281" s="507">
        <v>1822119.35</v>
      </c>
      <c r="O281" s="507">
        <v>0</v>
      </c>
      <c r="P281" s="507">
        <v>1822119.35</v>
      </c>
      <c r="Q281" s="507">
        <v>284.02999999999997</v>
      </c>
      <c r="R281" s="507">
        <v>1489.5607814927814</v>
      </c>
      <c r="S281" s="507">
        <v>0</v>
      </c>
      <c r="T281" s="507">
        <v>1489.5607814927814</v>
      </c>
      <c r="U281" s="507">
        <v>0.23219112884531662</v>
      </c>
      <c r="V281" s="507">
        <f>Port[[#This Row],[EAD_Drawn (CNY)]]*Port[[#This Row],[CNY -&gt; FCY]]</f>
        <v>1822119.35</v>
      </c>
      <c r="W281" s="507">
        <f>Port[[#This Row],[EAD_Undrawn (CNY)]]*Port[[#This Row],[CNY -&gt; FCY]]</f>
        <v>0</v>
      </c>
      <c r="X281" s="507">
        <f>Port[[#This Row],[EAD (CNY)]]*Port[[#This Row],[CNY -&gt; FCY]]</f>
        <v>1822119.35</v>
      </c>
      <c r="Y281" s="507">
        <f>Port[[#This Row],[EAD_Interest (CNY)]]*Port[[#This Row],[CNY -&gt; FCY]]</f>
        <v>284.02999999999997</v>
      </c>
      <c r="Z281" s="507">
        <f>Port[[#This Row],[ECL_Drawn (CNY)]]*Port[[#This Row],[CNY -&gt; FCY]]</f>
        <v>1489.5607814927814</v>
      </c>
      <c r="AA281" s="507">
        <f>Port[[#This Row],[ECL_Undrawn (CNY)]]*Port[[#This Row],[CNY -&gt; FCY]]</f>
        <v>0</v>
      </c>
      <c r="AB281" s="507">
        <f>Port[[#This Row],[ECL (CNY)]]*Port[[#This Row],[CNY -&gt; FCY]]</f>
        <v>1489.5607814927814</v>
      </c>
      <c r="AC281" s="507">
        <f>Port[[#This Row],[ECL_Interest (CNY)]]*Port[[#This Row],[CNY -&gt; FCY]]</f>
        <v>0.23219112884531662</v>
      </c>
      <c r="AD281" s="507">
        <f>Port[[#This Row],[EAD_Drawn (CNY)]]*Port[[#This Row],[CNY -&gt; THB]]</f>
        <v>9563940.04428</v>
      </c>
      <c r="AE281" s="507">
        <f>Port[[#This Row],[EAD_Undrawn (CNY)]]*Port[[#This Row],[CNY -&gt; THB]]</f>
        <v>0</v>
      </c>
      <c r="AF281" s="507">
        <f>Port[[#This Row],[EAD (CNY)]]*Port[[#This Row],[CNY -&gt; THB]]</f>
        <v>9563940.04428</v>
      </c>
      <c r="AG281" s="507">
        <f>Port[[#This Row],[EAD_Interest (CNY)]]*Port[[#This Row],[CNY -&gt; THB]]</f>
        <v>1490.8166639999999</v>
      </c>
      <c r="AH281" s="507">
        <f>Port[[#This Row],[ECL_Drawn (CNY)]]*Port[[#This Row],[CNY -&gt; THB]]</f>
        <v>7818.4066298993112</v>
      </c>
      <c r="AI281" s="507">
        <f>Port[[#This Row],[ECL_Undrawn (CNY)]]*Port[[#This Row],[CNY -&gt; THB]]</f>
        <v>0</v>
      </c>
      <c r="AJ281" s="507">
        <f>Port[[#This Row],[ECL (CNY)]]*Port[[#This Row],[CNY -&gt; THB]]</f>
        <v>7818.4066298993112</v>
      </c>
      <c r="AK281" s="507">
        <f>Port[[#This Row],[ECL_Interest (CNY)]]*Port[[#This Row],[CNY -&gt; THB]]</f>
        <v>1.218724797083298</v>
      </c>
      <c r="AL281" s="507">
        <f>Port[[#This Row],[EAD (THB)]]*Port[[#This Row],[PD_avg]]</f>
        <v>8687.1184776659011</v>
      </c>
      <c r="AM281" s="507">
        <f>Port[[#This Row],[EAD_Interest (THB)]]*Port[[#This Row],[PD_avg]]</f>
        <v>1.3541386634258867</v>
      </c>
      <c r="AN281" s="507">
        <f>Port[[#This Row],[EAD (THB)]]*Port[[#This Row],[LGD_avg]]</f>
        <v>8607546.0398519989</v>
      </c>
      <c r="AO281" s="507">
        <f>Port[[#This Row],[EAD_Interest (THB)]]*Port[[#This Row],[LGD_avg]]</f>
        <v>1341.7349975999998</v>
      </c>
      <c r="AP281" s="507">
        <f>Port[[#This Row],[EAD_Drawn (THB)]]+Port[[#This Row],[EAD_Interest (THB)]]</f>
        <v>9565430.8609439991</v>
      </c>
      <c r="AQ28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7819.6253546963944</v>
      </c>
      <c r="AR281" s="522">
        <f>MAX(Port[[#This Row],[ECL (THB)]]+Port[[#This Row],[ECL_Interest (THB)]], Port[[#This Row],[ECL CBIRC (THB)]])</f>
        <v>7819.6253546963944</v>
      </c>
    </row>
    <row r="282" spans="1:44">
      <c r="A282" s="2" t="s">
        <v>258</v>
      </c>
      <c r="B282" s="2" t="s">
        <v>259</v>
      </c>
      <c r="C282" s="2" t="s">
        <v>219</v>
      </c>
      <c r="D282" s="2" t="s">
        <v>25</v>
      </c>
      <c r="E282" s="2" t="s">
        <v>172</v>
      </c>
      <c r="F282" s="2" t="s">
        <v>173</v>
      </c>
      <c r="G282" s="2" t="s">
        <v>21</v>
      </c>
      <c r="H282">
        <v>1</v>
      </c>
      <c r="I282" s="2" t="s">
        <v>526</v>
      </c>
      <c r="J282" s="505">
        <v>9.0832004774658653E-4</v>
      </c>
      <c r="K282" s="505">
        <v>0.89999999999999991</v>
      </c>
      <c r="L282" s="3">
        <v>1</v>
      </c>
      <c r="M282" s="3">
        <v>5.2488000000000001</v>
      </c>
      <c r="N282" s="507">
        <v>0.18</v>
      </c>
      <c r="O282" s="507">
        <v>0</v>
      </c>
      <c r="P282" s="507">
        <v>0.18</v>
      </c>
      <c r="Q282" s="507">
        <v>0</v>
      </c>
      <c r="R282" s="507">
        <v>1.47147847734947E-4</v>
      </c>
      <c r="S282" s="507">
        <v>0</v>
      </c>
      <c r="T282" s="507">
        <v>1.47147847734947E-4</v>
      </c>
      <c r="U282" s="507">
        <v>0</v>
      </c>
      <c r="V282" s="507">
        <f>Port[[#This Row],[EAD_Drawn (CNY)]]*Port[[#This Row],[CNY -&gt; FCY]]</f>
        <v>0.18</v>
      </c>
      <c r="W282" s="507">
        <f>Port[[#This Row],[EAD_Undrawn (CNY)]]*Port[[#This Row],[CNY -&gt; FCY]]</f>
        <v>0</v>
      </c>
      <c r="X282" s="507">
        <f>Port[[#This Row],[EAD (CNY)]]*Port[[#This Row],[CNY -&gt; FCY]]</f>
        <v>0.18</v>
      </c>
      <c r="Y282" s="507">
        <f>Port[[#This Row],[EAD_Interest (CNY)]]*Port[[#This Row],[CNY -&gt; FCY]]</f>
        <v>0</v>
      </c>
      <c r="Z282" s="507">
        <f>Port[[#This Row],[ECL_Drawn (CNY)]]*Port[[#This Row],[CNY -&gt; FCY]]</f>
        <v>1.47147847734947E-4</v>
      </c>
      <c r="AA282" s="507">
        <f>Port[[#This Row],[ECL_Undrawn (CNY)]]*Port[[#This Row],[CNY -&gt; FCY]]</f>
        <v>0</v>
      </c>
      <c r="AB282" s="507">
        <f>Port[[#This Row],[ECL (CNY)]]*Port[[#This Row],[CNY -&gt; FCY]]</f>
        <v>1.47147847734947E-4</v>
      </c>
      <c r="AC282" s="507">
        <f>Port[[#This Row],[ECL_Interest (CNY)]]*Port[[#This Row],[CNY -&gt; FCY]]</f>
        <v>0</v>
      </c>
      <c r="AD282" s="507">
        <f>Port[[#This Row],[EAD_Drawn (CNY)]]*Port[[#This Row],[CNY -&gt; THB]]</f>
        <v>0.94478399999999996</v>
      </c>
      <c r="AE282" s="507">
        <f>Port[[#This Row],[EAD_Undrawn (CNY)]]*Port[[#This Row],[CNY -&gt; THB]]</f>
        <v>0</v>
      </c>
      <c r="AF282" s="507">
        <f>Port[[#This Row],[EAD (CNY)]]*Port[[#This Row],[CNY -&gt; THB]]</f>
        <v>0.94478399999999996</v>
      </c>
      <c r="AG282" s="507">
        <f>Port[[#This Row],[EAD_Interest (CNY)]]*Port[[#This Row],[CNY -&gt; THB]]</f>
        <v>0</v>
      </c>
      <c r="AH282" s="507">
        <f>Port[[#This Row],[ECL_Drawn (CNY)]]*Port[[#This Row],[CNY -&gt; THB]]</f>
        <v>7.7234962319118982E-4</v>
      </c>
      <c r="AI282" s="507">
        <f>Port[[#This Row],[ECL_Undrawn (CNY)]]*Port[[#This Row],[CNY -&gt; THB]]</f>
        <v>0</v>
      </c>
      <c r="AJ282" s="507">
        <f>Port[[#This Row],[ECL (CNY)]]*Port[[#This Row],[CNY -&gt; THB]]</f>
        <v>7.7234962319118982E-4</v>
      </c>
      <c r="AK282" s="507">
        <f>Port[[#This Row],[ECL_Interest (CNY)]]*Port[[#This Row],[CNY -&gt; THB]]</f>
        <v>0</v>
      </c>
      <c r="AL282" s="507">
        <f>Port[[#This Row],[EAD (THB)]]*Port[[#This Row],[PD_avg]]</f>
        <v>8.5816624799021099E-4</v>
      </c>
      <c r="AM282" s="507">
        <f>Port[[#This Row],[EAD_Interest (THB)]]*Port[[#This Row],[PD_avg]]</f>
        <v>0</v>
      </c>
      <c r="AN282" s="507">
        <f>Port[[#This Row],[EAD (THB)]]*Port[[#This Row],[LGD_avg]]</f>
        <v>0.85030559999999988</v>
      </c>
      <c r="AO282" s="507">
        <f>Port[[#This Row],[EAD_Interest (THB)]]*Port[[#This Row],[LGD_avg]]</f>
        <v>0</v>
      </c>
      <c r="AP282" s="507">
        <f>Port[[#This Row],[EAD_Drawn (THB)]]+Port[[#This Row],[EAD_Interest (THB)]]</f>
        <v>0.94478399999999996</v>
      </c>
      <c r="AQ28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7.7234962319118982E-4</v>
      </c>
      <c r="AR282" s="522">
        <f>MAX(Port[[#This Row],[ECL (THB)]]+Port[[#This Row],[ECL_Interest (THB)]], Port[[#This Row],[ECL CBIRC (THB)]])</f>
        <v>7.7234962319118982E-4</v>
      </c>
    </row>
    <row r="283" spans="1:44">
      <c r="A283" s="2" t="s">
        <v>260</v>
      </c>
      <c r="B283" s="2" t="s">
        <v>261</v>
      </c>
      <c r="C283" s="2" t="s">
        <v>219</v>
      </c>
      <c r="D283" s="2" t="s">
        <v>25</v>
      </c>
      <c r="E283" s="2" t="s">
        <v>172</v>
      </c>
      <c r="F283" s="2" t="s">
        <v>173</v>
      </c>
      <c r="G283" s="2" t="s">
        <v>21</v>
      </c>
      <c r="H283">
        <v>1</v>
      </c>
      <c r="I283" s="2" t="s">
        <v>526</v>
      </c>
      <c r="J283" s="505">
        <v>9.0832004774658653E-4</v>
      </c>
      <c r="K283" s="505">
        <v>0.8999999999999998</v>
      </c>
      <c r="L283" s="3">
        <v>1</v>
      </c>
      <c r="M283" s="3">
        <v>5.2488000000000001</v>
      </c>
      <c r="N283" s="507">
        <v>5687746.6100000003</v>
      </c>
      <c r="O283" s="507">
        <v>0</v>
      </c>
      <c r="P283" s="507">
        <v>5687746.6100000003</v>
      </c>
      <c r="Q283" s="507">
        <v>419.25</v>
      </c>
      <c r="R283" s="507">
        <v>4649.6648451291167</v>
      </c>
      <c r="S283" s="507">
        <v>0</v>
      </c>
      <c r="T283" s="507">
        <v>4649.6648451291167</v>
      </c>
      <c r="U283" s="507">
        <v>0.34273186201598083</v>
      </c>
      <c r="V283" s="507">
        <f>Port[[#This Row],[EAD_Drawn (CNY)]]*Port[[#This Row],[CNY -&gt; FCY]]</f>
        <v>5687746.6100000003</v>
      </c>
      <c r="W283" s="507">
        <f>Port[[#This Row],[EAD_Undrawn (CNY)]]*Port[[#This Row],[CNY -&gt; FCY]]</f>
        <v>0</v>
      </c>
      <c r="X283" s="507">
        <f>Port[[#This Row],[EAD (CNY)]]*Port[[#This Row],[CNY -&gt; FCY]]</f>
        <v>5687746.6100000003</v>
      </c>
      <c r="Y283" s="507">
        <f>Port[[#This Row],[EAD_Interest (CNY)]]*Port[[#This Row],[CNY -&gt; FCY]]</f>
        <v>419.25</v>
      </c>
      <c r="Z283" s="507">
        <f>Port[[#This Row],[ECL_Drawn (CNY)]]*Port[[#This Row],[CNY -&gt; FCY]]</f>
        <v>4649.6648451291167</v>
      </c>
      <c r="AA283" s="507">
        <f>Port[[#This Row],[ECL_Undrawn (CNY)]]*Port[[#This Row],[CNY -&gt; FCY]]</f>
        <v>0</v>
      </c>
      <c r="AB283" s="507">
        <f>Port[[#This Row],[ECL (CNY)]]*Port[[#This Row],[CNY -&gt; FCY]]</f>
        <v>4649.6648451291167</v>
      </c>
      <c r="AC283" s="507">
        <f>Port[[#This Row],[ECL_Interest (CNY)]]*Port[[#This Row],[CNY -&gt; FCY]]</f>
        <v>0.34273186201598083</v>
      </c>
      <c r="AD283" s="507">
        <f>Port[[#This Row],[EAD_Drawn (CNY)]]*Port[[#This Row],[CNY -&gt; THB]]</f>
        <v>29853844.406568002</v>
      </c>
      <c r="AE283" s="507">
        <f>Port[[#This Row],[EAD_Undrawn (CNY)]]*Port[[#This Row],[CNY -&gt; THB]]</f>
        <v>0</v>
      </c>
      <c r="AF283" s="507">
        <f>Port[[#This Row],[EAD (CNY)]]*Port[[#This Row],[CNY -&gt; THB]]</f>
        <v>29853844.406568002</v>
      </c>
      <c r="AG283" s="507">
        <f>Port[[#This Row],[EAD_Interest (CNY)]]*Port[[#This Row],[CNY -&gt; THB]]</f>
        <v>2200.5594000000001</v>
      </c>
      <c r="AH283" s="507">
        <f>Port[[#This Row],[ECL_Drawn (CNY)]]*Port[[#This Row],[CNY -&gt; THB]]</f>
        <v>24405.160839113709</v>
      </c>
      <c r="AI283" s="507">
        <f>Port[[#This Row],[ECL_Undrawn (CNY)]]*Port[[#This Row],[CNY -&gt; THB]]</f>
        <v>0</v>
      </c>
      <c r="AJ283" s="507">
        <f>Port[[#This Row],[ECL (CNY)]]*Port[[#This Row],[CNY -&gt; THB]]</f>
        <v>24405.160839113709</v>
      </c>
      <c r="AK283" s="507">
        <f>Port[[#This Row],[ECL_Interest (CNY)]]*Port[[#This Row],[CNY -&gt; THB]]</f>
        <v>1.7989309973494803</v>
      </c>
      <c r="AL283" s="507">
        <f>Port[[#This Row],[EAD (THB)]]*Port[[#This Row],[PD_avg]]</f>
        <v>27116.845376793011</v>
      </c>
      <c r="AM283" s="507">
        <f>Port[[#This Row],[EAD_Interest (THB)]]*Port[[#This Row],[PD_avg]]</f>
        <v>1.9988122192772</v>
      </c>
      <c r="AN283" s="507">
        <f>Port[[#This Row],[EAD (THB)]]*Port[[#This Row],[LGD_avg]]</f>
        <v>26868459.965911195</v>
      </c>
      <c r="AO283" s="507">
        <f>Port[[#This Row],[EAD_Interest (THB)]]*Port[[#This Row],[LGD_avg]]</f>
        <v>1980.5034599999997</v>
      </c>
      <c r="AP283" s="507">
        <f>Port[[#This Row],[EAD_Drawn (THB)]]+Port[[#This Row],[EAD_Interest (THB)]]</f>
        <v>29856044.965968002</v>
      </c>
      <c r="AQ28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24406.959770111058</v>
      </c>
      <c r="AR283" s="522">
        <f>MAX(Port[[#This Row],[ECL (THB)]]+Port[[#This Row],[ECL_Interest (THB)]], Port[[#This Row],[ECL CBIRC (THB)]])</f>
        <v>24406.959770111058</v>
      </c>
    </row>
    <row r="284" spans="1:44">
      <c r="A284" s="2" t="s">
        <v>262</v>
      </c>
      <c r="B284" s="2" t="s">
        <v>263</v>
      </c>
      <c r="C284" s="2" t="s">
        <v>219</v>
      </c>
      <c r="D284" s="2" t="s">
        <v>25</v>
      </c>
      <c r="E284" s="2" t="s">
        <v>172</v>
      </c>
      <c r="F284" s="2" t="s">
        <v>173</v>
      </c>
      <c r="G284" s="2" t="s">
        <v>21</v>
      </c>
      <c r="H284">
        <v>1</v>
      </c>
      <c r="I284" s="2" t="s">
        <v>526</v>
      </c>
      <c r="J284" s="505">
        <v>9.0832004774658653E-4</v>
      </c>
      <c r="K284" s="505">
        <v>0.90000000000000013</v>
      </c>
      <c r="L284" s="3">
        <v>1</v>
      </c>
      <c r="M284" s="3">
        <v>5.2488000000000001</v>
      </c>
      <c r="N284" s="507">
        <v>568.44000000000005</v>
      </c>
      <c r="O284" s="507">
        <v>0</v>
      </c>
      <c r="P284" s="507">
        <v>568.44000000000005</v>
      </c>
      <c r="Q284" s="507">
        <v>0.03</v>
      </c>
      <c r="R284" s="507">
        <v>0.46469290314696271</v>
      </c>
      <c r="S284" s="507">
        <v>0</v>
      </c>
      <c r="T284" s="507">
        <v>0.46469290314696271</v>
      </c>
      <c r="U284" s="507">
        <v>2.4524641289157839E-5</v>
      </c>
      <c r="V284" s="507">
        <f>Port[[#This Row],[EAD_Drawn (CNY)]]*Port[[#This Row],[CNY -&gt; FCY]]</f>
        <v>568.44000000000005</v>
      </c>
      <c r="W284" s="507">
        <f>Port[[#This Row],[EAD_Undrawn (CNY)]]*Port[[#This Row],[CNY -&gt; FCY]]</f>
        <v>0</v>
      </c>
      <c r="X284" s="507">
        <f>Port[[#This Row],[EAD (CNY)]]*Port[[#This Row],[CNY -&gt; FCY]]</f>
        <v>568.44000000000005</v>
      </c>
      <c r="Y284" s="507">
        <f>Port[[#This Row],[EAD_Interest (CNY)]]*Port[[#This Row],[CNY -&gt; FCY]]</f>
        <v>0.03</v>
      </c>
      <c r="Z284" s="507">
        <f>Port[[#This Row],[ECL_Drawn (CNY)]]*Port[[#This Row],[CNY -&gt; FCY]]</f>
        <v>0.46469290314696271</v>
      </c>
      <c r="AA284" s="507">
        <f>Port[[#This Row],[ECL_Undrawn (CNY)]]*Port[[#This Row],[CNY -&gt; FCY]]</f>
        <v>0</v>
      </c>
      <c r="AB284" s="507">
        <f>Port[[#This Row],[ECL (CNY)]]*Port[[#This Row],[CNY -&gt; FCY]]</f>
        <v>0.46469290314696271</v>
      </c>
      <c r="AC284" s="507">
        <f>Port[[#This Row],[ECL_Interest (CNY)]]*Port[[#This Row],[CNY -&gt; FCY]]</f>
        <v>2.4524641289157839E-5</v>
      </c>
      <c r="AD284" s="507">
        <f>Port[[#This Row],[EAD_Drawn (CNY)]]*Port[[#This Row],[CNY -&gt; THB]]</f>
        <v>2983.6278720000005</v>
      </c>
      <c r="AE284" s="507">
        <f>Port[[#This Row],[EAD_Undrawn (CNY)]]*Port[[#This Row],[CNY -&gt; THB]]</f>
        <v>0</v>
      </c>
      <c r="AF284" s="507">
        <f>Port[[#This Row],[EAD (CNY)]]*Port[[#This Row],[CNY -&gt; THB]]</f>
        <v>2983.6278720000005</v>
      </c>
      <c r="AG284" s="507">
        <f>Port[[#This Row],[EAD_Interest (CNY)]]*Port[[#This Row],[CNY -&gt; THB]]</f>
        <v>0.15746399999999999</v>
      </c>
      <c r="AH284" s="507">
        <f>Port[[#This Row],[ECL_Drawn (CNY)]]*Port[[#This Row],[CNY -&gt; THB]]</f>
        <v>2.4390801100377781</v>
      </c>
      <c r="AI284" s="507">
        <f>Port[[#This Row],[ECL_Undrawn (CNY)]]*Port[[#This Row],[CNY -&gt; THB]]</f>
        <v>0</v>
      </c>
      <c r="AJ284" s="507">
        <f>Port[[#This Row],[ECL (CNY)]]*Port[[#This Row],[CNY -&gt; THB]]</f>
        <v>2.4390801100377781</v>
      </c>
      <c r="AK284" s="507">
        <f>Port[[#This Row],[ECL_Interest (CNY)]]*Port[[#This Row],[CNY -&gt; THB]]</f>
        <v>1.2872493719853165E-4</v>
      </c>
      <c r="AL284" s="507">
        <f>Port[[#This Row],[EAD (THB)]]*Port[[#This Row],[PD_avg]]</f>
        <v>2.7100890111530869</v>
      </c>
      <c r="AM284" s="507">
        <f>Port[[#This Row],[EAD_Interest (THB)]]*Port[[#This Row],[PD_avg]]</f>
        <v>1.4302770799836851E-4</v>
      </c>
      <c r="AN284" s="507">
        <f>Port[[#This Row],[EAD (THB)]]*Port[[#This Row],[LGD_avg]]</f>
        <v>2685.2650848000007</v>
      </c>
      <c r="AO284" s="507">
        <f>Port[[#This Row],[EAD_Interest (THB)]]*Port[[#This Row],[LGD_avg]]</f>
        <v>0.14171760000000003</v>
      </c>
      <c r="AP284" s="507">
        <f>Port[[#This Row],[EAD_Drawn (THB)]]+Port[[#This Row],[EAD_Interest (THB)]]</f>
        <v>2983.7853360000004</v>
      </c>
      <c r="AQ28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2.4392088349749765</v>
      </c>
      <c r="AR284" s="522">
        <f>MAX(Port[[#This Row],[ECL (THB)]]+Port[[#This Row],[ECL_Interest (THB)]], Port[[#This Row],[ECL CBIRC (THB)]])</f>
        <v>2.4392088349749765</v>
      </c>
    </row>
    <row r="285" spans="1:44">
      <c r="A285" s="2" t="s">
        <v>264</v>
      </c>
      <c r="B285" s="2" t="s">
        <v>265</v>
      </c>
      <c r="C285" s="2" t="s">
        <v>219</v>
      </c>
      <c r="D285" s="2" t="s">
        <v>25</v>
      </c>
      <c r="E285" s="2" t="s">
        <v>172</v>
      </c>
      <c r="F285" s="2" t="s">
        <v>173</v>
      </c>
      <c r="G285" s="2" t="s">
        <v>21</v>
      </c>
      <c r="H285">
        <v>1</v>
      </c>
      <c r="I285" s="2" t="s">
        <v>526</v>
      </c>
      <c r="J285" s="505">
        <v>9.0832004774658653E-4</v>
      </c>
      <c r="K285" s="505">
        <v>0.89999999999999991</v>
      </c>
      <c r="L285" s="3">
        <v>1</v>
      </c>
      <c r="M285" s="3">
        <v>5.2488000000000001</v>
      </c>
      <c r="N285" s="507">
        <v>63577570.079999998</v>
      </c>
      <c r="O285" s="507">
        <v>0</v>
      </c>
      <c r="P285" s="507">
        <v>63577570.079999998</v>
      </c>
      <c r="Q285" s="507">
        <v>4207.66</v>
      </c>
      <c r="R285" s="507">
        <v>51973.903341609788</v>
      </c>
      <c r="S285" s="507">
        <v>0</v>
      </c>
      <c r="T285" s="507">
        <v>51973.903341609788</v>
      </c>
      <c r="U285" s="507">
        <v>3.4397117388912615</v>
      </c>
      <c r="V285" s="507">
        <f>Port[[#This Row],[EAD_Drawn (CNY)]]*Port[[#This Row],[CNY -&gt; FCY]]</f>
        <v>63577570.079999998</v>
      </c>
      <c r="W285" s="507">
        <f>Port[[#This Row],[EAD_Undrawn (CNY)]]*Port[[#This Row],[CNY -&gt; FCY]]</f>
        <v>0</v>
      </c>
      <c r="X285" s="507">
        <f>Port[[#This Row],[EAD (CNY)]]*Port[[#This Row],[CNY -&gt; FCY]]</f>
        <v>63577570.079999998</v>
      </c>
      <c r="Y285" s="507">
        <f>Port[[#This Row],[EAD_Interest (CNY)]]*Port[[#This Row],[CNY -&gt; FCY]]</f>
        <v>4207.66</v>
      </c>
      <c r="Z285" s="507">
        <f>Port[[#This Row],[ECL_Drawn (CNY)]]*Port[[#This Row],[CNY -&gt; FCY]]</f>
        <v>51973.903341609788</v>
      </c>
      <c r="AA285" s="507">
        <f>Port[[#This Row],[ECL_Undrawn (CNY)]]*Port[[#This Row],[CNY -&gt; FCY]]</f>
        <v>0</v>
      </c>
      <c r="AB285" s="507">
        <f>Port[[#This Row],[ECL (CNY)]]*Port[[#This Row],[CNY -&gt; FCY]]</f>
        <v>51973.903341609788</v>
      </c>
      <c r="AC285" s="507">
        <f>Port[[#This Row],[ECL_Interest (CNY)]]*Port[[#This Row],[CNY -&gt; FCY]]</f>
        <v>3.4397117388912615</v>
      </c>
      <c r="AD285" s="507">
        <f>Port[[#This Row],[EAD_Drawn (CNY)]]*Port[[#This Row],[CNY -&gt; THB]]</f>
        <v>333705949.835904</v>
      </c>
      <c r="AE285" s="507">
        <f>Port[[#This Row],[EAD_Undrawn (CNY)]]*Port[[#This Row],[CNY -&gt; THB]]</f>
        <v>0</v>
      </c>
      <c r="AF285" s="507">
        <f>Port[[#This Row],[EAD (CNY)]]*Port[[#This Row],[CNY -&gt; THB]]</f>
        <v>333705949.835904</v>
      </c>
      <c r="AG285" s="507">
        <f>Port[[#This Row],[EAD_Interest (CNY)]]*Port[[#This Row],[CNY -&gt; THB]]</f>
        <v>22085.165808000002</v>
      </c>
      <c r="AH285" s="507">
        <f>Port[[#This Row],[ECL_Drawn (CNY)]]*Port[[#This Row],[CNY -&gt; THB]]</f>
        <v>272800.62385944149</v>
      </c>
      <c r="AI285" s="507">
        <f>Port[[#This Row],[ECL_Undrawn (CNY)]]*Port[[#This Row],[CNY -&gt; THB]]</f>
        <v>0</v>
      </c>
      <c r="AJ285" s="507">
        <f>Port[[#This Row],[ECL (CNY)]]*Port[[#This Row],[CNY -&gt; THB]]</f>
        <v>272800.62385944149</v>
      </c>
      <c r="AK285" s="507">
        <f>Port[[#This Row],[ECL_Interest (CNY)]]*Port[[#This Row],[CNY -&gt; THB]]</f>
        <v>18.054358975092455</v>
      </c>
      <c r="AL285" s="507">
        <f>Port[[#This Row],[EAD (THB)]]*Port[[#This Row],[PD_avg]]</f>
        <v>303111.80428826832</v>
      </c>
      <c r="AM285" s="507">
        <f>Port[[#This Row],[EAD_Interest (THB)]]*Port[[#This Row],[PD_avg]]</f>
        <v>20.060398861213841</v>
      </c>
      <c r="AN285" s="507">
        <f>Port[[#This Row],[EAD (THB)]]*Port[[#This Row],[LGD_avg]]</f>
        <v>300335354.85231358</v>
      </c>
      <c r="AO285" s="507">
        <f>Port[[#This Row],[EAD_Interest (THB)]]*Port[[#This Row],[LGD_avg]]</f>
        <v>19876.6492272</v>
      </c>
      <c r="AP285" s="507">
        <f>Port[[#This Row],[EAD_Drawn (THB)]]+Port[[#This Row],[EAD_Interest (THB)]]</f>
        <v>333728035.00171202</v>
      </c>
      <c r="AQ28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272818.67821841658</v>
      </c>
      <c r="AR285" s="522">
        <f>MAX(Port[[#This Row],[ECL (THB)]]+Port[[#This Row],[ECL_Interest (THB)]], Port[[#This Row],[ECL CBIRC (THB)]])</f>
        <v>272818.67821841658</v>
      </c>
    </row>
    <row r="286" spans="1:44">
      <c r="A286" s="2" t="s">
        <v>1010</v>
      </c>
      <c r="B286" s="2" t="s">
        <v>1011</v>
      </c>
      <c r="C286" s="2" t="s">
        <v>219</v>
      </c>
      <c r="D286" s="2" t="s">
        <v>25</v>
      </c>
      <c r="E286" s="2" t="s">
        <v>172</v>
      </c>
      <c r="F286" s="2" t="s">
        <v>173</v>
      </c>
      <c r="G286" s="2" t="s">
        <v>21</v>
      </c>
      <c r="H286">
        <v>1</v>
      </c>
      <c r="I286" s="2" t="s">
        <v>526</v>
      </c>
      <c r="J286" s="505">
        <v>9.0832004774658653E-4</v>
      </c>
      <c r="K286" s="505">
        <v>0.89999999999999991</v>
      </c>
      <c r="L286" s="3">
        <v>1</v>
      </c>
      <c r="M286" s="3">
        <v>5.2488000000000001</v>
      </c>
      <c r="N286" s="507">
        <v>2930.76</v>
      </c>
      <c r="O286" s="507">
        <v>0</v>
      </c>
      <c r="P286" s="507">
        <v>2930.76</v>
      </c>
      <c r="Q286" s="507">
        <v>0.06</v>
      </c>
      <c r="R286" s="507">
        <v>2.3958612568204072</v>
      </c>
      <c r="S286" s="507">
        <v>0</v>
      </c>
      <c r="T286" s="507">
        <v>2.3958612568204072</v>
      </c>
      <c r="U286" s="507">
        <v>4.9049282578315677E-5</v>
      </c>
      <c r="V286" s="507">
        <f>Port[[#This Row],[EAD_Drawn (CNY)]]*Port[[#This Row],[CNY -&gt; FCY]]</f>
        <v>2930.76</v>
      </c>
      <c r="W286" s="507">
        <f>Port[[#This Row],[EAD_Undrawn (CNY)]]*Port[[#This Row],[CNY -&gt; FCY]]</f>
        <v>0</v>
      </c>
      <c r="X286" s="507">
        <f>Port[[#This Row],[EAD (CNY)]]*Port[[#This Row],[CNY -&gt; FCY]]</f>
        <v>2930.76</v>
      </c>
      <c r="Y286" s="507">
        <f>Port[[#This Row],[EAD_Interest (CNY)]]*Port[[#This Row],[CNY -&gt; FCY]]</f>
        <v>0.06</v>
      </c>
      <c r="Z286" s="507">
        <f>Port[[#This Row],[ECL_Drawn (CNY)]]*Port[[#This Row],[CNY -&gt; FCY]]</f>
        <v>2.3958612568204072</v>
      </c>
      <c r="AA286" s="507">
        <f>Port[[#This Row],[ECL_Undrawn (CNY)]]*Port[[#This Row],[CNY -&gt; FCY]]</f>
        <v>0</v>
      </c>
      <c r="AB286" s="507">
        <f>Port[[#This Row],[ECL (CNY)]]*Port[[#This Row],[CNY -&gt; FCY]]</f>
        <v>2.3958612568204072</v>
      </c>
      <c r="AC286" s="507">
        <f>Port[[#This Row],[ECL_Interest (CNY)]]*Port[[#This Row],[CNY -&gt; FCY]]</f>
        <v>4.9049282578315677E-5</v>
      </c>
      <c r="AD286" s="507">
        <f>Port[[#This Row],[EAD_Drawn (CNY)]]*Port[[#This Row],[CNY -&gt; THB]]</f>
        <v>15382.973088000001</v>
      </c>
      <c r="AE286" s="507">
        <f>Port[[#This Row],[EAD_Undrawn (CNY)]]*Port[[#This Row],[CNY -&gt; THB]]</f>
        <v>0</v>
      </c>
      <c r="AF286" s="507">
        <f>Port[[#This Row],[EAD (CNY)]]*Port[[#This Row],[CNY -&gt; THB]]</f>
        <v>15382.973088000001</v>
      </c>
      <c r="AG286" s="507">
        <f>Port[[#This Row],[EAD_Interest (CNY)]]*Port[[#This Row],[CNY -&gt; THB]]</f>
        <v>0.31492799999999999</v>
      </c>
      <c r="AH286" s="507">
        <f>Port[[#This Row],[ECL_Drawn (CNY)]]*Port[[#This Row],[CNY -&gt; THB]]</f>
        <v>12.575396564798954</v>
      </c>
      <c r="AI286" s="507">
        <f>Port[[#This Row],[ECL_Undrawn (CNY)]]*Port[[#This Row],[CNY -&gt; THB]]</f>
        <v>0</v>
      </c>
      <c r="AJ286" s="507">
        <f>Port[[#This Row],[ECL (CNY)]]*Port[[#This Row],[CNY -&gt; THB]]</f>
        <v>12.575396564798954</v>
      </c>
      <c r="AK286" s="507">
        <f>Port[[#This Row],[ECL_Interest (CNY)]]*Port[[#This Row],[CNY -&gt; THB]]</f>
        <v>2.5744987439706331E-4</v>
      </c>
      <c r="AL286" s="507">
        <f>Port[[#This Row],[EAD (THB)]]*Port[[#This Row],[PD_avg]]</f>
        <v>13.972662849776617</v>
      </c>
      <c r="AM286" s="507">
        <f>Port[[#This Row],[EAD_Interest (THB)]]*Port[[#This Row],[PD_avg]]</f>
        <v>2.8605541599673701E-4</v>
      </c>
      <c r="AN286" s="507">
        <f>Port[[#This Row],[EAD (THB)]]*Port[[#This Row],[LGD_avg]]</f>
        <v>13844.675779199999</v>
      </c>
      <c r="AO286" s="507">
        <f>Port[[#This Row],[EAD_Interest (THB)]]*Port[[#This Row],[LGD_avg]]</f>
        <v>0.28343519999999994</v>
      </c>
      <c r="AP286" s="507">
        <f>Port[[#This Row],[EAD_Drawn (THB)]]+Port[[#This Row],[EAD_Interest (THB)]]</f>
        <v>15383.288016</v>
      </c>
      <c r="AQ28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12.575654014673351</v>
      </c>
      <c r="AR286" s="522">
        <f>MAX(Port[[#This Row],[ECL (THB)]]+Port[[#This Row],[ECL_Interest (THB)]], Port[[#This Row],[ECL CBIRC (THB)]])</f>
        <v>12.575654014673351</v>
      </c>
    </row>
    <row r="287" spans="1:44">
      <c r="A287" s="2" t="s">
        <v>266</v>
      </c>
      <c r="B287" s="2" t="s">
        <v>267</v>
      </c>
      <c r="C287" s="2" t="s">
        <v>219</v>
      </c>
      <c r="D287" s="2" t="s">
        <v>25</v>
      </c>
      <c r="E287" s="2" t="s">
        <v>172</v>
      </c>
      <c r="F287" s="2" t="s">
        <v>173</v>
      </c>
      <c r="G287" s="2" t="s">
        <v>21</v>
      </c>
      <c r="H287">
        <v>1</v>
      </c>
      <c r="I287" s="2" t="s">
        <v>526</v>
      </c>
      <c r="J287" s="505">
        <v>9.0832004774658653E-4</v>
      </c>
      <c r="K287" s="505">
        <v>0.90000000000000013</v>
      </c>
      <c r="L287" s="3">
        <v>1</v>
      </c>
      <c r="M287" s="3">
        <v>5.2488000000000001</v>
      </c>
      <c r="N287" s="507">
        <v>71295.92</v>
      </c>
      <c r="O287" s="507">
        <v>0</v>
      </c>
      <c r="P287" s="507">
        <v>71295.92</v>
      </c>
      <c r="Q287" s="507">
        <v>16695.3</v>
      </c>
      <c r="R287" s="507">
        <v>58.283562112683128</v>
      </c>
      <c r="S287" s="507">
        <v>0</v>
      </c>
      <c r="T287" s="507">
        <v>58.283562112683128</v>
      </c>
      <c r="U287" s="507">
        <v>13.648208123829228</v>
      </c>
      <c r="V287" s="507">
        <f>Port[[#This Row],[EAD_Drawn (CNY)]]*Port[[#This Row],[CNY -&gt; FCY]]</f>
        <v>71295.92</v>
      </c>
      <c r="W287" s="507">
        <f>Port[[#This Row],[EAD_Undrawn (CNY)]]*Port[[#This Row],[CNY -&gt; FCY]]</f>
        <v>0</v>
      </c>
      <c r="X287" s="507">
        <f>Port[[#This Row],[EAD (CNY)]]*Port[[#This Row],[CNY -&gt; FCY]]</f>
        <v>71295.92</v>
      </c>
      <c r="Y287" s="507">
        <f>Port[[#This Row],[EAD_Interest (CNY)]]*Port[[#This Row],[CNY -&gt; FCY]]</f>
        <v>16695.3</v>
      </c>
      <c r="Z287" s="507">
        <f>Port[[#This Row],[ECL_Drawn (CNY)]]*Port[[#This Row],[CNY -&gt; FCY]]</f>
        <v>58.283562112683128</v>
      </c>
      <c r="AA287" s="507">
        <f>Port[[#This Row],[ECL_Undrawn (CNY)]]*Port[[#This Row],[CNY -&gt; FCY]]</f>
        <v>0</v>
      </c>
      <c r="AB287" s="507">
        <f>Port[[#This Row],[ECL (CNY)]]*Port[[#This Row],[CNY -&gt; FCY]]</f>
        <v>58.283562112683128</v>
      </c>
      <c r="AC287" s="507">
        <f>Port[[#This Row],[ECL_Interest (CNY)]]*Port[[#This Row],[CNY -&gt; FCY]]</f>
        <v>13.648208123829228</v>
      </c>
      <c r="AD287" s="507">
        <f>Port[[#This Row],[EAD_Drawn (CNY)]]*Port[[#This Row],[CNY -&gt; THB]]</f>
        <v>374218.02489599999</v>
      </c>
      <c r="AE287" s="507">
        <f>Port[[#This Row],[EAD_Undrawn (CNY)]]*Port[[#This Row],[CNY -&gt; THB]]</f>
        <v>0</v>
      </c>
      <c r="AF287" s="507">
        <f>Port[[#This Row],[EAD (CNY)]]*Port[[#This Row],[CNY -&gt; THB]]</f>
        <v>374218.02489599999</v>
      </c>
      <c r="AG287" s="507">
        <f>Port[[#This Row],[EAD_Interest (CNY)]]*Port[[#This Row],[CNY -&gt; THB]]</f>
        <v>87630.290639999992</v>
      </c>
      <c r="AH287" s="507">
        <f>Port[[#This Row],[ECL_Drawn (CNY)]]*Port[[#This Row],[CNY -&gt; THB]]</f>
        <v>305.91876081705124</v>
      </c>
      <c r="AI287" s="507">
        <f>Port[[#This Row],[ECL_Undrawn (CNY)]]*Port[[#This Row],[CNY -&gt; THB]]</f>
        <v>0</v>
      </c>
      <c r="AJ287" s="507">
        <f>Port[[#This Row],[ECL (CNY)]]*Port[[#This Row],[CNY -&gt; THB]]</f>
        <v>305.91876081705124</v>
      </c>
      <c r="AK287" s="507">
        <f>Port[[#This Row],[ECL_Interest (CNY)]]*Port[[#This Row],[CNY -&gt; THB]]</f>
        <v>71.636714800354852</v>
      </c>
      <c r="AL287" s="507">
        <f>Port[[#This Row],[EAD (THB)]]*Port[[#This Row],[PD_avg]]</f>
        <v>339.909734241168</v>
      </c>
      <c r="AM287" s="507">
        <f>Port[[#This Row],[EAD_Interest (THB)]]*Port[[#This Row],[PD_avg]]</f>
        <v>79.596349778172041</v>
      </c>
      <c r="AN287" s="507">
        <f>Port[[#This Row],[EAD (THB)]]*Port[[#This Row],[LGD_avg]]</f>
        <v>336796.22240640002</v>
      </c>
      <c r="AO287" s="507">
        <f>Port[[#This Row],[EAD_Interest (THB)]]*Port[[#This Row],[LGD_avg]]</f>
        <v>78867.261576000004</v>
      </c>
      <c r="AP287" s="507">
        <f>Port[[#This Row],[EAD_Drawn (THB)]]+Port[[#This Row],[EAD_Interest (THB)]]</f>
        <v>461848.31553599995</v>
      </c>
      <c r="AQ28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377.5554756174061</v>
      </c>
      <c r="AR287" s="522">
        <f>MAX(Port[[#This Row],[ECL (THB)]]+Port[[#This Row],[ECL_Interest (THB)]], Port[[#This Row],[ECL CBIRC (THB)]])</f>
        <v>377.5554756174061</v>
      </c>
    </row>
    <row r="288" spans="1:44">
      <c r="A288" s="2" t="s">
        <v>268</v>
      </c>
      <c r="B288" s="2" t="s">
        <v>269</v>
      </c>
      <c r="C288" s="2" t="s">
        <v>219</v>
      </c>
      <c r="D288" s="2" t="s">
        <v>25</v>
      </c>
      <c r="E288" s="2" t="s">
        <v>172</v>
      </c>
      <c r="F288" s="2" t="s">
        <v>173</v>
      </c>
      <c r="G288" s="2" t="s">
        <v>21</v>
      </c>
      <c r="H288">
        <v>1</v>
      </c>
      <c r="I288" s="2" t="s">
        <v>526</v>
      </c>
      <c r="J288" s="505">
        <v>9.0832004774658653E-4</v>
      </c>
      <c r="K288" s="505">
        <v>0.89999999999999991</v>
      </c>
      <c r="L288" s="3">
        <v>1</v>
      </c>
      <c r="M288" s="3">
        <v>5.2488000000000001</v>
      </c>
      <c r="N288" s="507">
        <v>2509710.2400000002</v>
      </c>
      <c r="O288" s="507">
        <v>0</v>
      </c>
      <c r="P288" s="507">
        <v>2509710.2400000002</v>
      </c>
      <c r="Q288" s="507">
        <v>382.17</v>
      </c>
      <c r="R288" s="507">
        <v>2051.6581125242074</v>
      </c>
      <c r="S288" s="507">
        <v>0</v>
      </c>
      <c r="T288" s="507">
        <v>2051.6581125242074</v>
      </c>
      <c r="U288" s="507">
        <v>0.31241940538258167</v>
      </c>
      <c r="V288" s="507">
        <f>Port[[#This Row],[EAD_Drawn (CNY)]]*Port[[#This Row],[CNY -&gt; FCY]]</f>
        <v>2509710.2400000002</v>
      </c>
      <c r="W288" s="507">
        <f>Port[[#This Row],[EAD_Undrawn (CNY)]]*Port[[#This Row],[CNY -&gt; FCY]]</f>
        <v>0</v>
      </c>
      <c r="X288" s="507">
        <f>Port[[#This Row],[EAD (CNY)]]*Port[[#This Row],[CNY -&gt; FCY]]</f>
        <v>2509710.2400000002</v>
      </c>
      <c r="Y288" s="507">
        <f>Port[[#This Row],[EAD_Interest (CNY)]]*Port[[#This Row],[CNY -&gt; FCY]]</f>
        <v>382.17</v>
      </c>
      <c r="Z288" s="507">
        <f>Port[[#This Row],[ECL_Drawn (CNY)]]*Port[[#This Row],[CNY -&gt; FCY]]</f>
        <v>2051.6581125242074</v>
      </c>
      <c r="AA288" s="507">
        <f>Port[[#This Row],[ECL_Undrawn (CNY)]]*Port[[#This Row],[CNY -&gt; FCY]]</f>
        <v>0</v>
      </c>
      <c r="AB288" s="507">
        <f>Port[[#This Row],[ECL (CNY)]]*Port[[#This Row],[CNY -&gt; FCY]]</f>
        <v>2051.6581125242074</v>
      </c>
      <c r="AC288" s="507">
        <f>Port[[#This Row],[ECL_Interest (CNY)]]*Port[[#This Row],[CNY -&gt; FCY]]</f>
        <v>0.31241940538258167</v>
      </c>
      <c r="AD288" s="507">
        <f>Port[[#This Row],[EAD_Drawn (CNY)]]*Port[[#This Row],[CNY -&gt; THB]]</f>
        <v>13172967.107712001</v>
      </c>
      <c r="AE288" s="507">
        <f>Port[[#This Row],[EAD_Undrawn (CNY)]]*Port[[#This Row],[CNY -&gt; THB]]</f>
        <v>0</v>
      </c>
      <c r="AF288" s="507">
        <f>Port[[#This Row],[EAD (CNY)]]*Port[[#This Row],[CNY -&gt; THB]]</f>
        <v>13172967.107712001</v>
      </c>
      <c r="AG288" s="507">
        <f>Port[[#This Row],[EAD_Interest (CNY)]]*Port[[#This Row],[CNY -&gt; THB]]</f>
        <v>2005.9338960000002</v>
      </c>
      <c r="AH288" s="507">
        <f>Port[[#This Row],[ECL_Drawn (CNY)]]*Port[[#This Row],[CNY -&gt; THB]]</f>
        <v>10768.74310101706</v>
      </c>
      <c r="AI288" s="507">
        <f>Port[[#This Row],[ECL_Undrawn (CNY)]]*Port[[#This Row],[CNY -&gt; THB]]</f>
        <v>0</v>
      </c>
      <c r="AJ288" s="507">
        <f>Port[[#This Row],[ECL (CNY)]]*Port[[#This Row],[CNY -&gt; THB]]</f>
        <v>10768.74310101706</v>
      </c>
      <c r="AK288" s="507">
        <f>Port[[#This Row],[ECL_Interest (CNY)]]*Port[[#This Row],[CNY -&gt; THB]]</f>
        <v>1.6398269749720946</v>
      </c>
      <c r="AL288" s="507">
        <f>Port[[#This Row],[EAD (THB)]]*Port[[#This Row],[PD_avg]]</f>
        <v>11965.270112241178</v>
      </c>
      <c r="AM288" s="507">
        <f>Port[[#This Row],[EAD_Interest (THB)]]*Port[[#This Row],[PD_avg]]</f>
        <v>1.8220299721912165</v>
      </c>
      <c r="AN288" s="507">
        <f>Port[[#This Row],[EAD (THB)]]*Port[[#This Row],[LGD_avg]]</f>
        <v>11855670.396940799</v>
      </c>
      <c r="AO288" s="507">
        <f>Port[[#This Row],[EAD_Interest (THB)]]*Port[[#This Row],[LGD_avg]]</f>
        <v>1805.3405064000001</v>
      </c>
      <c r="AP288" s="507">
        <f>Port[[#This Row],[EAD_Drawn (THB)]]+Port[[#This Row],[EAD_Interest (THB)]]</f>
        <v>13174973.041608</v>
      </c>
      <c r="AQ28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10770.382927992032</v>
      </c>
      <c r="AR288" s="522">
        <f>MAX(Port[[#This Row],[ECL (THB)]]+Port[[#This Row],[ECL_Interest (THB)]], Port[[#This Row],[ECL CBIRC (THB)]])</f>
        <v>10770.382927992032</v>
      </c>
    </row>
    <row r="289" spans="1:44">
      <c r="A289" s="2" t="s">
        <v>270</v>
      </c>
      <c r="B289" s="2" t="s">
        <v>271</v>
      </c>
      <c r="C289" s="2" t="s">
        <v>219</v>
      </c>
      <c r="D289" s="2" t="s">
        <v>25</v>
      </c>
      <c r="E289" s="2" t="s">
        <v>172</v>
      </c>
      <c r="F289" s="2" t="s">
        <v>173</v>
      </c>
      <c r="G289" s="2" t="s">
        <v>21</v>
      </c>
      <c r="H289">
        <v>1</v>
      </c>
      <c r="I289" s="2" t="s">
        <v>526</v>
      </c>
      <c r="J289" s="505">
        <v>9.0832004774658653E-4</v>
      </c>
      <c r="K289" s="505">
        <v>0.8999999999999998</v>
      </c>
      <c r="L289" s="3">
        <v>1</v>
      </c>
      <c r="M289" s="3">
        <v>5.2488000000000001</v>
      </c>
      <c r="N289" s="507">
        <v>235248.38</v>
      </c>
      <c r="O289" s="507">
        <v>0</v>
      </c>
      <c r="P289" s="507">
        <v>235248.38</v>
      </c>
      <c r="Q289" s="507">
        <v>82.32</v>
      </c>
      <c r="R289" s="507">
        <v>192.31273777851641</v>
      </c>
      <c r="S289" s="507">
        <v>0</v>
      </c>
      <c r="T289" s="507">
        <v>192.31273777851641</v>
      </c>
      <c r="U289" s="507">
        <v>6.7295615697449102E-2</v>
      </c>
      <c r="V289" s="507">
        <f>Port[[#This Row],[EAD_Drawn (CNY)]]*Port[[#This Row],[CNY -&gt; FCY]]</f>
        <v>235248.38</v>
      </c>
      <c r="W289" s="507">
        <f>Port[[#This Row],[EAD_Undrawn (CNY)]]*Port[[#This Row],[CNY -&gt; FCY]]</f>
        <v>0</v>
      </c>
      <c r="X289" s="507">
        <f>Port[[#This Row],[EAD (CNY)]]*Port[[#This Row],[CNY -&gt; FCY]]</f>
        <v>235248.38</v>
      </c>
      <c r="Y289" s="507">
        <f>Port[[#This Row],[EAD_Interest (CNY)]]*Port[[#This Row],[CNY -&gt; FCY]]</f>
        <v>82.32</v>
      </c>
      <c r="Z289" s="507">
        <f>Port[[#This Row],[ECL_Drawn (CNY)]]*Port[[#This Row],[CNY -&gt; FCY]]</f>
        <v>192.31273777851641</v>
      </c>
      <c r="AA289" s="507">
        <f>Port[[#This Row],[ECL_Undrawn (CNY)]]*Port[[#This Row],[CNY -&gt; FCY]]</f>
        <v>0</v>
      </c>
      <c r="AB289" s="507">
        <f>Port[[#This Row],[ECL (CNY)]]*Port[[#This Row],[CNY -&gt; FCY]]</f>
        <v>192.31273777851641</v>
      </c>
      <c r="AC289" s="507">
        <f>Port[[#This Row],[ECL_Interest (CNY)]]*Port[[#This Row],[CNY -&gt; FCY]]</f>
        <v>6.7295615697449102E-2</v>
      </c>
      <c r="AD289" s="507">
        <f>Port[[#This Row],[EAD_Drawn (CNY)]]*Port[[#This Row],[CNY -&gt; THB]]</f>
        <v>1234771.696944</v>
      </c>
      <c r="AE289" s="507">
        <f>Port[[#This Row],[EAD_Undrawn (CNY)]]*Port[[#This Row],[CNY -&gt; THB]]</f>
        <v>0</v>
      </c>
      <c r="AF289" s="507">
        <f>Port[[#This Row],[EAD (CNY)]]*Port[[#This Row],[CNY -&gt; THB]]</f>
        <v>1234771.696944</v>
      </c>
      <c r="AG289" s="507">
        <f>Port[[#This Row],[EAD_Interest (CNY)]]*Port[[#This Row],[CNY -&gt; THB]]</f>
        <v>432.08121599999998</v>
      </c>
      <c r="AH289" s="507">
        <f>Port[[#This Row],[ECL_Drawn (CNY)]]*Port[[#This Row],[CNY -&gt; THB]]</f>
        <v>1009.4110980518769</v>
      </c>
      <c r="AI289" s="507">
        <f>Port[[#This Row],[ECL_Undrawn (CNY)]]*Port[[#This Row],[CNY -&gt; THB]]</f>
        <v>0</v>
      </c>
      <c r="AJ289" s="507">
        <f>Port[[#This Row],[ECL (CNY)]]*Port[[#This Row],[CNY -&gt; THB]]</f>
        <v>1009.4110980518769</v>
      </c>
      <c r="AK289" s="507">
        <f>Port[[#This Row],[ECL_Interest (CNY)]]*Port[[#This Row],[CNY -&gt; THB]]</f>
        <v>0.35322122767277087</v>
      </c>
      <c r="AL289" s="507">
        <f>Port[[#This Row],[EAD (THB)]]*Port[[#This Row],[PD_avg]]</f>
        <v>1121.5678867243078</v>
      </c>
      <c r="AM289" s="507">
        <f>Port[[#This Row],[EAD_Interest (THB)]]*Port[[#This Row],[PD_avg]]</f>
        <v>0.39246803074752318</v>
      </c>
      <c r="AN289" s="507">
        <f>Port[[#This Row],[EAD (THB)]]*Port[[#This Row],[LGD_avg]]</f>
        <v>1111294.5272495998</v>
      </c>
      <c r="AO289" s="507">
        <f>Port[[#This Row],[EAD_Interest (THB)]]*Port[[#This Row],[LGD_avg]]</f>
        <v>388.8730943999999</v>
      </c>
      <c r="AP289" s="507">
        <f>Port[[#This Row],[EAD_Drawn (THB)]]+Port[[#This Row],[EAD_Interest (THB)]]</f>
        <v>1235203.77816</v>
      </c>
      <c r="AQ28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1009.7643192795497</v>
      </c>
      <c r="AR289" s="522">
        <f>MAX(Port[[#This Row],[ECL (THB)]]+Port[[#This Row],[ECL_Interest (THB)]], Port[[#This Row],[ECL CBIRC (THB)]])</f>
        <v>1009.7643192795497</v>
      </c>
    </row>
    <row r="290" spans="1:44">
      <c r="A290" s="2" t="s">
        <v>272</v>
      </c>
      <c r="B290" s="2" t="s">
        <v>273</v>
      </c>
      <c r="C290" s="2" t="s">
        <v>219</v>
      </c>
      <c r="D290" s="2" t="s">
        <v>25</v>
      </c>
      <c r="E290" s="2" t="s">
        <v>172</v>
      </c>
      <c r="F290" s="2" t="s">
        <v>173</v>
      </c>
      <c r="G290" s="2" t="s">
        <v>21</v>
      </c>
      <c r="H290">
        <v>1</v>
      </c>
      <c r="I290" s="2" t="s">
        <v>526</v>
      </c>
      <c r="J290" s="505">
        <v>9.0832004774658653E-4</v>
      </c>
      <c r="K290" s="505">
        <v>0.9</v>
      </c>
      <c r="L290" s="3">
        <v>1</v>
      </c>
      <c r="M290" s="3">
        <v>5.2488000000000001</v>
      </c>
      <c r="N290" s="507">
        <v>5000292.62</v>
      </c>
      <c r="O290" s="507">
        <v>0</v>
      </c>
      <c r="P290" s="507">
        <v>5000292.62</v>
      </c>
      <c r="Q290" s="507">
        <v>369.93</v>
      </c>
      <c r="R290" s="507">
        <v>4087.6794282107739</v>
      </c>
      <c r="S290" s="507">
        <v>0</v>
      </c>
      <c r="T290" s="507">
        <v>4087.6794282107739</v>
      </c>
      <c r="U290" s="507">
        <v>0.30241335173660527</v>
      </c>
      <c r="V290" s="507">
        <f>Port[[#This Row],[EAD_Drawn (CNY)]]*Port[[#This Row],[CNY -&gt; FCY]]</f>
        <v>5000292.62</v>
      </c>
      <c r="W290" s="507">
        <f>Port[[#This Row],[EAD_Undrawn (CNY)]]*Port[[#This Row],[CNY -&gt; FCY]]</f>
        <v>0</v>
      </c>
      <c r="X290" s="507">
        <f>Port[[#This Row],[EAD (CNY)]]*Port[[#This Row],[CNY -&gt; FCY]]</f>
        <v>5000292.62</v>
      </c>
      <c r="Y290" s="507">
        <f>Port[[#This Row],[EAD_Interest (CNY)]]*Port[[#This Row],[CNY -&gt; FCY]]</f>
        <v>369.93</v>
      </c>
      <c r="Z290" s="507">
        <f>Port[[#This Row],[ECL_Drawn (CNY)]]*Port[[#This Row],[CNY -&gt; FCY]]</f>
        <v>4087.6794282107739</v>
      </c>
      <c r="AA290" s="507">
        <f>Port[[#This Row],[ECL_Undrawn (CNY)]]*Port[[#This Row],[CNY -&gt; FCY]]</f>
        <v>0</v>
      </c>
      <c r="AB290" s="507">
        <f>Port[[#This Row],[ECL (CNY)]]*Port[[#This Row],[CNY -&gt; FCY]]</f>
        <v>4087.6794282107739</v>
      </c>
      <c r="AC290" s="507">
        <f>Port[[#This Row],[ECL_Interest (CNY)]]*Port[[#This Row],[CNY -&gt; FCY]]</f>
        <v>0.30241335173660527</v>
      </c>
      <c r="AD290" s="507">
        <f>Port[[#This Row],[EAD_Drawn (CNY)]]*Port[[#This Row],[CNY -&gt; THB]]</f>
        <v>26245535.903856002</v>
      </c>
      <c r="AE290" s="507">
        <f>Port[[#This Row],[EAD_Undrawn (CNY)]]*Port[[#This Row],[CNY -&gt; THB]]</f>
        <v>0</v>
      </c>
      <c r="AF290" s="507">
        <f>Port[[#This Row],[EAD (CNY)]]*Port[[#This Row],[CNY -&gt; THB]]</f>
        <v>26245535.903856002</v>
      </c>
      <c r="AG290" s="507">
        <f>Port[[#This Row],[EAD_Interest (CNY)]]*Port[[#This Row],[CNY -&gt; THB]]</f>
        <v>1941.688584</v>
      </c>
      <c r="AH290" s="507">
        <f>Port[[#This Row],[ECL_Drawn (CNY)]]*Port[[#This Row],[CNY -&gt; THB]]</f>
        <v>21455.411782792711</v>
      </c>
      <c r="AI290" s="507">
        <f>Port[[#This Row],[ECL_Undrawn (CNY)]]*Port[[#This Row],[CNY -&gt; THB]]</f>
        <v>0</v>
      </c>
      <c r="AJ290" s="507">
        <f>Port[[#This Row],[ECL (CNY)]]*Port[[#This Row],[CNY -&gt; THB]]</f>
        <v>21455.411782792711</v>
      </c>
      <c r="AK290" s="507">
        <f>Port[[#This Row],[ECL_Interest (CNY)]]*Port[[#This Row],[CNY -&gt; THB]]</f>
        <v>1.5873072005950939</v>
      </c>
      <c r="AL290" s="507">
        <f>Port[[#This Row],[EAD (THB)]]*Port[[#This Row],[PD_avg]]</f>
        <v>23839.346425325235</v>
      </c>
      <c r="AM290" s="507">
        <f>Port[[#This Row],[EAD_Interest (THB)]]*Port[[#This Row],[PD_avg]]</f>
        <v>1.763674667327882</v>
      </c>
      <c r="AN290" s="507">
        <f>Port[[#This Row],[EAD (THB)]]*Port[[#This Row],[LGD_avg]]</f>
        <v>23620982.313470401</v>
      </c>
      <c r="AO290" s="507">
        <f>Port[[#This Row],[EAD_Interest (THB)]]*Port[[#This Row],[LGD_avg]]</f>
        <v>1747.5197256000001</v>
      </c>
      <c r="AP290" s="507">
        <f>Port[[#This Row],[EAD_Drawn (THB)]]+Port[[#This Row],[EAD_Interest (THB)]]</f>
        <v>26247477.592440002</v>
      </c>
      <c r="AQ29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21456.999089993307</v>
      </c>
      <c r="AR290" s="522">
        <f>MAX(Port[[#This Row],[ECL (THB)]]+Port[[#This Row],[ECL_Interest (THB)]], Port[[#This Row],[ECL CBIRC (THB)]])</f>
        <v>21456.999089993307</v>
      </c>
    </row>
    <row r="291" spans="1:44">
      <c r="A291" s="2" t="s">
        <v>1012</v>
      </c>
      <c r="B291" s="2" t="s">
        <v>1013</v>
      </c>
      <c r="C291" s="2" t="s">
        <v>1014</v>
      </c>
      <c r="D291" s="2" t="s">
        <v>18</v>
      </c>
      <c r="E291" s="2" t="s">
        <v>19</v>
      </c>
      <c r="F291" s="2" t="s">
        <v>20</v>
      </c>
      <c r="G291" s="2" t="s">
        <v>57</v>
      </c>
      <c r="H291">
        <v>1</v>
      </c>
      <c r="I291" s="2" t="s">
        <v>526</v>
      </c>
      <c r="J291" s="505">
        <v>9.7365688734546596E-2</v>
      </c>
      <c r="K291" s="505">
        <v>0.9</v>
      </c>
      <c r="L291" s="3">
        <v>0.15684552284455039</v>
      </c>
      <c r="M291" s="3">
        <v>5.2488000000000001</v>
      </c>
      <c r="N291" s="507">
        <v>1719522</v>
      </c>
      <c r="O291" s="507">
        <v>0</v>
      </c>
      <c r="P291" s="507">
        <v>1719522</v>
      </c>
      <c r="Q291" s="507">
        <v>0</v>
      </c>
      <c r="R291" s="507">
        <v>150680.19944178453</v>
      </c>
      <c r="S291" s="507">
        <v>0</v>
      </c>
      <c r="T291" s="507">
        <v>150680.19944178453</v>
      </c>
      <c r="U291" s="507">
        <v>0</v>
      </c>
      <c r="V291" s="507">
        <f>Port[[#This Row],[EAD_Drawn (CNY)]]*Port[[#This Row],[CNY -&gt; FCY]]</f>
        <v>269699.327132707</v>
      </c>
      <c r="W291" s="507">
        <f>Port[[#This Row],[EAD_Undrawn (CNY)]]*Port[[#This Row],[CNY -&gt; FCY]]</f>
        <v>0</v>
      </c>
      <c r="X291" s="507">
        <f>Port[[#This Row],[EAD (CNY)]]*Port[[#This Row],[CNY -&gt; FCY]]</f>
        <v>269699.327132707</v>
      </c>
      <c r="Y291" s="507">
        <f>Port[[#This Row],[EAD_Interest (CNY)]]*Port[[#This Row],[CNY -&gt; FCY]]</f>
        <v>0</v>
      </c>
      <c r="Z291" s="507">
        <f>Port[[#This Row],[ECL_Drawn (CNY)]]*Port[[#This Row],[CNY -&gt; FCY]]</f>
        <v>23633.514663767823</v>
      </c>
      <c r="AA291" s="507">
        <f>Port[[#This Row],[ECL_Undrawn (CNY)]]*Port[[#This Row],[CNY -&gt; FCY]]</f>
        <v>0</v>
      </c>
      <c r="AB291" s="507">
        <f>Port[[#This Row],[ECL (CNY)]]*Port[[#This Row],[CNY -&gt; FCY]]</f>
        <v>23633.514663767823</v>
      </c>
      <c r="AC291" s="507">
        <f>Port[[#This Row],[ECL_Interest (CNY)]]*Port[[#This Row],[CNY -&gt; FCY]]</f>
        <v>0</v>
      </c>
      <c r="AD291" s="507">
        <f>Port[[#This Row],[EAD_Drawn (CNY)]]*Port[[#This Row],[CNY -&gt; THB]]</f>
        <v>9025427.0735999998</v>
      </c>
      <c r="AE291" s="507">
        <f>Port[[#This Row],[EAD_Undrawn (CNY)]]*Port[[#This Row],[CNY -&gt; THB]]</f>
        <v>0</v>
      </c>
      <c r="AF291" s="507">
        <f>Port[[#This Row],[EAD (CNY)]]*Port[[#This Row],[CNY -&gt; THB]]</f>
        <v>9025427.0735999998</v>
      </c>
      <c r="AG291" s="507">
        <f>Port[[#This Row],[EAD_Interest (CNY)]]*Port[[#This Row],[CNY -&gt; THB]]</f>
        <v>0</v>
      </c>
      <c r="AH291" s="507">
        <f>Port[[#This Row],[ECL_Drawn (CNY)]]*Port[[#This Row],[CNY -&gt; THB]]</f>
        <v>790890.23083003866</v>
      </c>
      <c r="AI291" s="507">
        <f>Port[[#This Row],[ECL_Undrawn (CNY)]]*Port[[#This Row],[CNY -&gt; THB]]</f>
        <v>0</v>
      </c>
      <c r="AJ291" s="507">
        <f>Port[[#This Row],[ECL (CNY)]]*Port[[#This Row],[CNY -&gt; THB]]</f>
        <v>790890.23083003866</v>
      </c>
      <c r="AK291" s="507">
        <f>Port[[#This Row],[ECL_Interest (CNY)]]*Port[[#This Row],[CNY -&gt; THB]]</f>
        <v>0</v>
      </c>
      <c r="AL291" s="507">
        <f>Port[[#This Row],[EAD (THB)]]*Port[[#This Row],[PD_avg]]</f>
        <v>878766.92314448731</v>
      </c>
      <c r="AM291" s="507">
        <f>Port[[#This Row],[EAD_Interest (THB)]]*Port[[#This Row],[PD_avg]]</f>
        <v>0</v>
      </c>
      <c r="AN291" s="507">
        <f>Port[[#This Row],[EAD (THB)]]*Port[[#This Row],[LGD_avg]]</f>
        <v>8122884.3662400004</v>
      </c>
      <c r="AO291" s="507">
        <f>Port[[#This Row],[EAD_Interest (THB)]]*Port[[#This Row],[LGD_avg]]</f>
        <v>0</v>
      </c>
      <c r="AP291" s="507">
        <f>Port[[#This Row],[EAD_Drawn (THB)]]+Port[[#This Row],[EAD_Interest (THB)]]</f>
        <v>9025427.0735999998</v>
      </c>
      <c r="AQ29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135381.40610399999</v>
      </c>
      <c r="AR291" s="522">
        <f>MAX(Port[[#This Row],[ECL (THB)]]+Port[[#This Row],[ECL_Interest (THB)]], Port[[#This Row],[ECL CBIRC (THB)]])</f>
        <v>790890.23083003866</v>
      </c>
    </row>
    <row r="292" spans="1:44">
      <c r="A292" s="2" t="s">
        <v>1015</v>
      </c>
      <c r="B292" s="2" t="s">
        <v>1013</v>
      </c>
      <c r="C292" s="2" t="s">
        <v>1014</v>
      </c>
      <c r="D292" s="2" t="s">
        <v>18</v>
      </c>
      <c r="E292" s="2" t="s">
        <v>19</v>
      </c>
      <c r="F292" s="2" t="s">
        <v>20</v>
      </c>
      <c r="G292" s="2" t="s">
        <v>57</v>
      </c>
      <c r="H292">
        <v>1</v>
      </c>
      <c r="I292" s="2" t="s">
        <v>526</v>
      </c>
      <c r="J292" s="505">
        <v>9.7365688734546596E-2</v>
      </c>
      <c r="K292" s="505">
        <v>0.89999999999999991</v>
      </c>
      <c r="L292" s="3">
        <v>0.15684552284455039</v>
      </c>
      <c r="M292" s="3">
        <v>5.2488000000000001</v>
      </c>
      <c r="N292" s="507">
        <v>1190928.2</v>
      </c>
      <c r="O292" s="507">
        <v>0</v>
      </c>
      <c r="P292" s="507">
        <v>1190928.2</v>
      </c>
      <c r="Q292" s="507">
        <v>0</v>
      </c>
      <c r="R292" s="507">
        <v>104359.98998375447</v>
      </c>
      <c r="S292" s="507">
        <v>0</v>
      </c>
      <c r="T292" s="507">
        <v>104359.98998375447</v>
      </c>
      <c r="U292" s="507">
        <v>0</v>
      </c>
      <c r="V292" s="507">
        <f>Port[[#This Row],[EAD_Drawn (CNY)]]*Port[[#This Row],[CNY -&gt; FCY]]</f>
        <v>186791.75619931926</v>
      </c>
      <c r="W292" s="507">
        <f>Port[[#This Row],[EAD_Undrawn (CNY)]]*Port[[#This Row],[CNY -&gt; FCY]]</f>
        <v>0</v>
      </c>
      <c r="X292" s="507">
        <f>Port[[#This Row],[EAD (CNY)]]*Port[[#This Row],[CNY -&gt; FCY]]</f>
        <v>186791.75619931926</v>
      </c>
      <c r="Y292" s="507">
        <f>Port[[#This Row],[EAD_Interest (CNY)]]*Port[[#This Row],[CNY -&gt; FCY]]</f>
        <v>0</v>
      </c>
      <c r="Z292" s="507">
        <f>Port[[#This Row],[ECL_Drawn (CNY)]]*Port[[#This Row],[CNY -&gt; FCY]]</f>
        <v>16368.39719305401</v>
      </c>
      <c r="AA292" s="507">
        <f>Port[[#This Row],[ECL_Undrawn (CNY)]]*Port[[#This Row],[CNY -&gt; FCY]]</f>
        <v>0</v>
      </c>
      <c r="AB292" s="507">
        <f>Port[[#This Row],[ECL (CNY)]]*Port[[#This Row],[CNY -&gt; FCY]]</f>
        <v>16368.39719305401</v>
      </c>
      <c r="AC292" s="507">
        <f>Port[[#This Row],[ECL_Interest (CNY)]]*Port[[#This Row],[CNY -&gt; FCY]]</f>
        <v>0</v>
      </c>
      <c r="AD292" s="507">
        <f>Port[[#This Row],[EAD_Drawn (CNY)]]*Port[[#This Row],[CNY -&gt; THB]]</f>
        <v>6250943.93616</v>
      </c>
      <c r="AE292" s="507">
        <f>Port[[#This Row],[EAD_Undrawn (CNY)]]*Port[[#This Row],[CNY -&gt; THB]]</f>
        <v>0</v>
      </c>
      <c r="AF292" s="507">
        <f>Port[[#This Row],[EAD (CNY)]]*Port[[#This Row],[CNY -&gt; THB]]</f>
        <v>6250943.93616</v>
      </c>
      <c r="AG292" s="507">
        <f>Port[[#This Row],[EAD_Interest (CNY)]]*Port[[#This Row],[CNY -&gt; THB]]</f>
        <v>0</v>
      </c>
      <c r="AH292" s="507">
        <f>Port[[#This Row],[ECL_Drawn (CNY)]]*Port[[#This Row],[CNY -&gt; THB]]</f>
        <v>547764.71542673046</v>
      </c>
      <c r="AI292" s="507">
        <f>Port[[#This Row],[ECL_Undrawn (CNY)]]*Port[[#This Row],[CNY -&gt; THB]]</f>
        <v>0</v>
      </c>
      <c r="AJ292" s="507">
        <f>Port[[#This Row],[ECL (CNY)]]*Port[[#This Row],[CNY -&gt; THB]]</f>
        <v>547764.71542673046</v>
      </c>
      <c r="AK292" s="507">
        <f>Port[[#This Row],[ECL_Interest (CNY)]]*Port[[#This Row],[CNY -&gt; THB]]</f>
        <v>0</v>
      </c>
      <c r="AL292" s="507">
        <f>Port[[#This Row],[EAD (THB)]]*Port[[#This Row],[PD_avg]]</f>
        <v>608627.46158525604</v>
      </c>
      <c r="AM292" s="507">
        <f>Port[[#This Row],[EAD_Interest (THB)]]*Port[[#This Row],[PD_avg]]</f>
        <v>0</v>
      </c>
      <c r="AN292" s="507">
        <f>Port[[#This Row],[EAD (THB)]]*Port[[#This Row],[LGD_avg]]</f>
        <v>5625849.5425439999</v>
      </c>
      <c r="AO292" s="507">
        <f>Port[[#This Row],[EAD_Interest (THB)]]*Port[[#This Row],[LGD_avg]]</f>
        <v>0</v>
      </c>
      <c r="AP292" s="507">
        <f>Port[[#This Row],[EAD_Drawn (THB)]]+Port[[#This Row],[EAD_Interest (THB)]]</f>
        <v>6250943.93616</v>
      </c>
      <c r="AQ29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93764.159042400002</v>
      </c>
      <c r="AR292" s="522">
        <f>MAX(Port[[#This Row],[ECL (THB)]]+Port[[#This Row],[ECL_Interest (THB)]], Port[[#This Row],[ECL CBIRC (THB)]])</f>
        <v>547764.71542673046</v>
      </c>
    </row>
    <row r="293" spans="1:44">
      <c r="A293" s="2" t="s">
        <v>274</v>
      </c>
      <c r="B293" s="2" t="s">
        <v>276</v>
      </c>
      <c r="C293" s="2" t="s">
        <v>275</v>
      </c>
      <c r="D293" s="2" t="s">
        <v>25</v>
      </c>
      <c r="E293" s="2" t="s">
        <v>172</v>
      </c>
      <c r="F293" s="2" t="s">
        <v>173</v>
      </c>
      <c r="G293" s="2" t="s">
        <v>21</v>
      </c>
      <c r="H293">
        <v>1</v>
      </c>
      <c r="I293" s="2" t="s">
        <v>526</v>
      </c>
      <c r="J293" s="505">
        <v>9.0832004774658653E-4</v>
      </c>
      <c r="K293" s="505">
        <v>0.89999999999999991</v>
      </c>
      <c r="L293" s="3">
        <v>1</v>
      </c>
      <c r="M293" s="3">
        <v>5.2488000000000001</v>
      </c>
      <c r="N293" s="507">
        <v>7763634.5899999999</v>
      </c>
      <c r="O293" s="507">
        <v>0</v>
      </c>
      <c r="P293" s="507">
        <v>7763634.5899999999</v>
      </c>
      <c r="Q293" s="507">
        <v>21486.91</v>
      </c>
      <c r="R293" s="507">
        <v>6346.6784473282651</v>
      </c>
      <c r="S293" s="507">
        <v>0</v>
      </c>
      <c r="T293" s="507">
        <v>6346.6784473282651</v>
      </c>
      <c r="U293" s="507">
        <v>17.565292005413944</v>
      </c>
      <c r="V293" s="507">
        <f>Port[[#This Row],[EAD_Drawn (CNY)]]*Port[[#This Row],[CNY -&gt; FCY]]</f>
        <v>7763634.5899999999</v>
      </c>
      <c r="W293" s="507">
        <f>Port[[#This Row],[EAD_Undrawn (CNY)]]*Port[[#This Row],[CNY -&gt; FCY]]</f>
        <v>0</v>
      </c>
      <c r="X293" s="507">
        <f>Port[[#This Row],[EAD (CNY)]]*Port[[#This Row],[CNY -&gt; FCY]]</f>
        <v>7763634.5899999999</v>
      </c>
      <c r="Y293" s="507">
        <f>Port[[#This Row],[EAD_Interest (CNY)]]*Port[[#This Row],[CNY -&gt; FCY]]</f>
        <v>21486.91</v>
      </c>
      <c r="Z293" s="507">
        <f>Port[[#This Row],[ECL_Drawn (CNY)]]*Port[[#This Row],[CNY -&gt; FCY]]</f>
        <v>6346.6784473282651</v>
      </c>
      <c r="AA293" s="507">
        <f>Port[[#This Row],[ECL_Undrawn (CNY)]]*Port[[#This Row],[CNY -&gt; FCY]]</f>
        <v>0</v>
      </c>
      <c r="AB293" s="507">
        <f>Port[[#This Row],[ECL (CNY)]]*Port[[#This Row],[CNY -&gt; FCY]]</f>
        <v>6346.6784473282651</v>
      </c>
      <c r="AC293" s="507">
        <f>Port[[#This Row],[ECL_Interest (CNY)]]*Port[[#This Row],[CNY -&gt; FCY]]</f>
        <v>17.565292005413944</v>
      </c>
      <c r="AD293" s="507">
        <f>Port[[#This Row],[EAD_Drawn (CNY)]]*Port[[#This Row],[CNY -&gt; THB]]</f>
        <v>40749765.235992</v>
      </c>
      <c r="AE293" s="507">
        <f>Port[[#This Row],[EAD_Undrawn (CNY)]]*Port[[#This Row],[CNY -&gt; THB]]</f>
        <v>0</v>
      </c>
      <c r="AF293" s="507">
        <f>Port[[#This Row],[EAD (CNY)]]*Port[[#This Row],[CNY -&gt; THB]]</f>
        <v>40749765.235992</v>
      </c>
      <c r="AG293" s="507">
        <f>Port[[#This Row],[EAD_Interest (CNY)]]*Port[[#This Row],[CNY -&gt; THB]]</f>
        <v>112780.493208</v>
      </c>
      <c r="AH293" s="507">
        <f>Port[[#This Row],[ECL_Drawn (CNY)]]*Port[[#This Row],[CNY -&gt; THB]]</f>
        <v>33312.445834336599</v>
      </c>
      <c r="AI293" s="507">
        <f>Port[[#This Row],[ECL_Undrawn (CNY)]]*Port[[#This Row],[CNY -&gt; THB]]</f>
        <v>0</v>
      </c>
      <c r="AJ293" s="507">
        <f>Port[[#This Row],[ECL (CNY)]]*Port[[#This Row],[CNY -&gt; THB]]</f>
        <v>33312.445834336599</v>
      </c>
      <c r="AK293" s="507">
        <f>Port[[#This Row],[ECL_Interest (CNY)]]*Port[[#This Row],[CNY -&gt; THB]]</f>
        <v>92.196704678016715</v>
      </c>
      <c r="AL293" s="507">
        <f>Port[[#This Row],[EAD (THB)]]*Port[[#This Row],[PD_avg]]</f>
        <v>37013.828704818443</v>
      </c>
      <c r="AM293" s="507">
        <f>Port[[#This Row],[EAD_Interest (THB)]]*Port[[#This Row],[PD_avg]]</f>
        <v>102.44078297557414</v>
      </c>
      <c r="AN293" s="507">
        <f>Port[[#This Row],[EAD (THB)]]*Port[[#This Row],[LGD_avg]]</f>
        <v>36674788.7123928</v>
      </c>
      <c r="AO293" s="507">
        <f>Port[[#This Row],[EAD_Interest (THB)]]*Port[[#This Row],[LGD_avg]]</f>
        <v>101502.44388719999</v>
      </c>
      <c r="AP293" s="507">
        <f>Port[[#This Row],[EAD_Drawn (THB)]]+Port[[#This Row],[EAD_Interest (THB)]]</f>
        <v>40862545.729199998</v>
      </c>
      <c r="AQ29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33404.642539014618</v>
      </c>
      <c r="AR293" s="522">
        <f>MAX(Port[[#This Row],[ECL (THB)]]+Port[[#This Row],[ECL_Interest (THB)]], Port[[#This Row],[ECL CBIRC (THB)]])</f>
        <v>33404.642539014618</v>
      </c>
    </row>
    <row r="294" spans="1:44">
      <c r="A294" s="2" t="s">
        <v>1016</v>
      </c>
      <c r="B294" s="2" t="s">
        <v>1017</v>
      </c>
      <c r="C294" s="2" t="s">
        <v>275</v>
      </c>
      <c r="D294" s="2" t="s">
        <v>25</v>
      </c>
      <c r="E294" s="2" t="s">
        <v>172</v>
      </c>
      <c r="F294" s="2" t="s">
        <v>173</v>
      </c>
      <c r="G294" s="2" t="s">
        <v>21</v>
      </c>
      <c r="H294">
        <v>1</v>
      </c>
      <c r="I294" s="2" t="s">
        <v>526</v>
      </c>
      <c r="J294" s="505">
        <v>9.0832004774658653E-4</v>
      </c>
      <c r="K294" s="505">
        <v>0.90000000000000013</v>
      </c>
      <c r="L294" s="3">
        <v>1</v>
      </c>
      <c r="M294" s="3">
        <v>5.2488000000000001</v>
      </c>
      <c r="N294" s="507">
        <v>259842185.80000001</v>
      </c>
      <c r="O294" s="507">
        <v>0</v>
      </c>
      <c r="P294" s="507">
        <v>259842185.80000001</v>
      </c>
      <c r="Q294" s="507">
        <v>92084.23</v>
      </c>
      <c r="R294" s="507">
        <v>212417.87995119009</v>
      </c>
      <c r="S294" s="507">
        <v>0</v>
      </c>
      <c r="T294" s="507">
        <v>212417.87995119009</v>
      </c>
      <c r="U294" s="507">
        <v>75.277756971276887</v>
      </c>
      <c r="V294" s="507">
        <f>Port[[#This Row],[EAD_Drawn (CNY)]]*Port[[#This Row],[CNY -&gt; FCY]]</f>
        <v>259842185.80000001</v>
      </c>
      <c r="W294" s="507">
        <f>Port[[#This Row],[EAD_Undrawn (CNY)]]*Port[[#This Row],[CNY -&gt; FCY]]</f>
        <v>0</v>
      </c>
      <c r="X294" s="507">
        <f>Port[[#This Row],[EAD (CNY)]]*Port[[#This Row],[CNY -&gt; FCY]]</f>
        <v>259842185.80000001</v>
      </c>
      <c r="Y294" s="507">
        <f>Port[[#This Row],[EAD_Interest (CNY)]]*Port[[#This Row],[CNY -&gt; FCY]]</f>
        <v>92084.23</v>
      </c>
      <c r="Z294" s="507">
        <f>Port[[#This Row],[ECL_Drawn (CNY)]]*Port[[#This Row],[CNY -&gt; FCY]]</f>
        <v>212417.87995119009</v>
      </c>
      <c r="AA294" s="507">
        <f>Port[[#This Row],[ECL_Undrawn (CNY)]]*Port[[#This Row],[CNY -&gt; FCY]]</f>
        <v>0</v>
      </c>
      <c r="AB294" s="507">
        <f>Port[[#This Row],[ECL (CNY)]]*Port[[#This Row],[CNY -&gt; FCY]]</f>
        <v>212417.87995119009</v>
      </c>
      <c r="AC294" s="507">
        <f>Port[[#This Row],[ECL_Interest (CNY)]]*Port[[#This Row],[CNY -&gt; FCY]]</f>
        <v>75.277756971276887</v>
      </c>
      <c r="AD294" s="507">
        <f>Port[[#This Row],[EAD_Drawn (CNY)]]*Port[[#This Row],[CNY -&gt; THB]]</f>
        <v>1363859664.8270402</v>
      </c>
      <c r="AE294" s="507">
        <f>Port[[#This Row],[EAD_Undrawn (CNY)]]*Port[[#This Row],[CNY -&gt; THB]]</f>
        <v>0</v>
      </c>
      <c r="AF294" s="507">
        <f>Port[[#This Row],[EAD (CNY)]]*Port[[#This Row],[CNY -&gt; THB]]</f>
        <v>1363859664.8270402</v>
      </c>
      <c r="AG294" s="507">
        <f>Port[[#This Row],[EAD_Interest (CNY)]]*Port[[#This Row],[CNY -&gt; THB]]</f>
        <v>483331.70642399997</v>
      </c>
      <c r="AH294" s="507">
        <f>Port[[#This Row],[ECL_Drawn (CNY)]]*Port[[#This Row],[CNY -&gt; THB]]</f>
        <v>1114938.9682878065</v>
      </c>
      <c r="AI294" s="507">
        <f>Port[[#This Row],[ECL_Undrawn (CNY)]]*Port[[#This Row],[CNY -&gt; THB]]</f>
        <v>0</v>
      </c>
      <c r="AJ294" s="507">
        <f>Port[[#This Row],[ECL (CNY)]]*Port[[#This Row],[CNY -&gt; THB]]</f>
        <v>1114938.9682878065</v>
      </c>
      <c r="AK294" s="507">
        <f>Port[[#This Row],[ECL_Interest (CNY)]]*Port[[#This Row],[CNY -&gt; THB]]</f>
        <v>395.11789079083815</v>
      </c>
      <c r="AL294" s="507">
        <f>Port[[#This Row],[EAD (THB)]]*Port[[#This Row],[PD_avg]]</f>
        <v>1238821.0758753407</v>
      </c>
      <c r="AM294" s="507">
        <f>Port[[#This Row],[EAD_Interest (THB)]]*Port[[#This Row],[PD_avg]]</f>
        <v>439.01987865648681</v>
      </c>
      <c r="AN294" s="507">
        <f>Port[[#This Row],[EAD (THB)]]*Port[[#This Row],[LGD_avg]]</f>
        <v>1227473698.3443363</v>
      </c>
      <c r="AO294" s="507">
        <f>Port[[#This Row],[EAD_Interest (THB)]]*Port[[#This Row],[LGD_avg]]</f>
        <v>434998.53578160005</v>
      </c>
      <c r="AP294" s="507">
        <f>Port[[#This Row],[EAD_Drawn (THB)]]+Port[[#This Row],[EAD_Interest (THB)]]</f>
        <v>1364342996.5334642</v>
      </c>
      <c r="AQ29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1115334.0861785973</v>
      </c>
      <c r="AR294" s="522">
        <f>MAX(Port[[#This Row],[ECL (THB)]]+Port[[#This Row],[ECL_Interest (THB)]], Port[[#This Row],[ECL CBIRC (THB)]])</f>
        <v>1115334.0861785973</v>
      </c>
    </row>
    <row r="295" spans="1:44">
      <c r="A295" s="2" t="s">
        <v>1018</v>
      </c>
      <c r="B295" s="2" t="s">
        <v>1019</v>
      </c>
      <c r="C295" s="2" t="s">
        <v>275</v>
      </c>
      <c r="D295" s="2" t="s">
        <v>25</v>
      </c>
      <c r="E295" s="2" t="s">
        <v>172</v>
      </c>
      <c r="F295" s="2" t="s">
        <v>173</v>
      </c>
      <c r="G295" s="2" t="s">
        <v>21</v>
      </c>
      <c r="H295">
        <v>1</v>
      </c>
      <c r="I295" s="2" t="s">
        <v>526</v>
      </c>
      <c r="J295" s="505">
        <v>9.0832004774658653E-4</v>
      </c>
      <c r="K295" s="505">
        <v>0.89999999999999991</v>
      </c>
      <c r="L295" s="3">
        <v>1</v>
      </c>
      <c r="M295" s="3">
        <v>5.2488000000000001</v>
      </c>
      <c r="N295" s="507">
        <v>1444629.49</v>
      </c>
      <c r="O295" s="507">
        <v>0</v>
      </c>
      <c r="P295" s="507">
        <v>1444629.49</v>
      </c>
      <c r="Q295" s="507">
        <v>0</v>
      </c>
      <c r="R295" s="507">
        <v>1180.9673345996341</v>
      </c>
      <c r="S295" s="507">
        <v>0</v>
      </c>
      <c r="T295" s="507">
        <v>1180.9673345996341</v>
      </c>
      <c r="U295" s="507">
        <v>0</v>
      </c>
      <c r="V295" s="507">
        <f>Port[[#This Row],[EAD_Drawn (CNY)]]*Port[[#This Row],[CNY -&gt; FCY]]</f>
        <v>1444629.49</v>
      </c>
      <c r="W295" s="507">
        <f>Port[[#This Row],[EAD_Undrawn (CNY)]]*Port[[#This Row],[CNY -&gt; FCY]]</f>
        <v>0</v>
      </c>
      <c r="X295" s="507">
        <f>Port[[#This Row],[EAD (CNY)]]*Port[[#This Row],[CNY -&gt; FCY]]</f>
        <v>1444629.49</v>
      </c>
      <c r="Y295" s="507">
        <f>Port[[#This Row],[EAD_Interest (CNY)]]*Port[[#This Row],[CNY -&gt; FCY]]</f>
        <v>0</v>
      </c>
      <c r="Z295" s="507">
        <f>Port[[#This Row],[ECL_Drawn (CNY)]]*Port[[#This Row],[CNY -&gt; FCY]]</f>
        <v>1180.9673345996341</v>
      </c>
      <c r="AA295" s="507">
        <f>Port[[#This Row],[ECL_Undrawn (CNY)]]*Port[[#This Row],[CNY -&gt; FCY]]</f>
        <v>0</v>
      </c>
      <c r="AB295" s="507">
        <f>Port[[#This Row],[ECL (CNY)]]*Port[[#This Row],[CNY -&gt; FCY]]</f>
        <v>1180.9673345996341</v>
      </c>
      <c r="AC295" s="507">
        <f>Port[[#This Row],[ECL_Interest (CNY)]]*Port[[#This Row],[CNY -&gt; FCY]]</f>
        <v>0</v>
      </c>
      <c r="AD295" s="507">
        <f>Port[[#This Row],[EAD_Drawn (CNY)]]*Port[[#This Row],[CNY -&gt; THB]]</f>
        <v>7582571.2671119999</v>
      </c>
      <c r="AE295" s="507">
        <f>Port[[#This Row],[EAD_Undrawn (CNY)]]*Port[[#This Row],[CNY -&gt; THB]]</f>
        <v>0</v>
      </c>
      <c r="AF295" s="507">
        <f>Port[[#This Row],[EAD (CNY)]]*Port[[#This Row],[CNY -&gt; THB]]</f>
        <v>7582571.2671119999</v>
      </c>
      <c r="AG295" s="507">
        <f>Port[[#This Row],[EAD_Interest (CNY)]]*Port[[#This Row],[CNY -&gt; THB]]</f>
        <v>0</v>
      </c>
      <c r="AH295" s="507">
        <f>Port[[#This Row],[ECL_Drawn (CNY)]]*Port[[#This Row],[CNY -&gt; THB]]</f>
        <v>6198.6613458465599</v>
      </c>
      <c r="AI295" s="507">
        <f>Port[[#This Row],[ECL_Undrawn (CNY)]]*Port[[#This Row],[CNY -&gt; THB]]</f>
        <v>0</v>
      </c>
      <c r="AJ295" s="507">
        <f>Port[[#This Row],[ECL (CNY)]]*Port[[#This Row],[CNY -&gt; THB]]</f>
        <v>6198.6613458465599</v>
      </c>
      <c r="AK295" s="507">
        <f>Port[[#This Row],[ECL_Interest (CNY)]]*Port[[#This Row],[CNY -&gt; THB]]</f>
        <v>0</v>
      </c>
      <c r="AL295" s="507">
        <f>Port[[#This Row],[EAD (THB)]]*Port[[#This Row],[PD_avg]]</f>
        <v>6887.4014953850665</v>
      </c>
      <c r="AM295" s="507">
        <f>Port[[#This Row],[EAD_Interest (THB)]]*Port[[#This Row],[PD_avg]]</f>
        <v>0</v>
      </c>
      <c r="AN295" s="507">
        <f>Port[[#This Row],[EAD (THB)]]*Port[[#This Row],[LGD_avg]]</f>
        <v>6824314.140400799</v>
      </c>
      <c r="AO295" s="507">
        <f>Port[[#This Row],[EAD_Interest (THB)]]*Port[[#This Row],[LGD_avg]]</f>
        <v>0</v>
      </c>
      <c r="AP295" s="507">
        <f>Port[[#This Row],[EAD_Drawn (THB)]]+Port[[#This Row],[EAD_Interest (THB)]]</f>
        <v>7582571.2671119999</v>
      </c>
      <c r="AQ29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6198.6613458465599</v>
      </c>
      <c r="AR295" s="522">
        <f>MAX(Port[[#This Row],[ECL (THB)]]+Port[[#This Row],[ECL_Interest (THB)]], Port[[#This Row],[ECL CBIRC (THB)]])</f>
        <v>6198.6613458465599</v>
      </c>
    </row>
    <row r="296" spans="1:44">
      <c r="A296" s="2" t="s">
        <v>1020</v>
      </c>
      <c r="B296" s="2" t="s">
        <v>1017</v>
      </c>
      <c r="C296" s="2" t="s">
        <v>275</v>
      </c>
      <c r="D296" s="2" t="s">
        <v>25</v>
      </c>
      <c r="E296" s="2" t="s">
        <v>172</v>
      </c>
      <c r="F296" s="2" t="s">
        <v>173</v>
      </c>
      <c r="G296" s="2" t="s">
        <v>57</v>
      </c>
      <c r="H296">
        <v>1</v>
      </c>
      <c r="I296" s="2" t="s">
        <v>526</v>
      </c>
      <c r="J296" s="505">
        <v>9.0832004774658653E-4</v>
      </c>
      <c r="K296" s="505">
        <v>0.89999999999999991</v>
      </c>
      <c r="L296" s="3">
        <v>0.15684552284455039</v>
      </c>
      <c r="M296" s="3">
        <v>5.2488000000000001</v>
      </c>
      <c r="N296" s="507">
        <v>14348455.799999999</v>
      </c>
      <c r="O296" s="507">
        <v>0</v>
      </c>
      <c r="P296" s="507">
        <v>14348455.799999999</v>
      </c>
      <c r="Q296" s="507">
        <v>0</v>
      </c>
      <c r="R296" s="507">
        <v>11729.691051611206</v>
      </c>
      <c r="S296" s="507">
        <v>0</v>
      </c>
      <c r="T296" s="507">
        <v>11729.691051611206</v>
      </c>
      <c r="U296" s="507">
        <v>0</v>
      </c>
      <c r="V296" s="507">
        <f>Port[[#This Row],[EAD_Drawn (CNY)]]*Port[[#This Row],[CNY -&gt; FCY]]</f>
        <v>2250491.0519629214</v>
      </c>
      <c r="W296" s="507">
        <f>Port[[#This Row],[EAD_Undrawn (CNY)]]*Port[[#This Row],[CNY -&gt; FCY]]</f>
        <v>0</v>
      </c>
      <c r="X296" s="507">
        <f>Port[[#This Row],[EAD (CNY)]]*Port[[#This Row],[CNY -&gt; FCY]]</f>
        <v>2250491.0519629214</v>
      </c>
      <c r="Y296" s="507">
        <f>Port[[#This Row],[EAD_Interest (CNY)]]*Port[[#This Row],[CNY -&gt; FCY]]</f>
        <v>0</v>
      </c>
      <c r="Z296" s="507">
        <f>Port[[#This Row],[ECL_Drawn (CNY)]]*Port[[#This Row],[CNY -&gt; FCY]]</f>
        <v>1839.7495257950036</v>
      </c>
      <c r="AA296" s="507">
        <f>Port[[#This Row],[ECL_Undrawn (CNY)]]*Port[[#This Row],[CNY -&gt; FCY]]</f>
        <v>0</v>
      </c>
      <c r="AB296" s="507">
        <f>Port[[#This Row],[ECL (CNY)]]*Port[[#This Row],[CNY -&gt; FCY]]</f>
        <v>1839.7495257950036</v>
      </c>
      <c r="AC296" s="507">
        <f>Port[[#This Row],[ECL_Interest (CNY)]]*Port[[#This Row],[CNY -&gt; FCY]]</f>
        <v>0</v>
      </c>
      <c r="AD296" s="507">
        <f>Port[[#This Row],[EAD_Drawn (CNY)]]*Port[[#This Row],[CNY -&gt; THB]]</f>
        <v>75312174.803039998</v>
      </c>
      <c r="AE296" s="507">
        <f>Port[[#This Row],[EAD_Undrawn (CNY)]]*Port[[#This Row],[CNY -&gt; THB]]</f>
        <v>0</v>
      </c>
      <c r="AF296" s="507">
        <f>Port[[#This Row],[EAD (CNY)]]*Port[[#This Row],[CNY -&gt; THB]]</f>
        <v>75312174.803039998</v>
      </c>
      <c r="AG296" s="507">
        <f>Port[[#This Row],[EAD_Interest (CNY)]]*Port[[#This Row],[CNY -&gt; THB]]</f>
        <v>0</v>
      </c>
      <c r="AH296" s="507">
        <f>Port[[#This Row],[ECL_Drawn (CNY)]]*Port[[#This Row],[CNY -&gt; THB]]</f>
        <v>61566.802391696896</v>
      </c>
      <c r="AI296" s="507">
        <f>Port[[#This Row],[ECL_Undrawn (CNY)]]*Port[[#This Row],[CNY -&gt; THB]]</f>
        <v>0</v>
      </c>
      <c r="AJ296" s="507">
        <f>Port[[#This Row],[ECL (CNY)]]*Port[[#This Row],[CNY -&gt; THB]]</f>
        <v>61566.802391696896</v>
      </c>
      <c r="AK296" s="507">
        <f>Port[[#This Row],[ECL_Interest (CNY)]]*Port[[#This Row],[CNY -&gt; THB]]</f>
        <v>0</v>
      </c>
      <c r="AL296" s="507">
        <f>Port[[#This Row],[EAD (THB)]]*Port[[#This Row],[PD_avg]]</f>
        <v>68407.558212996562</v>
      </c>
      <c r="AM296" s="507">
        <f>Port[[#This Row],[EAD_Interest (THB)]]*Port[[#This Row],[PD_avg]]</f>
        <v>0</v>
      </c>
      <c r="AN296" s="507">
        <f>Port[[#This Row],[EAD (THB)]]*Port[[#This Row],[LGD_avg]]</f>
        <v>67780957.322735995</v>
      </c>
      <c r="AO296" s="507">
        <f>Port[[#This Row],[EAD_Interest (THB)]]*Port[[#This Row],[LGD_avg]]</f>
        <v>0</v>
      </c>
      <c r="AP296" s="507">
        <f>Port[[#This Row],[EAD_Drawn (THB)]]+Port[[#This Row],[EAD_Interest (THB)]]</f>
        <v>75312174.803039998</v>
      </c>
      <c r="AQ29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61566.802391696896</v>
      </c>
      <c r="AR296" s="522">
        <f>MAX(Port[[#This Row],[ECL (THB)]]+Port[[#This Row],[ECL_Interest (THB)]], Port[[#This Row],[ECL CBIRC (THB)]])</f>
        <v>61566.802391696896</v>
      </c>
    </row>
    <row r="297" spans="1:44">
      <c r="A297" s="2" t="s">
        <v>277</v>
      </c>
      <c r="B297" s="2" t="s">
        <v>279</v>
      </c>
      <c r="C297" s="2" t="s">
        <v>278</v>
      </c>
      <c r="D297" s="2" t="s">
        <v>25</v>
      </c>
      <c r="E297" s="2" t="s">
        <v>280</v>
      </c>
      <c r="F297" s="2" t="s">
        <v>281</v>
      </c>
      <c r="G297" s="2" t="s">
        <v>21</v>
      </c>
      <c r="H297">
        <v>1</v>
      </c>
      <c r="I297" s="2" t="s">
        <v>526</v>
      </c>
      <c r="J297" s="505">
        <v>9.0832004774658653E-4</v>
      </c>
      <c r="K297" s="505">
        <v>0.89999999999999991</v>
      </c>
      <c r="L297" s="3">
        <v>1</v>
      </c>
      <c r="M297" s="3">
        <v>5.2488000000000001</v>
      </c>
      <c r="N297" s="507">
        <v>50845799.156701997</v>
      </c>
      <c r="O297" s="507">
        <v>0</v>
      </c>
      <c r="P297" s="507">
        <v>50845799.156701997</v>
      </c>
      <c r="Q297" s="507">
        <v>1353698.6301369891</v>
      </c>
      <c r="R297" s="507">
        <v>41565.832845956014</v>
      </c>
      <c r="S297" s="507">
        <v>0</v>
      </c>
      <c r="T297" s="507">
        <v>41565.832845956014</v>
      </c>
      <c r="U297" s="507">
        <v>1106.6324439244668</v>
      </c>
      <c r="V297" s="507">
        <f>Port[[#This Row],[EAD_Drawn (CNY)]]*Port[[#This Row],[CNY -&gt; FCY]]</f>
        <v>50845799.156701997</v>
      </c>
      <c r="W297" s="507">
        <f>Port[[#This Row],[EAD_Undrawn (CNY)]]*Port[[#This Row],[CNY -&gt; FCY]]</f>
        <v>0</v>
      </c>
      <c r="X297" s="507">
        <f>Port[[#This Row],[EAD (CNY)]]*Port[[#This Row],[CNY -&gt; FCY]]</f>
        <v>50845799.156701997</v>
      </c>
      <c r="Y297" s="507">
        <f>Port[[#This Row],[EAD_Interest (CNY)]]*Port[[#This Row],[CNY -&gt; FCY]]</f>
        <v>1353698.6301369891</v>
      </c>
      <c r="Z297" s="507">
        <f>Port[[#This Row],[ECL_Drawn (CNY)]]*Port[[#This Row],[CNY -&gt; FCY]]</f>
        <v>41565.832845956014</v>
      </c>
      <c r="AA297" s="507">
        <f>Port[[#This Row],[ECL_Undrawn (CNY)]]*Port[[#This Row],[CNY -&gt; FCY]]</f>
        <v>0</v>
      </c>
      <c r="AB297" s="507">
        <f>Port[[#This Row],[ECL (CNY)]]*Port[[#This Row],[CNY -&gt; FCY]]</f>
        <v>41565.832845956014</v>
      </c>
      <c r="AC297" s="507">
        <f>Port[[#This Row],[ECL_Interest (CNY)]]*Port[[#This Row],[CNY -&gt; FCY]]</f>
        <v>1106.6324439244668</v>
      </c>
      <c r="AD297" s="507">
        <f>Port[[#This Row],[EAD_Drawn (CNY)]]*Port[[#This Row],[CNY -&gt; THB]]</f>
        <v>266879430.61369744</v>
      </c>
      <c r="AE297" s="507">
        <f>Port[[#This Row],[EAD_Undrawn (CNY)]]*Port[[#This Row],[CNY -&gt; THB]]</f>
        <v>0</v>
      </c>
      <c r="AF297" s="507">
        <f>Port[[#This Row],[EAD (CNY)]]*Port[[#This Row],[CNY -&gt; THB]]</f>
        <v>266879430.61369744</v>
      </c>
      <c r="AG297" s="507">
        <f>Port[[#This Row],[EAD_Interest (CNY)]]*Port[[#This Row],[CNY -&gt; THB]]</f>
        <v>7105293.3698630286</v>
      </c>
      <c r="AH297" s="507">
        <f>Port[[#This Row],[ECL_Drawn (CNY)]]*Port[[#This Row],[CNY -&gt; THB]]</f>
        <v>218170.74344185393</v>
      </c>
      <c r="AI297" s="507">
        <f>Port[[#This Row],[ECL_Undrawn (CNY)]]*Port[[#This Row],[CNY -&gt; THB]]</f>
        <v>0</v>
      </c>
      <c r="AJ297" s="507">
        <f>Port[[#This Row],[ECL (CNY)]]*Port[[#This Row],[CNY -&gt; THB]]</f>
        <v>218170.74344185393</v>
      </c>
      <c r="AK297" s="507">
        <f>Port[[#This Row],[ECL_Interest (CNY)]]*Port[[#This Row],[CNY -&gt; THB]]</f>
        <v>5808.4923716707417</v>
      </c>
      <c r="AL297" s="507">
        <f>Port[[#This Row],[EAD (THB)]]*Port[[#This Row],[PD_avg]]</f>
        <v>242411.9371576155</v>
      </c>
      <c r="AM297" s="507">
        <f>Port[[#This Row],[EAD_Interest (THB)]]*Port[[#This Row],[PD_avg]]</f>
        <v>6453.8804129674909</v>
      </c>
      <c r="AN297" s="507">
        <f>Port[[#This Row],[EAD (THB)]]*Port[[#This Row],[LGD_avg]]</f>
        <v>240191487.55232766</v>
      </c>
      <c r="AO297" s="507">
        <f>Port[[#This Row],[EAD_Interest (THB)]]*Port[[#This Row],[LGD_avg]]</f>
        <v>6394764.0328767253</v>
      </c>
      <c r="AP297" s="507">
        <f>Port[[#This Row],[EAD_Drawn (THB)]]+Port[[#This Row],[EAD_Interest (THB)]]</f>
        <v>273984723.98356044</v>
      </c>
      <c r="AQ29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223979.23581352469</v>
      </c>
      <c r="AR297" s="522">
        <f>MAX(Port[[#This Row],[ECL (THB)]]+Port[[#This Row],[ECL_Interest (THB)]], Port[[#This Row],[ECL CBIRC (THB)]])</f>
        <v>223979.23581352469</v>
      </c>
    </row>
    <row r="298" spans="1:44">
      <c r="A298" s="2" t="s">
        <v>282</v>
      </c>
      <c r="B298" s="2" t="s">
        <v>283</v>
      </c>
      <c r="C298" s="2" t="s">
        <v>278</v>
      </c>
      <c r="D298" s="2" t="s">
        <v>25</v>
      </c>
      <c r="E298" s="2" t="s">
        <v>595</v>
      </c>
      <c r="F298" s="2" t="s">
        <v>281</v>
      </c>
      <c r="G298" s="2" t="s">
        <v>21</v>
      </c>
      <c r="H298">
        <v>1</v>
      </c>
      <c r="I298" s="2" t="s">
        <v>526</v>
      </c>
      <c r="J298" s="505">
        <v>1.3043899345507868E-2</v>
      </c>
      <c r="K298" s="505">
        <v>0.90000000000000013</v>
      </c>
      <c r="L298" s="3">
        <v>1</v>
      </c>
      <c r="M298" s="3">
        <v>5.2488000000000001</v>
      </c>
      <c r="N298" s="507">
        <v>50290313.891254999</v>
      </c>
      <c r="O298" s="507">
        <v>0</v>
      </c>
      <c r="P298" s="507">
        <v>50290313.891254999</v>
      </c>
      <c r="Q298" s="507">
        <v>1204109.589041099</v>
      </c>
      <c r="R298" s="507">
        <v>590383.61320637376</v>
      </c>
      <c r="S298" s="507">
        <v>0</v>
      </c>
      <c r="T298" s="507">
        <v>590383.61320637376</v>
      </c>
      <c r="U298" s="507">
        <v>14135.655852371645</v>
      </c>
      <c r="V298" s="507">
        <f>Port[[#This Row],[EAD_Drawn (CNY)]]*Port[[#This Row],[CNY -&gt; FCY]]</f>
        <v>50290313.891254999</v>
      </c>
      <c r="W298" s="507">
        <f>Port[[#This Row],[EAD_Undrawn (CNY)]]*Port[[#This Row],[CNY -&gt; FCY]]</f>
        <v>0</v>
      </c>
      <c r="X298" s="507">
        <f>Port[[#This Row],[EAD (CNY)]]*Port[[#This Row],[CNY -&gt; FCY]]</f>
        <v>50290313.891254999</v>
      </c>
      <c r="Y298" s="507">
        <f>Port[[#This Row],[EAD_Interest (CNY)]]*Port[[#This Row],[CNY -&gt; FCY]]</f>
        <v>1204109.589041099</v>
      </c>
      <c r="Z298" s="507">
        <f>Port[[#This Row],[ECL_Drawn (CNY)]]*Port[[#This Row],[CNY -&gt; FCY]]</f>
        <v>590383.61320637376</v>
      </c>
      <c r="AA298" s="507">
        <f>Port[[#This Row],[ECL_Undrawn (CNY)]]*Port[[#This Row],[CNY -&gt; FCY]]</f>
        <v>0</v>
      </c>
      <c r="AB298" s="507">
        <f>Port[[#This Row],[ECL (CNY)]]*Port[[#This Row],[CNY -&gt; FCY]]</f>
        <v>590383.61320637376</v>
      </c>
      <c r="AC298" s="507">
        <f>Port[[#This Row],[ECL_Interest (CNY)]]*Port[[#This Row],[CNY -&gt; FCY]]</f>
        <v>14135.655852371645</v>
      </c>
      <c r="AD298" s="507">
        <f>Port[[#This Row],[EAD_Drawn (CNY)]]*Port[[#This Row],[CNY -&gt; THB]]</f>
        <v>263963799.55241925</v>
      </c>
      <c r="AE298" s="507">
        <f>Port[[#This Row],[EAD_Undrawn (CNY)]]*Port[[#This Row],[CNY -&gt; THB]]</f>
        <v>0</v>
      </c>
      <c r="AF298" s="507">
        <f>Port[[#This Row],[EAD (CNY)]]*Port[[#This Row],[CNY -&gt; THB]]</f>
        <v>263963799.55241925</v>
      </c>
      <c r="AG298" s="507">
        <f>Port[[#This Row],[EAD_Interest (CNY)]]*Port[[#This Row],[CNY -&gt; THB]]</f>
        <v>6320130.4109589206</v>
      </c>
      <c r="AH298" s="507">
        <f>Port[[#This Row],[ECL_Drawn (CNY)]]*Port[[#This Row],[CNY -&gt; THB]]</f>
        <v>3098805.5089976145</v>
      </c>
      <c r="AI298" s="507">
        <f>Port[[#This Row],[ECL_Undrawn (CNY)]]*Port[[#This Row],[CNY -&gt; THB]]</f>
        <v>0</v>
      </c>
      <c r="AJ298" s="507">
        <f>Port[[#This Row],[ECL (CNY)]]*Port[[#This Row],[CNY -&gt; THB]]</f>
        <v>3098805.5089976145</v>
      </c>
      <c r="AK298" s="507">
        <f>Port[[#This Row],[ECL_Interest (CNY)]]*Port[[#This Row],[CNY -&gt; THB]]</f>
        <v>74195.230437928287</v>
      </c>
      <c r="AL298" s="507">
        <f>Port[[#This Row],[EAD (THB)]]*Port[[#This Row],[PD_avg]]</f>
        <v>3443117.2322195717</v>
      </c>
      <c r="AM298" s="507">
        <f>Port[[#This Row],[EAD_Interest (THB)]]*Port[[#This Row],[PD_avg]]</f>
        <v>82439.144931031435</v>
      </c>
      <c r="AN298" s="507">
        <f>Port[[#This Row],[EAD (THB)]]*Port[[#This Row],[LGD_avg]]</f>
        <v>237567419.59717736</v>
      </c>
      <c r="AO298" s="507">
        <f>Port[[#This Row],[EAD_Interest (THB)]]*Port[[#This Row],[LGD_avg]]</f>
        <v>5688117.3698630296</v>
      </c>
      <c r="AP298" s="507">
        <f>Port[[#This Row],[EAD_Drawn (THB)]]+Port[[#This Row],[EAD_Interest (THB)]]</f>
        <v>270283929.96337819</v>
      </c>
      <c r="AQ29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3173000.7394355428</v>
      </c>
      <c r="AR298" s="522">
        <f>MAX(Port[[#This Row],[ECL (THB)]]+Port[[#This Row],[ECL_Interest (THB)]], Port[[#This Row],[ECL CBIRC (THB)]])</f>
        <v>3173000.7394355428</v>
      </c>
    </row>
    <row r="299" spans="1:44">
      <c r="A299" s="2" t="s">
        <v>284</v>
      </c>
      <c r="B299" s="2" t="s">
        <v>285</v>
      </c>
      <c r="C299" s="2" t="s">
        <v>278</v>
      </c>
      <c r="D299" s="2" t="s">
        <v>25</v>
      </c>
      <c r="E299" s="2" t="s">
        <v>595</v>
      </c>
      <c r="F299" s="2" t="s">
        <v>281</v>
      </c>
      <c r="G299" s="2" t="s">
        <v>21</v>
      </c>
      <c r="H299">
        <v>1</v>
      </c>
      <c r="I299" s="2" t="s">
        <v>526</v>
      </c>
      <c r="J299" s="505">
        <v>1.3043899345507868E-2</v>
      </c>
      <c r="K299" s="505">
        <v>0.9</v>
      </c>
      <c r="L299" s="3">
        <v>1</v>
      </c>
      <c r="M299" s="3">
        <v>5.2488000000000001</v>
      </c>
      <c r="N299" s="507">
        <v>29999770.617223501</v>
      </c>
      <c r="O299" s="507">
        <v>0</v>
      </c>
      <c r="P299" s="507">
        <v>29999770.617223501</v>
      </c>
      <c r="Q299" s="507">
        <v>949315.06849315017</v>
      </c>
      <c r="R299" s="507">
        <v>352182.58948744903</v>
      </c>
      <c r="S299" s="507">
        <v>0</v>
      </c>
      <c r="T299" s="507">
        <v>352182.58948744903</v>
      </c>
      <c r="U299" s="507">
        <v>11144.493180538704</v>
      </c>
      <c r="V299" s="507">
        <f>Port[[#This Row],[EAD_Drawn (CNY)]]*Port[[#This Row],[CNY -&gt; FCY]]</f>
        <v>29999770.617223501</v>
      </c>
      <c r="W299" s="507">
        <f>Port[[#This Row],[EAD_Undrawn (CNY)]]*Port[[#This Row],[CNY -&gt; FCY]]</f>
        <v>0</v>
      </c>
      <c r="X299" s="507">
        <f>Port[[#This Row],[EAD (CNY)]]*Port[[#This Row],[CNY -&gt; FCY]]</f>
        <v>29999770.617223501</v>
      </c>
      <c r="Y299" s="507">
        <f>Port[[#This Row],[EAD_Interest (CNY)]]*Port[[#This Row],[CNY -&gt; FCY]]</f>
        <v>949315.06849315017</v>
      </c>
      <c r="Z299" s="507">
        <f>Port[[#This Row],[ECL_Drawn (CNY)]]*Port[[#This Row],[CNY -&gt; FCY]]</f>
        <v>352182.58948744903</v>
      </c>
      <c r="AA299" s="507">
        <f>Port[[#This Row],[ECL_Undrawn (CNY)]]*Port[[#This Row],[CNY -&gt; FCY]]</f>
        <v>0</v>
      </c>
      <c r="AB299" s="507">
        <f>Port[[#This Row],[ECL (CNY)]]*Port[[#This Row],[CNY -&gt; FCY]]</f>
        <v>352182.58948744903</v>
      </c>
      <c r="AC299" s="507">
        <f>Port[[#This Row],[ECL_Interest (CNY)]]*Port[[#This Row],[CNY -&gt; FCY]]</f>
        <v>11144.493180538704</v>
      </c>
      <c r="AD299" s="507">
        <f>Port[[#This Row],[EAD_Drawn (CNY)]]*Port[[#This Row],[CNY -&gt; THB]]</f>
        <v>157462796.01568273</v>
      </c>
      <c r="AE299" s="507">
        <f>Port[[#This Row],[EAD_Undrawn (CNY)]]*Port[[#This Row],[CNY -&gt; THB]]</f>
        <v>0</v>
      </c>
      <c r="AF299" s="507">
        <f>Port[[#This Row],[EAD (CNY)]]*Port[[#This Row],[CNY -&gt; THB]]</f>
        <v>157462796.01568273</v>
      </c>
      <c r="AG299" s="507">
        <f>Port[[#This Row],[EAD_Interest (CNY)]]*Port[[#This Row],[CNY -&gt; THB]]</f>
        <v>4982764.931506847</v>
      </c>
      <c r="AH299" s="507">
        <f>Port[[#This Row],[ECL_Drawn (CNY)]]*Port[[#This Row],[CNY -&gt; THB]]</f>
        <v>1848535.9757017225</v>
      </c>
      <c r="AI299" s="507">
        <f>Port[[#This Row],[ECL_Undrawn (CNY)]]*Port[[#This Row],[CNY -&gt; THB]]</f>
        <v>0</v>
      </c>
      <c r="AJ299" s="507">
        <f>Port[[#This Row],[ECL (CNY)]]*Port[[#This Row],[CNY -&gt; THB]]</f>
        <v>1848535.9757017225</v>
      </c>
      <c r="AK299" s="507">
        <f>Port[[#This Row],[ECL_Interest (CNY)]]*Port[[#This Row],[CNY -&gt; THB]]</f>
        <v>58495.215806011554</v>
      </c>
      <c r="AL299" s="507">
        <f>Port[[#This Row],[EAD (THB)]]*Port[[#This Row],[PD_avg]]</f>
        <v>2053928.8618908029</v>
      </c>
      <c r="AM299" s="507">
        <f>Port[[#This Row],[EAD_Interest (THB)]]*Port[[#This Row],[PD_avg]]</f>
        <v>64994.684228901722</v>
      </c>
      <c r="AN299" s="507">
        <f>Port[[#This Row],[EAD (THB)]]*Port[[#This Row],[LGD_avg]]</f>
        <v>141716516.41411445</v>
      </c>
      <c r="AO299" s="507">
        <f>Port[[#This Row],[EAD_Interest (THB)]]*Port[[#This Row],[LGD_avg]]</f>
        <v>4484488.438356162</v>
      </c>
      <c r="AP299" s="507">
        <f>Port[[#This Row],[EAD_Drawn (THB)]]+Port[[#This Row],[EAD_Interest (THB)]]</f>
        <v>162445560.94718957</v>
      </c>
      <c r="AQ29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1907031.1915077341</v>
      </c>
      <c r="AR299" s="522">
        <f>MAX(Port[[#This Row],[ECL (THB)]]+Port[[#This Row],[ECL_Interest (THB)]], Port[[#This Row],[ECL CBIRC (THB)]])</f>
        <v>1907031.1915077341</v>
      </c>
    </row>
    <row r="300" spans="1:44">
      <c r="A300" s="2" t="s">
        <v>286</v>
      </c>
      <c r="B300" s="2" t="s">
        <v>285</v>
      </c>
      <c r="C300" s="2" t="s">
        <v>278</v>
      </c>
      <c r="D300" s="2" t="s">
        <v>25</v>
      </c>
      <c r="E300" s="2" t="s">
        <v>595</v>
      </c>
      <c r="F300" s="2" t="s">
        <v>281</v>
      </c>
      <c r="G300" s="2" t="s">
        <v>21</v>
      </c>
      <c r="H300">
        <v>1</v>
      </c>
      <c r="I300" s="2" t="s">
        <v>526</v>
      </c>
      <c r="J300" s="505">
        <v>1.3043899345507868E-2</v>
      </c>
      <c r="K300" s="505">
        <v>0.9</v>
      </c>
      <c r="L300" s="3">
        <v>1</v>
      </c>
      <c r="M300" s="3">
        <v>5.2488000000000001</v>
      </c>
      <c r="N300" s="507">
        <v>20000000</v>
      </c>
      <c r="O300" s="507">
        <v>0</v>
      </c>
      <c r="P300" s="507">
        <v>20000000</v>
      </c>
      <c r="Q300" s="507">
        <v>373545.20547945052</v>
      </c>
      <c r="R300" s="507">
        <v>234790.18821914162</v>
      </c>
      <c r="S300" s="507">
        <v>0</v>
      </c>
      <c r="T300" s="507">
        <v>234790.18821914162</v>
      </c>
      <c r="U300" s="507">
        <v>4385.2374551439061</v>
      </c>
      <c r="V300" s="507">
        <f>Port[[#This Row],[EAD_Drawn (CNY)]]*Port[[#This Row],[CNY -&gt; FCY]]</f>
        <v>20000000</v>
      </c>
      <c r="W300" s="507">
        <f>Port[[#This Row],[EAD_Undrawn (CNY)]]*Port[[#This Row],[CNY -&gt; FCY]]</f>
        <v>0</v>
      </c>
      <c r="X300" s="507">
        <f>Port[[#This Row],[EAD (CNY)]]*Port[[#This Row],[CNY -&gt; FCY]]</f>
        <v>20000000</v>
      </c>
      <c r="Y300" s="507">
        <f>Port[[#This Row],[EAD_Interest (CNY)]]*Port[[#This Row],[CNY -&gt; FCY]]</f>
        <v>373545.20547945052</v>
      </c>
      <c r="Z300" s="507">
        <f>Port[[#This Row],[ECL_Drawn (CNY)]]*Port[[#This Row],[CNY -&gt; FCY]]</f>
        <v>234790.18821914162</v>
      </c>
      <c r="AA300" s="507">
        <f>Port[[#This Row],[ECL_Undrawn (CNY)]]*Port[[#This Row],[CNY -&gt; FCY]]</f>
        <v>0</v>
      </c>
      <c r="AB300" s="507">
        <f>Port[[#This Row],[ECL (CNY)]]*Port[[#This Row],[CNY -&gt; FCY]]</f>
        <v>234790.18821914162</v>
      </c>
      <c r="AC300" s="507">
        <f>Port[[#This Row],[ECL_Interest (CNY)]]*Port[[#This Row],[CNY -&gt; FCY]]</f>
        <v>4385.2374551439061</v>
      </c>
      <c r="AD300" s="507">
        <f>Port[[#This Row],[EAD_Drawn (CNY)]]*Port[[#This Row],[CNY -&gt; THB]]</f>
        <v>104976000</v>
      </c>
      <c r="AE300" s="507">
        <f>Port[[#This Row],[EAD_Undrawn (CNY)]]*Port[[#This Row],[CNY -&gt; THB]]</f>
        <v>0</v>
      </c>
      <c r="AF300" s="507">
        <f>Port[[#This Row],[EAD (CNY)]]*Port[[#This Row],[CNY -&gt; THB]]</f>
        <v>104976000</v>
      </c>
      <c r="AG300" s="507">
        <f>Port[[#This Row],[EAD_Interest (CNY)]]*Port[[#This Row],[CNY -&gt; THB]]</f>
        <v>1960664.07452054</v>
      </c>
      <c r="AH300" s="507">
        <f>Port[[#This Row],[ECL_Drawn (CNY)]]*Port[[#This Row],[CNY -&gt; THB]]</f>
        <v>1232366.7399246306</v>
      </c>
      <c r="AI300" s="507">
        <f>Port[[#This Row],[ECL_Undrawn (CNY)]]*Port[[#This Row],[CNY -&gt; THB]]</f>
        <v>0</v>
      </c>
      <c r="AJ300" s="507">
        <f>Port[[#This Row],[ECL (CNY)]]*Port[[#This Row],[CNY -&gt; THB]]</f>
        <v>1232366.7399246306</v>
      </c>
      <c r="AK300" s="507">
        <f>Port[[#This Row],[ECL_Interest (CNY)]]*Port[[#This Row],[CNY -&gt; THB]]</f>
        <v>23017.234354559336</v>
      </c>
      <c r="AL300" s="507">
        <f>Port[[#This Row],[EAD (THB)]]*Port[[#This Row],[PD_avg]]</f>
        <v>1369296.377694034</v>
      </c>
      <c r="AM300" s="507">
        <f>Port[[#This Row],[EAD_Interest (THB)]]*Port[[#This Row],[PD_avg]]</f>
        <v>25574.704838399262</v>
      </c>
      <c r="AN300" s="507">
        <f>Port[[#This Row],[EAD (THB)]]*Port[[#This Row],[LGD_avg]]</f>
        <v>94478400</v>
      </c>
      <c r="AO300" s="507">
        <f>Port[[#This Row],[EAD_Interest (THB)]]*Port[[#This Row],[LGD_avg]]</f>
        <v>1764597.6670684861</v>
      </c>
      <c r="AP300" s="507">
        <f>Port[[#This Row],[EAD_Drawn (THB)]]+Port[[#This Row],[EAD_Interest (THB)]]</f>
        <v>106936664.07452054</v>
      </c>
      <c r="AQ30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1255383.9742791899</v>
      </c>
      <c r="AR300" s="522">
        <f>MAX(Port[[#This Row],[ECL (THB)]]+Port[[#This Row],[ECL_Interest (THB)]], Port[[#This Row],[ECL CBIRC (THB)]])</f>
        <v>1255383.9742791899</v>
      </c>
    </row>
    <row r="301" spans="1:44">
      <c r="A301" s="2" t="s">
        <v>287</v>
      </c>
      <c r="B301" s="2" t="s">
        <v>288</v>
      </c>
      <c r="C301" s="2" t="s">
        <v>278</v>
      </c>
      <c r="D301" s="2" t="s">
        <v>25</v>
      </c>
      <c r="E301" s="2" t="s">
        <v>280</v>
      </c>
      <c r="F301" s="2" t="s">
        <v>281</v>
      </c>
      <c r="G301" s="2" t="s">
        <v>21</v>
      </c>
      <c r="H301">
        <v>1</v>
      </c>
      <c r="I301" s="2" t="s">
        <v>526</v>
      </c>
      <c r="J301" s="505">
        <v>9.0832004774658653E-4</v>
      </c>
      <c r="K301" s="505">
        <v>0.9</v>
      </c>
      <c r="L301" s="3">
        <v>1</v>
      </c>
      <c r="M301" s="3">
        <v>5.2488000000000001</v>
      </c>
      <c r="N301" s="507">
        <v>29752198.128632519</v>
      </c>
      <c r="O301" s="507">
        <v>0</v>
      </c>
      <c r="P301" s="507">
        <v>29752198.128632519</v>
      </c>
      <c r="Q301" s="507">
        <v>351363.68102944997</v>
      </c>
      <c r="R301" s="507">
        <v>24322.066222288853</v>
      </c>
      <c r="S301" s="507">
        <v>0</v>
      </c>
      <c r="T301" s="507">
        <v>24322.066222288853</v>
      </c>
      <c r="U301" s="507">
        <v>287.23560797617773</v>
      </c>
      <c r="V301" s="507">
        <f>Port[[#This Row],[EAD_Drawn (CNY)]]*Port[[#This Row],[CNY -&gt; FCY]]</f>
        <v>29752198.128632519</v>
      </c>
      <c r="W301" s="507">
        <f>Port[[#This Row],[EAD_Undrawn (CNY)]]*Port[[#This Row],[CNY -&gt; FCY]]</f>
        <v>0</v>
      </c>
      <c r="X301" s="507">
        <f>Port[[#This Row],[EAD (CNY)]]*Port[[#This Row],[CNY -&gt; FCY]]</f>
        <v>29752198.128632519</v>
      </c>
      <c r="Y301" s="507">
        <f>Port[[#This Row],[EAD_Interest (CNY)]]*Port[[#This Row],[CNY -&gt; FCY]]</f>
        <v>351363.68102944997</v>
      </c>
      <c r="Z301" s="507">
        <f>Port[[#This Row],[ECL_Drawn (CNY)]]*Port[[#This Row],[CNY -&gt; FCY]]</f>
        <v>24322.066222288853</v>
      </c>
      <c r="AA301" s="507">
        <f>Port[[#This Row],[ECL_Undrawn (CNY)]]*Port[[#This Row],[CNY -&gt; FCY]]</f>
        <v>0</v>
      </c>
      <c r="AB301" s="507">
        <f>Port[[#This Row],[ECL (CNY)]]*Port[[#This Row],[CNY -&gt; FCY]]</f>
        <v>24322.066222288853</v>
      </c>
      <c r="AC301" s="507">
        <f>Port[[#This Row],[ECL_Interest (CNY)]]*Port[[#This Row],[CNY -&gt; FCY]]</f>
        <v>287.23560797617773</v>
      </c>
      <c r="AD301" s="507">
        <f>Port[[#This Row],[EAD_Drawn (CNY)]]*Port[[#This Row],[CNY -&gt; THB]]</f>
        <v>156163337.53756636</v>
      </c>
      <c r="AE301" s="507">
        <f>Port[[#This Row],[EAD_Undrawn (CNY)]]*Port[[#This Row],[CNY -&gt; THB]]</f>
        <v>0</v>
      </c>
      <c r="AF301" s="507">
        <f>Port[[#This Row],[EAD (CNY)]]*Port[[#This Row],[CNY -&gt; THB]]</f>
        <v>156163337.53756636</v>
      </c>
      <c r="AG301" s="507">
        <f>Port[[#This Row],[EAD_Interest (CNY)]]*Port[[#This Row],[CNY -&gt; THB]]</f>
        <v>1844237.6889873771</v>
      </c>
      <c r="AH301" s="507">
        <f>Port[[#This Row],[ECL_Drawn (CNY)]]*Port[[#This Row],[CNY -&gt; THB]]</f>
        <v>127661.66118754973</v>
      </c>
      <c r="AI301" s="507">
        <f>Port[[#This Row],[ECL_Undrawn (CNY)]]*Port[[#This Row],[CNY -&gt; THB]]</f>
        <v>0</v>
      </c>
      <c r="AJ301" s="507">
        <f>Port[[#This Row],[ECL (CNY)]]*Port[[#This Row],[CNY -&gt; THB]]</f>
        <v>127661.66118754973</v>
      </c>
      <c r="AK301" s="507">
        <f>Port[[#This Row],[ECL_Interest (CNY)]]*Port[[#This Row],[CNY -&gt; THB]]</f>
        <v>1507.6422591453618</v>
      </c>
      <c r="AL301" s="507">
        <f>Port[[#This Row],[EAD (THB)]]*Port[[#This Row],[PD_avg]]</f>
        <v>141846.29020838859</v>
      </c>
      <c r="AM301" s="507">
        <f>Port[[#This Row],[EAD_Interest (THB)]]*Port[[#This Row],[PD_avg]]</f>
        <v>1675.1580657170687</v>
      </c>
      <c r="AN301" s="507">
        <f>Port[[#This Row],[EAD (THB)]]*Port[[#This Row],[LGD_avg]]</f>
        <v>140547003.78380972</v>
      </c>
      <c r="AO301" s="507">
        <f>Port[[#This Row],[EAD_Interest (THB)]]*Port[[#This Row],[LGD_avg]]</f>
        <v>1659813.9200886395</v>
      </c>
      <c r="AP301" s="507">
        <f>Port[[#This Row],[EAD_Drawn (THB)]]+Port[[#This Row],[EAD_Interest (THB)]]</f>
        <v>158007575.22655374</v>
      </c>
      <c r="AQ30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129169.30344669509</v>
      </c>
      <c r="AR301" s="522">
        <f>MAX(Port[[#This Row],[ECL (THB)]]+Port[[#This Row],[ECL_Interest (THB)]], Port[[#This Row],[ECL CBIRC (THB)]])</f>
        <v>129169.30344669509</v>
      </c>
    </row>
    <row r="302" spans="1:44">
      <c r="A302" s="2" t="s">
        <v>1021</v>
      </c>
      <c r="B302" s="2" t="s">
        <v>288</v>
      </c>
      <c r="C302" s="2" t="s">
        <v>278</v>
      </c>
      <c r="D302" s="2" t="s">
        <v>25</v>
      </c>
      <c r="E302" s="2" t="s">
        <v>280</v>
      </c>
      <c r="F302" s="2" t="s">
        <v>281</v>
      </c>
      <c r="G302" s="2" t="s">
        <v>21</v>
      </c>
      <c r="H302">
        <v>1</v>
      </c>
      <c r="I302" s="2" t="s">
        <v>526</v>
      </c>
      <c r="J302" s="505">
        <v>9.0832004774658653E-4</v>
      </c>
      <c r="K302" s="505">
        <v>0.90000000000000013</v>
      </c>
      <c r="L302" s="3">
        <v>1</v>
      </c>
      <c r="M302" s="3">
        <v>5.2488000000000001</v>
      </c>
      <c r="N302" s="507">
        <v>20087203.869480975</v>
      </c>
      <c r="O302" s="507">
        <v>0</v>
      </c>
      <c r="P302" s="507">
        <v>20087203.869480975</v>
      </c>
      <c r="Q302" s="507">
        <v>237223.27549229204</v>
      </c>
      <c r="R302" s="507">
        <v>16421.048980040141</v>
      </c>
      <c r="S302" s="507">
        <v>0</v>
      </c>
      <c r="T302" s="507">
        <v>16421.048980040141</v>
      </c>
      <c r="U302" s="507">
        <v>193.92719122958431</v>
      </c>
      <c r="V302" s="507">
        <f>Port[[#This Row],[EAD_Drawn (CNY)]]*Port[[#This Row],[CNY -&gt; FCY]]</f>
        <v>20087203.869480975</v>
      </c>
      <c r="W302" s="507">
        <f>Port[[#This Row],[EAD_Undrawn (CNY)]]*Port[[#This Row],[CNY -&gt; FCY]]</f>
        <v>0</v>
      </c>
      <c r="X302" s="507">
        <f>Port[[#This Row],[EAD (CNY)]]*Port[[#This Row],[CNY -&gt; FCY]]</f>
        <v>20087203.869480975</v>
      </c>
      <c r="Y302" s="507">
        <f>Port[[#This Row],[EAD_Interest (CNY)]]*Port[[#This Row],[CNY -&gt; FCY]]</f>
        <v>237223.27549229204</v>
      </c>
      <c r="Z302" s="507">
        <f>Port[[#This Row],[ECL_Drawn (CNY)]]*Port[[#This Row],[CNY -&gt; FCY]]</f>
        <v>16421.048980040141</v>
      </c>
      <c r="AA302" s="507">
        <f>Port[[#This Row],[ECL_Undrawn (CNY)]]*Port[[#This Row],[CNY -&gt; FCY]]</f>
        <v>0</v>
      </c>
      <c r="AB302" s="507">
        <f>Port[[#This Row],[ECL (CNY)]]*Port[[#This Row],[CNY -&gt; FCY]]</f>
        <v>16421.048980040141</v>
      </c>
      <c r="AC302" s="507">
        <f>Port[[#This Row],[ECL_Interest (CNY)]]*Port[[#This Row],[CNY -&gt; FCY]]</f>
        <v>193.92719122958431</v>
      </c>
      <c r="AD302" s="507">
        <f>Port[[#This Row],[EAD_Drawn (CNY)]]*Port[[#This Row],[CNY -&gt; THB]]</f>
        <v>105433715.67013174</v>
      </c>
      <c r="AE302" s="507">
        <f>Port[[#This Row],[EAD_Undrawn (CNY)]]*Port[[#This Row],[CNY -&gt; THB]]</f>
        <v>0</v>
      </c>
      <c r="AF302" s="507">
        <f>Port[[#This Row],[EAD (CNY)]]*Port[[#This Row],[CNY -&gt; THB]]</f>
        <v>105433715.67013174</v>
      </c>
      <c r="AG302" s="507">
        <f>Port[[#This Row],[EAD_Interest (CNY)]]*Port[[#This Row],[CNY -&gt; THB]]</f>
        <v>1245137.5284039425</v>
      </c>
      <c r="AH302" s="507">
        <f>Port[[#This Row],[ECL_Drawn (CNY)]]*Port[[#This Row],[CNY -&gt; THB]]</f>
        <v>86190.801886434696</v>
      </c>
      <c r="AI302" s="507">
        <f>Port[[#This Row],[ECL_Undrawn (CNY)]]*Port[[#This Row],[CNY -&gt; THB]]</f>
        <v>0</v>
      </c>
      <c r="AJ302" s="507">
        <f>Port[[#This Row],[ECL (CNY)]]*Port[[#This Row],[CNY -&gt; THB]]</f>
        <v>86190.801886434696</v>
      </c>
      <c r="AK302" s="507">
        <f>Port[[#This Row],[ECL_Interest (CNY)]]*Port[[#This Row],[CNY -&gt; THB]]</f>
        <v>1017.8850413258422</v>
      </c>
      <c r="AL302" s="507">
        <f>Port[[#This Row],[EAD (THB)]]*Port[[#This Row],[PD_avg]]</f>
        <v>95767.557651594092</v>
      </c>
      <c r="AM302" s="507">
        <f>Port[[#This Row],[EAD_Interest (THB)]]*Port[[#This Row],[PD_avg]]</f>
        <v>1130.9833792509357</v>
      </c>
      <c r="AN302" s="507">
        <f>Port[[#This Row],[EAD (THB)]]*Port[[#This Row],[LGD_avg]]</f>
        <v>94890344.103118584</v>
      </c>
      <c r="AO302" s="507">
        <f>Port[[#This Row],[EAD_Interest (THB)]]*Port[[#This Row],[LGD_avg]]</f>
        <v>1120623.7755635483</v>
      </c>
      <c r="AP302" s="507">
        <f>Port[[#This Row],[EAD_Drawn (THB)]]+Port[[#This Row],[EAD_Interest (THB)]]</f>
        <v>106678853.19853568</v>
      </c>
      <c r="AQ30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87208.686927760544</v>
      </c>
      <c r="AR302" s="522">
        <f>MAX(Port[[#This Row],[ECL (THB)]]+Port[[#This Row],[ECL_Interest (THB)]], Port[[#This Row],[ECL CBIRC (THB)]])</f>
        <v>87208.686927760544</v>
      </c>
    </row>
    <row r="303" spans="1:44">
      <c r="A303" s="2" t="s">
        <v>1022</v>
      </c>
      <c r="B303" s="2" t="s">
        <v>288</v>
      </c>
      <c r="C303" s="2" t="s">
        <v>278</v>
      </c>
      <c r="D303" s="2" t="s">
        <v>25</v>
      </c>
      <c r="E303" s="2" t="s">
        <v>280</v>
      </c>
      <c r="F303" s="2" t="s">
        <v>281</v>
      </c>
      <c r="G303" s="2" t="s">
        <v>21</v>
      </c>
      <c r="H303">
        <v>1</v>
      </c>
      <c r="I303" s="2" t="s">
        <v>526</v>
      </c>
      <c r="J303" s="505">
        <v>9.0832004774658653E-4</v>
      </c>
      <c r="K303" s="505">
        <v>0.9</v>
      </c>
      <c r="L303" s="3">
        <v>1</v>
      </c>
      <c r="M303" s="3">
        <v>5.2488000000000001</v>
      </c>
      <c r="N303" s="507">
        <v>50627334.52242218</v>
      </c>
      <c r="O303" s="507">
        <v>0</v>
      </c>
      <c r="P303" s="507">
        <v>50627334.52242218</v>
      </c>
      <c r="Q303" s="507">
        <v>209666.32991206012</v>
      </c>
      <c r="R303" s="507">
        <v>41387.240619620032</v>
      </c>
      <c r="S303" s="507">
        <v>0</v>
      </c>
      <c r="T303" s="507">
        <v>41387.240619620032</v>
      </c>
      <c r="U303" s="507">
        <v>171.3997177169166</v>
      </c>
      <c r="V303" s="507">
        <f>Port[[#This Row],[EAD_Drawn (CNY)]]*Port[[#This Row],[CNY -&gt; FCY]]</f>
        <v>50627334.52242218</v>
      </c>
      <c r="W303" s="507">
        <f>Port[[#This Row],[EAD_Undrawn (CNY)]]*Port[[#This Row],[CNY -&gt; FCY]]</f>
        <v>0</v>
      </c>
      <c r="X303" s="507">
        <f>Port[[#This Row],[EAD (CNY)]]*Port[[#This Row],[CNY -&gt; FCY]]</f>
        <v>50627334.52242218</v>
      </c>
      <c r="Y303" s="507">
        <f>Port[[#This Row],[EAD_Interest (CNY)]]*Port[[#This Row],[CNY -&gt; FCY]]</f>
        <v>209666.32991206012</v>
      </c>
      <c r="Z303" s="507">
        <f>Port[[#This Row],[ECL_Drawn (CNY)]]*Port[[#This Row],[CNY -&gt; FCY]]</f>
        <v>41387.240619620032</v>
      </c>
      <c r="AA303" s="507">
        <f>Port[[#This Row],[ECL_Undrawn (CNY)]]*Port[[#This Row],[CNY -&gt; FCY]]</f>
        <v>0</v>
      </c>
      <c r="AB303" s="507">
        <f>Port[[#This Row],[ECL (CNY)]]*Port[[#This Row],[CNY -&gt; FCY]]</f>
        <v>41387.240619620032</v>
      </c>
      <c r="AC303" s="507">
        <f>Port[[#This Row],[ECL_Interest (CNY)]]*Port[[#This Row],[CNY -&gt; FCY]]</f>
        <v>171.3997177169166</v>
      </c>
      <c r="AD303" s="507">
        <f>Port[[#This Row],[EAD_Drawn (CNY)]]*Port[[#This Row],[CNY -&gt; THB]]</f>
        <v>265732753.44128954</v>
      </c>
      <c r="AE303" s="507">
        <f>Port[[#This Row],[EAD_Undrawn (CNY)]]*Port[[#This Row],[CNY -&gt; THB]]</f>
        <v>0</v>
      </c>
      <c r="AF303" s="507">
        <f>Port[[#This Row],[EAD (CNY)]]*Port[[#This Row],[CNY -&gt; THB]]</f>
        <v>265732753.44128954</v>
      </c>
      <c r="AG303" s="507">
        <f>Port[[#This Row],[EAD_Interest (CNY)]]*Port[[#This Row],[CNY -&gt; THB]]</f>
        <v>1100496.632442421</v>
      </c>
      <c r="AH303" s="507">
        <f>Port[[#This Row],[ECL_Drawn (CNY)]]*Port[[#This Row],[CNY -&gt; THB]]</f>
        <v>217233.34856426163</v>
      </c>
      <c r="AI303" s="507">
        <f>Port[[#This Row],[ECL_Undrawn (CNY)]]*Port[[#This Row],[CNY -&gt; THB]]</f>
        <v>0</v>
      </c>
      <c r="AJ303" s="507">
        <f>Port[[#This Row],[ECL (CNY)]]*Port[[#This Row],[CNY -&gt; THB]]</f>
        <v>217233.34856426163</v>
      </c>
      <c r="AK303" s="507">
        <f>Port[[#This Row],[ECL_Interest (CNY)]]*Port[[#This Row],[CNY -&gt; THB]]</f>
        <v>899.64283835255185</v>
      </c>
      <c r="AL303" s="507">
        <f>Port[[#This Row],[EAD (THB)]]*Port[[#This Row],[PD_avg]]</f>
        <v>241370.38729362402</v>
      </c>
      <c r="AM303" s="507">
        <f>Port[[#This Row],[EAD_Interest (THB)]]*Port[[#This Row],[PD_avg]]</f>
        <v>999.60315372505761</v>
      </c>
      <c r="AN303" s="507">
        <f>Port[[#This Row],[EAD (THB)]]*Port[[#This Row],[LGD_avg]]</f>
        <v>239159478.09716061</v>
      </c>
      <c r="AO303" s="507">
        <f>Port[[#This Row],[EAD_Interest (THB)]]*Port[[#This Row],[LGD_avg]]</f>
        <v>990446.96919817897</v>
      </c>
      <c r="AP303" s="507">
        <f>Port[[#This Row],[EAD_Drawn (THB)]]+Port[[#This Row],[EAD_Interest (THB)]]</f>
        <v>266833250.07373196</v>
      </c>
      <c r="AQ30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218132.99140261419</v>
      </c>
      <c r="AR303" s="522">
        <f>MAX(Port[[#This Row],[ECL (THB)]]+Port[[#This Row],[ECL_Interest (THB)]], Port[[#This Row],[ECL CBIRC (THB)]])</f>
        <v>218132.99140261419</v>
      </c>
    </row>
    <row r="304" spans="1:44">
      <c r="A304" s="2" t="s">
        <v>1023</v>
      </c>
      <c r="B304" s="2" t="s">
        <v>288</v>
      </c>
      <c r="C304" s="2" t="s">
        <v>278</v>
      </c>
      <c r="D304" s="2" t="s">
        <v>25</v>
      </c>
      <c r="E304" s="2" t="s">
        <v>280</v>
      </c>
      <c r="F304" s="2" t="s">
        <v>281</v>
      </c>
      <c r="G304" s="2" t="s">
        <v>21</v>
      </c>
      <c r="H304">
        <v>1</v>
      </c>
      <c r="I304" s="2" t="s">
        <v>526</v>
      </c>
      <c r="J304" s="505">
        <v>9.0832004774658653E-4</v>
      </c>
      <c r="K304" s="505">
        <v>0.90000000000000024</v>
      </c>
      <c r="L304" s="3">
        <v>1</v>
      </c>
      <c r="M304" s="3">
        <v>5.2488000000000001</v>
      </c>
      <c r="N304" s="507">
        <v>49961352.794929817</v>
      </c>
      <c r="O304" s="507">
        <v>0</v>
      </c>
      <c r="P304" s="507">
        <v>49961352.794929817</v>
      </c>
      <c r="Q304" s="507">
        <v>206908.25572330394</v>
      </c>
      <c r="R304" s="507">
        <v>40842.808520557242</v>
      </c>
      <c r="S304" s="507">
        <v>0</v>
      </c>
      <c r="T304" s="507">
        <v>40842.808520557242</v>
      </c>
      <c r="U304" s="507">
        <v>169.14502504597894</v>
      </c>
      <c r="V304" s="507">
        <f>Port[[#This Row],[EAD_Drawn (CNY)]]*Port[[#This Row],[CNY -&gt; FCY]]</f>
        <v>49961352.794929817</v>
      </c>
      <c r="W304" s="507">
        <f>Port[[#This Row],[EAD_Undrawn (CNY)]]*Port[[#This Row],[CNY -&gt; FCY]]</f>
        <v>0</v>
      </c>
      <c r="X304" s="507">
        <f>Port[[#This Row],[EAD (CNY)]]*Port[[#This Row],[CNY -&gt; FCY]]</f>
        <v>49961352.794929817</v>
      </c>
      <c r="Y304" s="507">
        <f>Port[[#This Row],[EAD_Interest (CNY)]]*Port[[#This Row],[CNY -&gt; FCY]]</f>
        <v>206908.25572330394</v>
      </c>
      <c r="Z304" s="507">
        <f>Port[[#This Row],[ECL_Drawn (CNY)]]*Port[[#This Row],[CNY -&gt; FCY]]</f>
        <v>40842.808520557242</v>
      </c>
      <c r="AA304" s="507">
        <f>Port[[#This Row],[ECL_Undrawn (CNY)]]*Port[[#This Row],[CNY -&gt; FCY]]</f>
        <v>0</v>
      </c>
      <c r="AB304" s="507">
        <f>Port[[#This Row],[ECL (CNY)]]*Port[[#This Row],[CNY -&gt; FCY]]</f>
        <v>40842.808520557242</v>
      </c>
      <c r="AC304" s="507">
        <f>Port[[#This Row],[ECL_Interest (CNY)]]*Port[[#This Row],[CNY -&gt; FCY]]</f>
        <v>169.14502504597894</v>
      </c>
      <c r="AD304" s="507">
        <f>Port[[#This Row],[EAD_Drawn (CNY)]]*Port[[#This Row],[CNY -&gt; THB]]</f>
        <v>262237148.55002764</v>
      </c>
      <c r="AE304" s="507">
        <f>Port[[#This Row],[EAD_Undrawn (CNY)]]*Port[[#This Row],[CNY -&gt; THB]]</f>
        <v>0</v>
      </c>
      <c r="AF304" s="507">
        <f>Port[[#This Row],[EAD (CNY)]]*Port[[#This Row],[CNY -&gt; THB]]</f>
        <v>262237148.55002764</v>
      </c>
      <c r="AG304" s="507">
        <f>Port[[#This Row],[EAD_Interest (CNY)]]*Port[[#This Row],[CNY -&gt; THB]]</f>
        <v>1086020.0526404777</v>
      </c>
      <c r="AH304" s="507">
        <f>Port[[#This Row],[ECL_Drawn (CNY)]]*Port[[#This Row],[CNY -&gt; THB]]</f>
        <v>214375.73336270085</v>
      </c>
      <c r="AI304" s="507">
        <f>Port[[#This Row],[ECL_Undrawn (CNY)]]*Port[[#This Row],[CNY -&gt; THB]]</f>
        <v>0</v>
      </c>
      <c r="AJ304" s="507">
        <f>Port[[#This Row],[ECL (CNY)]]*Port[[#This Row],[CNY -&gt; THB]]</f>
        <v>214375.73336270085</v>
      </c>
      <c r="AK304" s="507">
        <f>Port[[#This Row],[ECL_Interest (CNY)]]*Port[[#This Row],[CNY -&gt; THB]]</f>
        <v>887.80840746133424</v>
      </c>
      <c r="AL304" s="507">
        <f>Port[[#This Row],[EAD (THB)]]*Port[[#This Row],[PD_avg]]</f>
        <v>238195.25929188982</v>
      </c>
      <c r="AM304" s="507">
        <f>Port[[#This Row],[EAD_Interest (THB)]]*Port[[#This Row],[PD_avg]]</f>
        <v>986.45378606814904</v>
      </c>
      <c r="AN304" s="507">
        <f>Port[[#This Row],[EAD (THB)]]*Port[[#This Row],[LGD_avg]]</f>
        <v>236013433.69502494</v>
      </c>
      <c r="AO304" s="507">
        <f>Port[[#This Row],[EAD_Interest (THB)]]*Port[[#This Row],[LGD_avg]]</f>
        <v>977418.04737643013</v>
      </c>
      <c r="AP304" s="507">
        <f>Port[[#This Row],[EAD_Drawn (THB)]]+Port[[#This Row],[EAD_Interest (THB)]]</f>
        <v>263323168.60266811</v>
      </c>
      <c r="AQ30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215263.54177016218</v>
      </c>
      <c r="AR304" s="522">
        <f>MAX(Port[[#This Row],[ECL (THB)]]+Port[[#This Row],[ECL_Interest (THB)]], Port[[#This Row],[ECL CBIRC (THB)]])</f>
        <v>215263.54177016218</v>
      </c>
    </row>
    <row r="305" spans="1:44">
      <c r="A305" s="2" t="s">
        <v>1024</v>
      </c>
      <c r="B305" s="2" t="s">
        <v>288</v>
      </c>
      <c r="C305" s="2" t="s">
        <v>278</v>
      </c>
      <c r="D305" s="2" t="s">
        <v>25</v>
      </c>
      <c r="E305" s="2" t="s">
        <v>280</v>
      </c>
      <c r="F305" s="2" t="s">
        <v>281</v>
      </c>
      <c r="G305" s="2" t="s">
        <v>21</v>
      </c>
      <c r="H305">
        <v>1</v>
      </c>
      <c r="I305" s="2" t="s">
        <v>526</v>
      </c>
      <c r="J305" s="505">
        <v>9.0832004774658653E-4</v>
      </c>
      <c r="K305" s="505">
        <v>0.9</v>
      </c>
      <c r="L305" s="3">
        <v>1</v>
      </c>
      <c r="M305" s="3">
        <v>5.2488000000000001</v>
      </c>
      <c r="N305" s="507">
        <v>50002696.589204386</v>
      </c>
      <c r="O305" s="507">
        <v>0</v>
      </c>
      <c r="P305" s="507">
        <v>50002696.589204386</v>
      </c>
      <c r="Q305" s="507">
        <v>539821.14796286297</v>
      </c>
      <c r="R305" s="507">
        <v>40876.606578027786</v>
      </c>
      <c r="S305" s="507">
        <v>0</v>
      </c>
      <c r="T305" s="507">
        <v>40876.606578027786</v>
      </c>
      <c r="U305" s="507">
        <v>441.29733380302031</v>
      </c>
      <c r="V305" s="507">
        <f>Port[[#This Row],[EAD_Drawn (CNY)]]*Port[[#This Row],[CNY -&gt; FCY]]</f>
        <v>50002696.589204386</v>
      </c>
      <c r="W305" s="507">
        <f>Port[[#This Row],[EAD_Undrawn (CNY)]]*Port[[#This Row],[CNY -&gt; FCY]]</f>
        <v>0</v>
      </c>
      <c r="X305" s="507">
        <f>Port[[#This Row],[EAD (CNY)]]*Port[[#This Row],[CNY -&gt; FCY]]</f>
        <v>50002696.589204386</v>
      </c>
      <c r="Y305" s="507">
        <f>Port[[#This Row],[EAD_Interest (CNY)]]*Port[[#This Row],[CNY -&gt; FCY]]</f>
        <v>539821.14796286297</v>
      </c>
      <c r="Z305" s="507">
        <f>Port[[#This Row],[ECL_Drawn (CNY)]]*Port[[#This Row],[CNY -&gt; FCY]]</f>
        <v>40876.606578027786</v>
      </c>
      <c r="AA305" s="507">
        <f>Port[[#This Row],[ECL_Undrawn (CNY)]]*Port[[#This Row],[CNY -&gt; FCY]]</f>
        <v>0</v>
      </c>
      <c r="AB305" s="507">
        <f>Port[[#This Row],[ECL (CNY)]]*Port[[#This Row],[CNY -&gt; FCY]]</f>
        <v>40876.606578027786</v>
      </c>
      <c r="AC305" s="507">
        <f>Port[[#This Row],[ECL_Interest (CNY)]]*Port[[#This Row],[CNY -&gt; FCY]]</f>
        <v>441.29733380302031</v>
      </c>
      <c r="AD305" s="507">
        <f>Port[[#This Row],[EAD_Drawn (CNY)]]*Port[[#This Row],[CNY -&gt; THB]]</f>
        <v>262454153.85741597</v>
      </c>
      <c r="AE305" s="507">
        <f>Port[[#This Row],[EAD_Undrawn (CNY)]]*Port[[#This Row],[CNY -&gt; THB]]</f>
        <v>0</v>
      </c>
      <c r="AF305" s="507">
        <f>Port[[#This Row],[EAD (CNY)]]*Port[[#This Row],[CNY -&gt; THB]]</f>
        <v>262454153.85741597</v>
      </c>
      <c r="AG305" s="507">
        <f>Port[[#This Row],[EAD_Interest (CNY)]]*Port[[#This Row],[CNY -&gt; THB]]</f>
        <v>2833413.2414274751</v>
      </c>
      <c r="AH305" s="507">
        <f>Port[[#This Row],[ECL_Drawn (CNY)]]*Port[[#This Row],[CNY -&gt; THB]]</f>
        <v>214553.13260675225</v>
      </c>
      <c r="AI305" s="507">
        <f>Port[[#This Row],[ECL_Undrawn (CNY)]]*Port[[#This Row],[CNY -&gt; THB]]</f>
        <v>0</v>
      </c>
      <c r="AJ305" s="507">
        <f>Port[[#This Row],[ECL (CNY)]]*Port[[#This Row],[CNY -&gt; THB]]</f>
        <v>214553.13260675225</v>
      </c>
      <c r="AK305" s="507">
        <f>Port[[#This Row],[ECL_Interest (CNY)]]*Port[[#This Row],[CNY -&gt; THB]]</f>
        <v>2316.2814456652932</v>
      </c>
      <c r="AL305" s="507">
        <f>Port[[#This Row],[EAD (THB)]]*Port[[#This Row],[PD_avg]]</f>
        <v>238392.36956305805</v>
      </c>
      <c r="AM305" s="507">
        <f>Port[[#This Row],[EAD_Interest (THB)]]*Port[[#This Row],[PD_avg]]</f>
        <v>2573.6460507392148</v>
      </c>
      <c r="AN305" s="507">
        <f>Port[[#This Row],[EAD (THB)]]*Port[[#This Row],[LGD_avg]]</f>
        <v>236208738.47167438</v>
      </c>
      <c r="AO305" s="507">
        <f>Port[[#This Row],[EAD_Interest (THB)]]*Port[[#This Row],[LGD_avg]]</f>
        <v>2550071.9172847276</v>
      </c>
      <c r="AP305" s="507">
        <f>Port[[#This Row],[EAD_Drawn (THB)]]+Port[[#This Row],[EAD_Interest (THB)]]</f>
        <v>265287567.09884346</v>
      </c>
      <c r="AQ30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216869.41405241753</v>
      </c>
      <c r="AR305" s="522">
        <f>MAX(Port[[#This Row],[ECL (THB)]]+Port[[#This Row],[ECL_Interest (THB)]], Port[[#This Row],[ECL CBIRC (THB)]])</f>
        <v>216869.41405241753</v>
      </c>
    </row>
    <row r="306" spans="1:44">
      <c r="A306" s="2" t="s">
        <v>1025</v>
      </c>
      <c r="B306" s="2" t="s">
        <v>288</v>
      </c>
      <c r="C306" s="2" t="s">
        <v>278</v>
      </c>
      <c r="D306" s="2" t="s">
        <v>25</v>
      </c>
      <c r="E306" s="2" t="s">
        <v>280</v>
      </c>
      <c r="F306" s="2" t="s">
        <v>281</v>
      </c>
      <c r="G306" s="2" t="s">
        <v>21</v>
      </c>
      <c r="H306">
        <v>1</v>
      </c>
      <c r="I306" s="2" t="s">
        <v>526</v>
      </c>
      <c r="J306" s="505">
        <v>9.0832004774658653E-4</v>
      </c>
      <c r="K306" s="505">
        <v>0.90000000000000013</v>
      </c>
      <c r="L306" s="3">
        <v>1</v>
      </c>
      <c r="M306" s="3">
        <v>5.2488000000000001</v>
      </c>
      <c r="N306" s="507">
        <v>19999604.781423103</v>
      </c>
      <c r="O306" s="507">
        <v>0</v>
      </c>
      <c r="P306" s="507">
        <v>19999604.781423103</v>
      </c>
      <c r="Q306" s="507">
        <v>215912.54768932384</v>
      </c>
      <c r="R306" s="507">
        <v>16349.437772977584</v>
      </c>
      <c r="S306" s="507">
        <v>0</v>
      </c>
      <c r="T306" s="507">
        <v>16349.437772977584</v>
      </c>
      <c r="U306" s="507">
        <v>176.50592606362841</v>
      </c>
      <c r="V306" s="507">
        <f>Port[[#This Row],[EAD_Drawn (CNY)]]*Port[[#This Row],[CNY -&gt; FCY]]</f>
        <v>19999604.781423103</v>
      </c>
      <c r="W306" s="507">
        <f>Port[[#This Row],[EAD_Undrawn (CNY)]]*Port[[#This Row],[CNY -&gt; FCY]]</f>
        <v>0</v>
      </c>
      <c r="X306" s="507">
        <f>Port[[#This Row],[EAD (CNY)]]*Port[[#This Row],[CNY -&gt; FCY]]</f>
        <v>19999604.781423103</v>
      </c>
      <c r="Y306" s="507">
        <f>Port[[#This Row],[EAD_Interest (CNY)]]*Port[[#This Row],[CNY -&gt; FCY]]</f>
        <v>215912.54768932384</v>
      </c>
      <c r="Z306" s="507">
        <f>Port[[#This Row],[ECL_Drawn (CNY)]]*Port[[#This Row],[CNY -&gt; FCY]]</f>
        <v>16349.437772977584</v>
      </c>
      <c r="AA306" s="507">
        <f>Port[[#This Row],[ECL_Undrawn (CNY)]]*Port[[#This Row],[CNY -&gt; FCY]]</f>
        <v>0</v>
      </c>
      <c r="AB306" s="507">
        <f>Port[[#This Row],[ECL (CNY)]]*Port[[#This Row],[CNY -&gt; FCY]]</f>
        <v>16349.437772977584</v>
      </c>
      <c r="AC306" s="507">
        <f>Port[[#This Row],[ECL_Interest (CNY)]]*Port[[#This Row],[CNY -&gt; FCY]]</f>
        <v>176.50592606362841</v>
      </c>
      <c r="AD306" s="507">
        <f>Port[[#This Row],[EAD_Drawn (CNY)]]*Port[[#This Row],[CNY -&gt; THB]]</f>
        <v>104973925.57673359</v>
      </c>
      <c r="AE306" s="507">
        <f>Port[[#This Row],[EAD_Undrawn (CNY)]]*Port[[#This Row],[CNY -&gt; THB]]</f>
        <v>0</v>
      </c>
      <c r="AF306" s="507">
        <f>Port[[#This Row],[EAD (CNY)]]*Port[[#This Row],[CNY -&gt; THB]]</f>
        <v>104973925.57673359</v>
      </c>
      <c r="AG306" s="507">
        <f>Port[[#This Row],[EAD_Interest (CNY)]]*Port[[#This Row],[CNY -&gt; THB]]</f>
        <v>1133281.780311723</v>
      </c>
      <c r="AH306" s="507">
        <f>Port[[#This Row],[ECL_Drawn (CNY)]]*Port[[#This Row],[CNY -&gt; THB]]</f>
        <v>85814.928982804748</v>
      </c>
      <c r="AI306" s="507">
        <f>Port[[#This Row],[ECL_Undrawn (CNY)]]*Port[[#This Row],[CNY -&gt; THB]]</f>
        <v>0</v>
      </c>
      <c r="AJ306" s="507">
        <f>Port[[#This Row],[ECL (CNY)]]*Port[[#This Row],[CNY -&gt; THB]]</f>
        <v>85814.928982804748</v>
      </c>
      <c r="AK306" s="507">
        <f>Port[[#This Row],[ECL_Interest (CNY)]]*Port[[#This Row],[CNY -&gt; THB]]</f>
        <v>926.44430472277281</v>
      </c>
      <c r="AL306" s="507">
        <f>Port[[#This Row],[EAD (THB)]]*Port[[#This Row],[PD_avg]]</f>
        <v>95349.921092005272</v>
      </c>
      <c r="AM306" s="507">
        <f>Port[[#This Row],[EAD_Interest (THB)]]*Port[[#This Row],[PD_avg]]</f>
        <v>1029.3825608030809</v>
      </c>
      <c r="AN306" s="507">
        <f>Port[[#This Row],[EAD (THB)]]*Port[[#This Row],[LGD_avg]]</f>
        <v>94476533.019060239</v>
      </c>
      <c r="AO306" s="507">
        <f>Port[[#This Row],[EAD_Interest (THB)]]*Port[[#This Row],[LGD_avg]]</f>
        <v>1019953.6022805509</v>
      </c>
      <c r="AP306" s="507">
        <f>Port[[#This Row],[EAD_Drawn (THB)]]+Port[[#This Row],[EAD_Interest (THB)]]</f>
        <v>106107207.35704531</v>
      </c>
      <c r="AQ30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86741.373287527516</v>
      </c>
      <c r="AR306" s="522">
        <f>MAX(Port[[#This Row],[ECL (THB)]]+Port[[#This Row],[ECL_Interest (THB)]], Port[[#This Row],[ECL CBIRC (THB)]])</f>
        <v>86741.373287527516</v>
      </c>
    </row>
    <row r="307" spans="1:44">
      <c r="A307" s="2" t="s">
        <v>1026</v>
      </c>
      <c r="B307" s="2" t="s">
        <v>288</v>
      </c>
      <c r="C307" s="2" t="s">
        <v>278</v>
      </c>
      <c r="D307" s="2" t="s">
        <v>25</v>
      </c>
      <c r="E307" s="2" t="s">
        <v>280</v>
      </c>
      <c r="F307" s="2" t="s">
        <v>281</v>
      </c>
      <c r="G307" s="2" t="s">
        <v>21</v>
      </c>
      <c r="H307">
        <v>1</v>
      </c>
      <c r="I307" s="2" t="s">
        <v>526</v>
      </c>
      <c r="J307" s="505">
        <v>9.0832004774658653E-4</v>
      </c>
      <c r="K307" s="505">
        <v>0.89999999999999991</v>
      </c>
      <c r="L307" s="3">
        <v>1</v>
      </c>
      <c r="M307" s="3">
        <v>5.2488000000000001</v>
      </c>
      <c r="N307" s="507">
        <v>49817829.95959764</v>
      </c>
      <c r="O307" s="507">
        <v>0</v>
      </c>
      <c r="P307" s="507">
        <v>49817829.95959764</v>
      </c>
      <c r="Q307" s="507">
        <v>201385.79718042989</v>
      </c>
      <c r="R307" s="507">
        <v>40725.480318779744</v>
      </c>
      <c r="S307" s="507">
        <v>0</v>
      </c>
      <c r="T307" s="507">
        <v>40725.480318779744</v>
      </c>
      <c r="U307" s="507">
        <v>164.63048121937123</v>
      </c>
      <c r="V307" s="507">
        <f>Port[[#This Row],[EAD_Drawn (CNY)]]*Port[[#This Row],[CNY -&gt; FCY]]</f>
        <v>49817829.95959764</v>
      </c>
      <c r="W307" s="507">
        <f>Port[[#This Row],[EAD_Undrawn (CNY)]]*Port[[#This Row],[CNY -&gt; FCY]]</f>
        <v>0</v>
      </c>
      <c r="X307" s="507">
        <f>Port[[#This Row],[EAD (CNY)]]*Port[[#This Row],[CNY -&gt; FCY]]</f>
        <v>49817829.95959764</v>
      </c>
      <c r="Y307" s="507">
        <f>Port[[#This Row],[EAD_Interest (CNY)]]*Port[[#This Row],[CNY -&gt; FCY]]</f>
        <v>201385.79718042989</v>
      </c>
      <c r="Z307" s="507">
        <f>Port[[#This Row],[ECL_Drawn (CNY)]]*Port[[#This Row],[CNY -&gt; FCY]]</f>
        <v>40725.480318779744</v>
      </c>
      <c r="AA307" s="507">
        <f>Port[[#This Row],[ECL_Undrawn (CNY)]]*Port[[#This Row],[CNY -&gt; FCY]]</f>
        <v>0</v>
      </c>
      <c r="AB307" s="507">
        <f>Port[[#This Row],[ECL (CNY)]]*Port[[#This Row],[CNY -&gt; FCY]]</f>
        <v>40725.480318779744</v>
      </c>
      <c r="AC307" s="507">
        <f>Port[[#This Row],[ECL_Interest (CNY)]]*Port[[#This Row],[CNY -&gt; FCY]]</f>
        <v>164.63048121937123</v>
      </c>
      <c r="AD307" s="507">
        <f>Port[[#This Row],[EAD_Drawn (CNY)]]*Port[[#This Row],[CNY -&gt; THB]]</f>
        <v>261483825.89193609</v>
      </c>
      <c r="AE307" s="507">
        <f>Port[[#This Row],[EAD_Undrawn (CNY)]]*Port[[#This Row],[CNY -&gt; THB]]</f>
        <v>0</v>
      </c>
      <c r="AF307" s="507">
        <f>Port[[#This Row],[EAD (CNY)]]*Port[[#This Row],[CNY -&gt; THB]]</f>
        <v>261483825.89193609</v>
      </c>
      <c r="AG307" s="507">
        <f>Port[[#This Row],[EAD_Interest (CNY)]]*Port[[#This Row],[CNY -&gt; THB]]</f>
        <v>1057033.7722406404</v>
      </c>
      <c r="AH307" s="507">
        <f>Port[[#This Row],[ECL_Drawn (CNY)]]*Port[[#This Row],[CNY -&gt; THB]]</f>
        <v>213759.90109721111</v>
      </c>
      <c r="AI307" s="507">
        <f>Port[[#This Row],[ECL_Undrawn (CNY)]]*Port[[#This Row],[CNY -&gt; THB]]</f>
        <v>0</v>
      </c>
      <c r="AJ307" s="507">
        <f>Port[[#This Row],[ECL (CNY)]]*Port[[#This Row],[CNY -&gt; THB]]</f>
        <v>213759.90109721111</v>
      </c>
      <c r="AK307" s="507">
        <f>Port[[#This Row],[ECL_Interest (CNY)]]*Port[[#This Row],[CNY -&gt; THB]]</f>
        <v>864.11246982423575</v>
      </c>
      <c r="AL307" s="507">
        <f>Port[[#This Row],[EAD (THB)]]*Port[[#This Row],[PD_avg]]</f>
        <v>237511.00121912351</v>
      </c>
      <c r="AM307" s="507">
        <f>Port[[#This Row],[EAD_Interest (THB)]]*Port[[#This Row],[PD_avg]]</f>
        <v>960.12496647137289</v>
      </c>
      <c r="AN307" s="507">
        <f>Port[[#This Row],[EAD (THB)]]*Port[[#This Row],[LGD_avg]]</f>
        <v>235335443.30274245</v>
      </c>
      <c r="AO307" s="507">
        <f>Port[[#This Row],[EAD_Interest (THB)]]*Port[[#This Row],[LGD_avg]]</f>
        <v>951330.39501657628</v>
      </c>
      <c r="AP307" s="507">
        <f>Port[[#This Row],[EAD_Drawn (THB)]]+Port[[#This Row],[EAD_Interest (THB)]]</f>
        <v>262540859.66417673</v>
      </c>
      <c r="AQ30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214624.01356703535</v>
      </c>
      <c r="AR307" s="522">
        <f>MAX(Port[[#This Row],[ECL (THB)]]+Port[[#This Row],[ECL_Interest (THB)]], Port[[#This Row],[ECL CBIRC (THB)]])</f>
        <v>214624.01356703535</v>
      </c>
    </row>
    <row r="308" spans="1:44">
      <c r="A308" s="2" t="s">
        <v>1027</v>
      </c>
      <c r="B308" s="2" t="s">
        <v>288</v>
      </c>
      <c r="C308" s="2" t="s">
        <v>278</v>
      </c>
      <c r="D308" s="2" t="s">
        <v>25</v>
      </c>
      <c r="E308" s="2" t="s">
        <v>280</v>
      </c>
      <c r="F308" s="2" t="s">
        <v>281</v>
      </c>
      <c r="G308" s="2" t="s">
        <v>21</v>
      </c>
      <c r="H308">
        <v>1</v>
      </c>
      <c r="I308" s="2" t="s">
        <v>526</v>
      </c>
      <c r="J308" s="505">
        <v>9.0832004774658653E-4</v>
      </c>
      <c r="K308" s="505">
        <v>0.90000000000000024</v>
      </c>
      <c r="L308" s="3">
        <v>1</v>
      </c>
      <c r="M308" s="3">
        <v>5.2488000000000001</v>
      </c>
      <c r="N308" s="507">
        <v>49817929.965579703</v>
      </c>
      <c r="O308" s="507">
        <v>0</v>
      </c>
      <c r="P308" s="507">
        <v>49817929.965579703</v>
      </c>
      <c r="Q308" s="507">
        <v>201386.20144903084</v>
      </c>
      <c r="R308" s="507">
        <v>40725.56207247432</v>
      </c>
      <c r="S308" s="507">
        <v>0</v>
      </c>
      <c r="T308" s="507">
        <v>40725.56207247432</v>
      </c>
      <c r="U308" s="507">
        <v>164.63081170411863</v>
      </c>
      <c r="V308" s="507">
        <f>Port[[#This Row],[EAD_Drawn (CNY)]]*Port[[#This Row],[CNY -&gt; FCY]]</f>
        <v>49817929.965579703</v>
      </c>
      <c r="W308" s="507">
        <f>Port[[#This Row],[EAD_Undrawn (CNY)]]*Port[[#This Row],[CNY -&gt; FCY]]</f>
        <v>0</v>
      </c>
      <c r="X308" s="507">
        <f>Port[[#This Row],[EAD (CNY)]]*Port[[#This Row],[CNY -&gt; FCY]]</f>
        <v>49817929.965579703</v>
      </c>
      <c r="Y308" s="507">
        <f>Port[[#This Row],[EAD_Interest (CNY)]]*Port[[#This Row],[CNY -&gt; FCY]]</f>
        <v>201386.20144903084</v>
      </c>
      <c r="Z308" s="507">
        <f>Port[[#This Row],[ECL_Drawn (CNY)]]*Port[[#This Row],[CNY -&gt; FCY]]</f>
        <v>40725.56207247432</v>
      </c>
      <c r="AA308" s="507">
        <f>Port[[#This Row],[ECL_Undrawn (CNY)]]*Port[[#This Row],[CNY -&gt; FCY]]</f>
        <v>0</v>
      </c>
      <c r="AB308" s="507">
        <f>Port[[#This Row],[ECL (CNY)]]*Port[[#This Row],[CNY -&gt; FCY]]</f>
        <v>40725.56207247432</v>
      </c>
      <c r="AC308" s="507">
        <f>Port[[#This Row],[ECL_Interest (CNY)]]*Port[[#This Row],[CNY -&gt; FCY]]</f>
        <v>164.63081170411863</v>
      </c>
      <c r="AD308" s="507">
        <f>Port[[#This Row],[EAD_Drawn (CNY)]]*Port[[#This Row],[CNY -&gt; THB]]</f>
        <v>261484350.80333474</v>
      </c>
      <c r="AE308" s="507">
        <f>Port[[#This Row],[EAD_Undrawn (CNY)]]*Port[[#This Row],[CNY -&gt; THB]]</f>
        <v>0</v>
      </c>
      <c r="AF308" s="507">
        <f>Port[[#This Row],[EAD (CNY)]]*Port[[#This Row],[CNY -&gt; THB]]</f>
        <v>261484350.80333474</v>
      </c>
      <c r="AG308" s="507">
        <f>Port[[#This Row],[EAD_Interest (CNY)]]*Port[[#This Row],[CNY -&gt; THB]]</f>
        <v>1057035.8941656731</v>
      </c>
      <c r="AH308" s="507">
        <f>Port[[#This Row],[ECL_Drawn (CNY)]]*Port[[#This Row],[CNY -&gt; THB]]</f>
        <v>213760.33020600321</v>
      </c>
      <c r="AI308" s="507">
        <f>Port[[#This Row],[ECL_Undrawn (CNY)]]*Port[[#This Row],[CNY -&gt; THB]]</f>
        <v>0</v>
      </c>
      <c r="AJ308" s="507">
        <f>Port[[#This Row],[ECL (CNY)]]*Port[[#This Row],[CNY -&gt; THB]]</f>
        <v>213760.33020600321</v>
      </c>
      <c r="AK308" s="507">
        <f>Port[[#This Row],[ECL_Interest (CNY)]]*Port[[#This Row],[CNY -&gt; THB]]</f>
        <v>864.11420447257785</v>
      </c>
      <c r="AL308" s="507">
        <f>Port[[#This Row],[EAD (THB)]]*Port[[#This Row],[PD_avg]]</f>
        <v>237511.47800667019</v>
      </c>
      <c r="AM308" s="507">
        <f>Port[[#This Row],[EAD_Interest (THB)]]*Port[[#This Row],[PD_avg]]</f>
        <v>960.12689385841998</v>
      </c>
      <c r="AN308" s="507">
        <f>Port[[#This Row],[EAD (THB)]]*Port[[#This Row],[LGD_avg]]</f>
        <v>235335915.72300133</v>
      </c>
      <c r="AO308" s="507">
        <f>Port[[#This Row],[EAD_Interest (THB)]]*Port[[#This Row],[LGD_avg]]</f>
        <v>951332.30474910606</v>
      </c>
      <c r="AP308" s="507">
        <f>Port[[#This Row],[EAD_Drawn (THB)]]+Port[[#This Row],[EAD_Interest (THB)]]</f>
        <v>262541386.69750041</v>
      </c>
      <c r="AQ30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214624.44441047579</v>
      </c>
      <c r="AR308" s="522">
        <f>MAX(Port[[#This Row],[ECL (THB)]]+Port[[#This Row],[ECL_Interest (THB)]], Port[[#This Row],[ECL CBIRC (THB)]])</f>
        <v>214624.44441047579</v>
      </c>
    </row>
    <row r="309" spans="1:44">
      <c r="A309" s="2" t="s">
        <v>1028</v>
      </c>
      <c r="B309" s="2" t="s">
        <v>288</v>
      </c>
      <c r="C309" s="2" t="s">
        <v>278</v>
      </c>
      <c r="D309" s="2" t="s">
        <v>25</v>
      </c>
      <c r="E309" s="2" t="s">
        <v>280</v>
      </c>
      <c r="F309" s="2" t="s">
        <v>281</v>
      </c>
      <c r="G309" s="2" t="s">
        <v>21</v>
      </c>
      <c r="H309">
        <v>1</v>
      </c>
      <c r="I309" s="2" t="s">
        <v>526</v>
      </c>
      <c r="J309" s="505">
        <v>9.0832004774658653E-4</v>
      </c>
      <c r="K309" s="505">
        <v>0.89999999999999991</v>
      </c>
      <c r="L309" s="3">
        <v>1</v>
      </c>
      <c r="M309" s="3">
        <v>5.2488000000000001</v>
      </c>
      <c r="N309" s="507">
        <v>49814329.750225164</v>
      </c>
      <c r="O309" s="507">
        <v>0</v>
      </c>
      <c r="P309" s="507">
        <v>49814329.750225164</v>
      </c>
      <c r="Q309" s="507">
        <v>201371.64777939522</v>
      </c>
      <c r="R309" s="507">
        <v>40722.618939469852</v>
      </c>
      <c r="S309" s="507">
        <v>0</v>
      </c>
      <c r="T309" s="507">
        <v>40722.618939469852</v>
      </c>
      <c r="U309" s="507">
        <v>164.61891425321016</v>
      </c>
      <c r="V309" s="507">
        <f>Port[[#This Row],[EAD_Drawn (CNY)]]*Port[[#This Row],[CNY -&gt; FCY]]</f>
        <v>49814329.750225164</v>
      </c>
      <c r="W309" s="507">
        <f>Port[[#This Row],[EAD_Undrawn (CNY)]]*Port[[#This Row],[CNY -&gt; FCY]]</f>
        <v>0</v>
      </c>
      <c r="X309" s="507">
        <f>Port[[#This Row],[EAD (CNY)]]*Port[[#This Row],[CNY -&gt; FCY]]</f>
        <v>49814329.750225164</v>
      </c>
      <c r="Y309" s="507">
        <f>Port[[#This Row],[EAD_Interest (CNY)]]*Port[[#This Row],[CNY -&gt; FCY]]</f>
        <v>201371.64777939522</v>
      </c>
      <c r="Z309" s="507">
        <f>Port[[#This Row],[ECL_Drawn (CNY)]]*Port[[#This Row],[CNY -&gt; FCY]]</f>
        <v>40722.618939469852</v>
      </c>
      <c r="AA309" s="507">
        <f>Port[[#This Row],[ECL_Undrawn (CNY)]]*Port[[#This Row],[CNY -&gt; FCY]]</f>
        <v>0</v>
      </c>
      <c r="AB309" s="507">
        <f>Port[[#This Row],[ECL (CNY)]]*Port[[#This Row],[CNY -&gt; FCY]]</f>
        <v>40722.618939469852</v>
      </c>
      <c r="AC309" s="507">
        <f>Port[[#This Row],[ECL_Interest (CNY)]]*Port[[#This Row],[CNY -&gt; FCY]]</f>
        <v>164.61891425321016</v>
      </c>
      <c r="AD309" s="507">
        <f>Port[[#This Row],[EAD_Drawn (CNY)]]*Port[[#This Row],[CNY -&gt; THB]]</f>
        <v>261465453.99298185</v>
      </c>
      <c r="AE309" s="507">
        <f>Port[[#This Row],[EAD_Undrawn (CNY)]]*Port[[#This Row],[CNY -&gt; THB]]</f>
        <v>0</v>
      </c>
      <c r="AF309" s="507">
        <f>Port[[#This Row],[EAD (CNY)]]*Port[[#This Row],[CNY -&gt; THB]]</f>
        <v>261465453.99298185</v>
      </c>
      <c r="AG309" s="507">
        <f>Port[[#This Row],[EAD_Interest (CNY)]]*Port[[#This Row],[CNY -&gt; THB]]</f>
        <v>1056959.5048644897</v>
      </c>
      <c r="AH309" s="507">
        <f>Port[[#This Row],[ECL_Drawn (CNY)]]*Port[[#This Row],[CNY -&gt; THB]]</f>
        <v>213744.88228948935</v>
      </c>
      <c r="AI309" s="507">
        <f>Port[[#This Row],[ECL_Undrawn (CNY)]]*Port[[#This Row],[CNY -&gt; THB]]</f>
        <v>0</v>
      </c>
      <c r="AJ309" s="507">
        <f>Port[[#This Row],[ECL (CNY)]]*Port[[#This Row],[CNY -&gt; THB]]</f>
        <v>213744.88228948935</v>
      </c>
      <c r="AK309" s="507">
        <f>Port[[#This Row],[ECL_Interest (CNY)]]*Port[[#This Row],[CNY -&gt; THB]]</f>
        <v>864.05175713224958</v>
      </c>
      <c r="AL309" s="507">
        <f>Port[[#This Row],[EAD (THB)]]*Port[[#This Row],[PD_avg]]</f>
        <v>237494.31365498819</v>
      </c>
      <c r="AM309" s="507">
        <f>Port[[#This Row],[EAD_Interest (THB)]]*Port[[#This Row],[PD_avg]]</f>
        <v>960.05750792472168</v>
      </c>
      <c r="AN309" s="507">
        <f>Port[[#This Row],[EAD (THB)]]*Port[[#This Row],[LGD_avg]]</f>
        <v>235318908.59368363</v>
      </c>
      <c r="AO309" s="507">
        <f>Port[[#This Row],[EAD_Interest (THB)]]*Port[[#This Row],[LGD_avg]]</f>
        <v>951263.5543780406</v>
      </c>
      <c r="AP309" s="507">
        <f>Port[[#This Row],[EAD_Drawn (THB)]]+Port[[#This Row],[EAD_Interest (THB)]]</f>
        <v>262522413.49784634</v>
      </c>
      <c r="AQ30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214608.93404662161</v>
      </c>
      <c r="AR309" s="522">
        <f>MAX(Port[[#This Row],[ECL (THB)]]+Port[[#This Row],[ECL_Interest (THB)]], Port[[#This Row],[ECL CBIRC (THB)]])</f>
        <v>214608.93404662161</v>
      </c>
    </row>
    <row r="310" spans="1:44">
      <c r="A310" s="2" t="s">
        <v>289</v>
      </c>
      <c r="B310" s="2" t="s">
        <v>288</v>
      </c>
      <c r="C310" s="2" t="s">
        <v>278</v>
      </c>
      <c r="D310" s="2" t="s">
        <v>25</v>
      </c>
      <c r="E310" s="2" t="s">
        <v>280</v>
      </c>
      <c r="F310" s="2" t="s">
        <v>281</v>
      </c>
      <c r="G310" s="2" t="s">
        <v>21</v>
      </c>
      <c r="H310">
        <v>1</v>
      </c>
      <c r="I310" s="2" t="s">
        <v>526</v>
      </c>
      <c r="J310" s="505">
        <v>9.0832004774658653E-4</v>
      </c>
      <c r="K310" s="505">
        <v>0.89999999999999991</v>
      </c>
      <c r="L310" s="3">
        <v>1</v>
      </c>
      <c r="M310" s="3">
        <v>5.2488000000000001</v>
      </c>
      <c r="N310" s="507">
        <v>99979717.800650999</v>
      </c>
      <c r="O310" s="507">
        <v>0</v>
      </c>
      <c r="P310" s="507">
        <v>99979717.800650999</v>
      </c>
      <c r="Q310" s="507">
        <v>2174109.589041099</v>
      </c>
      <c r="R310" s="507">
        <v>81732.223841739804</v>
      </c>
      <c r="S310" s="507">
        <v>0</v>
      </c>
      <c r="T310" s="507">
        <v>81732.223841739804</v>
      </c>
      <c r="U310" s="507">
        <v>1777.3085931517103</v>
      </c>
      <c r="V310" s="507">
        <f>Port[[#This Row],[EAD_Drawn (CNY)]]*Port[[#This Row],[CNY -&gt; FCY]]</f>
        <v>99979717.800650999</v>
      </c>
      <c r="W310" s="507">
        <f>Port[[#This Row],[EAD_Undrawn (CNY)]]*Port[[#This Row],[CNY -&gt; FCY]]</f>
        <v>0</v>
      </c>
      <c r="X310" s="507">
        <f>Port[[#This Row],[EAD (CNY)]]*Port[[#This Row],[CNY -&gt; FCY]]</f>
        <v>99979717.800650999</v>
      </c>
      <c r="Y310" s="507">
        <f>Port[[#This Row],[EAD_Interest (CNY)]]*Port[[#This Row],[CNY -&gt; FCY]]</f>
        <v>2174109.589041099</v>
      </c>
      <c r="Z310" s="507">
        <f>Port[[#This Row],[ECL_Drawn (CNY)]]*Port[[#This Row],[CNY -&gt; FCY]]</f>
        <v>81732.223841739804</v>
      </c>
      <c r="AA310" s="507">
        <f>Port[[#This Row],[ECL_Undrawn (CNY)]]*Port[[#This Row],[CNY -&gt; FCY]]</f>
        <v>0</v>
      </c>
      <c r="AB310" s="507">
        <f>Port[[#This Row],[ECL (CNY)]]*Port[[#This Row],[CNY -&gt; FCY]]</f>
        <v>81732.223841739804</v>
      </c>
      <c r="AC310" s="507">
        <f>Port[[#This Row],[ECL_Interest (CNY)]]*Port[[#This Row],[CNY -&gt; FCY]]</f>
        <v>1777.3085931517103</v>
      </c>
      <c r="AD310" s="507">
        <f>Port[[#This Row],[EAD_Drawn (CNY)]]*Port[[#This Row],[CNY -&gt; THB]]</f>
        <v>524773542.79205698</v>
      </c>
      <c r="AE310" s="507">
        <f>Port[[#This Row],[EAD_Undrawn (CNY)]]*Port[[#This Row],[CNY -&gt; THB]]</f>
        <v>0</v>
      </c>
      <c r="AF310" s="507">
        <f>Port[[#This Row],[EAD (CNY)]]*Port[[#This Row],[CNY -&gt; THB]]</f>
        <v>524773542.79205698</v>
      </c>
      <c r="AG310" s="507">
        <f>Port[[#This Row],[EAD_Interest (CNY)]]*Port[[#This Row],[CNY -&gt; THB]]</f>
        <v>11411466.41095892</v>
      </c>
      <c r="AH310" s="507">
        <f>Port[[#This Row],[ECL_Drawn (CNY)]]*Port[[#This Row],[CNY -&gt; THB]]</f>
        <v>428996.09650052391</v>
      </c>
      <c r="AI310" s="507">
        <f>Port[[#This Row],[ECL_Undrawn (CNY)]]*Port[[#This Row],[CNY -&gt; THB]]</f>
        <v>0</v>
      </c>
      <c r="AJ310" s="507">
        <f>Port[[#This Row],[ECL (CNY)]]*Port[[#This Row],[CNY -&gt; THB]]</f>
        <v>428996.09650052391</v>
      </c>
      <c r="AK310" s="507">
        <f>Port[[#This Row],[ECL_Interest (CNY)]]*Port[[#This Row],[CNY -&gt; THB]]</f>
        <v>9328.7373437346978</v>
      </c>
      <c r="AL310" s="507">
        <f>Port[[#This Row],[EAD (THB)]]*Port[[#This Row],[PD_avg]]</f>
        <v>476662.32944502658</v>
      </c>
      <c r="AM310" s="507">
        <f>Port[[#This Row],[EAD_Interest (THB)]]*Port[[#This Row],[PD_avg]]</f>
        <v>10365.263715260775</v>
      </c>
      <c r="AN310" s="507">
        <f>Port[[#This Row],[EAD (THB)]]*Port[[#This Row],[LGD_avg]]</f>
        <v>472296188.51285124</v>
      </c>
      <c r="AO310" s="507">
        <f>Port[[#This Row],[EAD_Interest (THB)]]*Port[[#This Row],[LGD_avg]]</f>
        <v>10270319.769863026</v>
      </c>
      <c r="AP310" s="507">
        <f>Port[[#This Row],[EAD_Drawn (THB)]]+Port[[#This Row],[EAD_Interest (THB)]]</f>
        <v>536185009.20301592</v>
      </c>
      <c r="AQ3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438324.83384425862</v>
      </c>
      <c r="AR310" s="522">
        <f>MAX(Port[[#This Row],[ECL (THB)]]+Port[[#This Row],[ECL_Interest (THB)]], Port[[#This Row],[ECL CBIRC (THB)]])</f>
        <v>438324.83384425862</v>
      </c>
    </row>
    <row r="311" spans="1:44">
      <c r="A311" s="2" t="s">
        <v>290</v>
      </c>
      <c r="B311" s="2" t="s">
        <v>288</v>
      </c>
      <c r="C311" s="2" t="s">
        <v>278</v>
      </c>
      <c r="D311" s="2" t="s">
        <v>25</v>
      </c>
      <c r="E311" s="2" t="s">
        <v>280</v>
      </c>
      <c r="F311" s="2" t="s">
        <v>281</v>
      </c>
      <c r="G311" s="2" t="s">
        <v>21</v>
      </c>
      <c r="H311">
        <v>1</v>
      </c>
      <c r="I311" s="2" t="s">
        <v>526</v>
      </c>
      <c r="J311" s="505">
        <v>9.0832004774658653E-4</v>
      </c>
      <c r="K311" s="505">
        <v>0.89999999999999991</v>
      </c>
      <c r="L311" s="3">
        <v>1</v>
      </c>
      <c r="M311" s="3">
        <v>5.2488000000000001</v>
      </c>
      <c r="N311" s="507">
        <v>249764608.019245</v>
      </c>
      <c r="O311" s="507">
        <v>0</v>
      </c>
      <c r="P311" s="507">
        <v>249764608.019245</v>
      </c>
      <c r="Q311" s="507">
        <v>2654772.1421078299</v>
      </c>
      <c r="R311" s="507">
        <v>204179.58061330329</v>
      </c>
      <c r="S311" s="507">
        <v>0</v>
      </c>
      <c r="T311" s="507">
        <v>204179.58061330329</v>
      </c>
      <c r="U311" s="507">
        <v>2170.2444829881229</v>
      </c>
      <c r="V311" s="507">
        <f>Port[[#This Row],[EAD_Drawn (CNY)]]*Port[[#This Row],[CNY -&gt; FCY]]</f>
        <v>249764608.019245</v>
      </c>
      <c r="W311" s="507">
        <f>Port[[#This Row],[EAD_Undrawn (CNY)]]*Port[[#This Row],[CNY -&gt; FCY]]</f>
        <v>0</v>
      </c>
      <c r="X311" s="507">
        <f>Port[[#This Row],[EAD (CNY)]]*Port[[#This Row],[CNY -&gt; FCY]]</f>
        <v>249764608.019245</v>
      </c>
      <c r="Y311" s="507">
        <f>Port[[#This Row],[EAD_Interest (CNY)]]*Port[[#This Row],[CNY -&gt; FCY]]</f>
        <v>2654772.1421078299</v>
      </c>
      <c r="Z311" s="507">
        <f>Port[[#This Row],[ECL_Drawn (CNY)]]*Port[[#This Row],[CNY -&gt; FCY]]</f>
        <v>204179.58061330329</v>
      </c>
      <c r="AA311" s="507">
        <f>Port[[#This Row],[ECL_Undrawn (CNY)]]*Port[[#This Row],[CNY -&gt; FCY]]</f>
        <v>0</v>
      </c>
      <c r="AB311" s="507">
        <f>Port[[#This Row],[ECL (CNY)]]*Port[[#This Row],[CNY -&gt; FCY]]</f>
        <v>204179.58061330329</v>
      </c>
      <c r="AC311" s="507">
        <f>Port[[#This Row],[ECL_Interest (CNY)]]*Port[[#This Row],[CNY -&gt; FCY]]</f>
        <v>2170.2444829881229</v>
      </c>
      <c r="AD311" s="507">
        <f>Port[[#This Row],[EAD_Drawn (CNY)]]*Port[[#This Row],[CNY -&gt; THB]]</f>
        <v>1310964474.5714133</v>
      </c>
      <c r="AE311" s="507">
        <f>Port[[#This Row],[EAD_Undrawn (CNY)]]*Port[[#This Row],[CNY -&gt; THB]]</f>
        <v>0</v>
      </c>
      <c r="AF311" s="507">
        <f>Port[[#This Row],[EAD (CNY)]]*Port[[#This Row],[CNY -&gt; THB]]</f>
        <v>1310964474.5714133</v>
      </c>
      <c r="AG311" s="507">
        <f>Port[[#This Row],[EAD_Interest (CNY)]]*Port[[#This Row],[CNY -&gt; THB]]</f>
        <v>13934368.019495578</v>
      </c>
      <c r="AH311" s="507">
        <f>Port[[#This Row],[ECL_Drawn (CNY)]]*Port[[#This Row],[CNY -&gt; THB]]</f>
        <v>1071697.7827231064</v>
      </c>
      <c r="AI311" s="507">
        <f>Port[[#This Row],[ECL_Undrawn (CNY)]]*Port[[#This Row],[CNY -&gt; THB]]</f>
        <v>0</v>
      </c>
      <c r="AJ311" s="507">
        <f>Port[[#This Row],[ECL (CNY)]]*Port[[#This Row],[CNY -&gt; THB]]</f>
        <v>1071697.7827231064</v>
      </c>
      <c r="AK311" s="507">
        <f>Port[[#This Row],[ECL_Interest (CNY)]]*Port[[#This Row],[CNY -&gt; THB]]</f>
        <v>11391.179242308059</v>
      </c>
      <c r="AL311" s="507">
        <f>Port[[#This Row],[EAD (THB)]]*Port[[#This Row],[PD_avg]]</f>
        <v>1190775.3141367848</v>
      </c>
      <c r="AM311" s="507">
        <f>Port[[#This Row],[EAD_Interest (THB)]]*Port[[#This Row],[PD_avg]]</f>
        <v>12656.865824786732</v>
      </c>
      <c r="AN311" s="507">
        <f>Port[[#This Row],[EAD (THB)]]*Port[[#This Row],[LGD_avg]]</f>
        <v>1179868027.1142719</v>
      </c>
      <c r="AO311" s="507">
        <f>Port[[#This Row],[EAD_Interest (THB)]]*Port[[#This Row],[LGD_avg]]</f>
        <v>12540931.21754602</v>
      </c>
      <c r="AP311" s="507">
        <f>Port[[#This Row],[EAD_Drawn (THB)]]+Port[[#This Row],[EAD_Interest (THB)]]</f>
        <v>1324898842.5909088</v>
      </c>
      <c r="AQ3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1083088.9619654145</v>
      </c>
      <c r="AR311" s="522">
        <f>MAX(Port[[#This Row],[ECL (THB)]]+Port[[#This Row],[ECL_Interest (THB)]], Port[[#This Row],[ECL CBIRC (THB)]])</f>
        <v>1083088.9619654145</v>
      </c>
    </row>
    <row r="312" spans="1:44">
      <c r="A312" s="2" t="s">
        <v>291</v>
      </c>
      <c r="B312" s="2" t="s">
        <v>288</v>
      </c>
      <c r="C312" s="2" t="s">
        <v>278</v>
      </c>
      <c r="D312" s="2" t="s">
        <v>25</v>
      </c>
      <c r="E312" s="2" t="s">
        <v>280</v>
      </c>
      <c r="F312" s="2" t="s">
        <v>281</v>
      </c>
      <c r="G312" s="2" t="s">
        <v>21</v>
      </c>
      <c r="H312">
        <v>1</v>
      </c>
      <c r="I312" s="2" t="s">
        <v>526</v>
      </c>
      <c r="J312" s="505">
        <v>9.0832004774658653E-4</v>
      </c>
      <c r="K312" s="505">
        <v>0.9</v>
      </c>
      <c r="L312" s="3">
        <v>1</v>
      </c>
      <c r="M312" s="3">
        <v>5.2488000000000001</v>
      </c>
      <c r="N312" s="507">
        <v>100044905.74166489</v>
      </c>
      <c r="O312" s="507">
        <v>0</v>
      </c>
      <c r="P312" s="507">
        <v>100044905.74166489</v>
      </c>
      <c r="Q312" s="507">
        <v>1063378.5528236839</v>
      </c>
      <c r="R312" s="507">
        <v>81785.514204064617</v>
      </c>
      <c r="S312" s="507">
        <v>0</v>
      </c>
      <c r="T312" s="507">
        <v>81785.514204064617</v>
      </c>
      <c r="U312" s="507">
        <v>869.29925208615418</v>
      </c>
      <c r="V312" s="507">
        <f>Port[[#This Row],[EAD_Drawn (CNY)]]*Port[[#This Row],[CNY -&gt; FCY]]</f>
        <v>100044905.74166489</v>
      </c>
      <c r="W312" s="507">
        <f>Port[[#This Row],[EAD_Undrawn (CNY)]]*Port[[#This Row],[CNY -&gt; FCY]]</f>
        <v>0</v>
      </c>
      <c r="X312" s="507">
        <f>Port[[#This Row],[EAD (CNY)]]*Port[[#This Row],[CNY -&gt; FCY]]</f>
        <v>100044905.74166489</v>
      </c>
      <c r="Y312" s="507">
        <f>Port[[#This Row],[EAD_Interest (CNY)]]*Port[[#This Row],[CNY -&gt; FCY]]</f>
        <v>1063378.5528236839</v>
      </c>
      <c r="Z312" s="507">
        <f>Port[[#This Row],[ECL_Drawn (CNY)]]*Port[[#This Row],[CNY -&gt; FCY]]</f>
        <v>81785.514204064617</v>
      </c>
      <c r="AA312" s="507">
        <f>Port[[#This Row],[ECL_Undrawn (CNY)]]*Port[[#This Row],[CNY -&gt; FCY]]</f>
        <v>0</v>
      </c>
      <c r="AB312" s="507">
        <f>Port[[#This Row],[ECL (CNY)]]*Port[[#This Row],[CNY -&gt; FCY]]</f>
        <v>81785.514204064617</v>
      </c>
      <c r="AC312" s="507">
        <f>Port[[#This Row],[ECL_Interest (CNY)]]*Port[[#This Row],[CNY -&gt; FCY]]</f>
        <v>869.29925208615418</v>
      </c>
      <c r="AD312" s="507">
        <f>Port[[#This Row],[EAD_Drawn (CNY)]]*Port[[#This Row],[CNY -&gt; THB]]</f>
        <v>525115701.25685066</v>
      </c>
      <c r="AE312" s="507">
        <f>Port[[#This Row],[EAD_Undrawn (CNY)]]*Port[[#This Row],[CNY -&gt; THB]]</f>
        <v>0</v>
      </c>
      <c r="AF312" s="507">
        <f>Port[[#This Row],[EAD (CNY)]]*Port[[#This Row],[CNY -&gt; THB]]</f>
        <v>525115701.25685066</v>
      </c>
      <c r="AG312" s="507">
        <f>Port[[#This Row],[EAD_Interest (CNY)]]*Port[[#This Row],[CNY -&gt; THB]]</f>
        <v>5581461.3480609525</v>
      </c>
      <c r="AH312" s="507">
        <f>Port[[#This Row],[ECL_Drawn (CNY)]]*Port[[#This Row],[CNY -&gt; THB]]</f>
        <v>429275.80695429438</v>
      </c>
      <c r="AI312" s="507">
        <f>Port[[#This Row],[ECL_Undrawn (CNY)]]*Port[[#This Row],[CNY -&gt; THB]]</f>
        <v>0</v>
      </c>
      <c r="AJ312" s="507">
        <f>Port[[#This Row],[ECL (CNY)]]*Port[[#This Row],[CNY -&gt; THB]]</f>
        <v>429275.80695429438</v>
      </c>
      <c r="AK312" s="507">
        <f>Port[[#This Row],[ECL_Interest (CNY)]]*Port[[#This Row],[CNY -&gt; THB]]</f>
        <v>4562.7779143498065</v>
      </c>
      <c r="AL312" s="507">
        <f>Port[[#This Row],[EAD (THB)]]*Port[[#This Row],[PD_avg]]</f>
        <v>476973.11883810489</v>
      </c>
      <c r="AM312" s="507">
        <f>Port[[#This Row],[EAD_Interest (THB)]]*Port[[#This Row],[PD_avg]]</f>
        <v>5069.7532381664514</v>
      </c>
      <c r="AN312" s="507">
        <f>Port[[#This Row],[EAD (THB)]]*Port[[#This Row],[LGD_avg]]</f>
        <v>472604131.13116562</v>
      </c>
      <c r="AO312" s="507">
        <f>Port[[#This Row],[EAD_Interest (THB)]]*Port[[#This Row],[LGD_avg]]</f>
        <v>5023315.2132548578</v>
      </c>
      <c r="AP312" s="507">
        <f>Port[[#This Row],[EAD_Drawn (THB)]]+Port[[#This Row],[EAD_Interest (THB)]]</f>
        <v>530697162.60491163</v>
      </c>
      <c r="AQ3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433838.58486864419</v>
      </c>
      <c r="AR312" s="522">
        <f>MAX(Port[[#This Row],[ECL (THB)]]+Port[[#This Row],[ECL_Interest (THB)]], Port[[#This Row],[ECL CBIRC (THB)]])</f>
        <v>433838.58486864419</v>
      </c>
    </row>
    <row r="313" spans="1:44">
      <c r="A313" s="2" t="s">
        <v>292</v>
      </c>
      <c r="B313" s="2" t="s">
        <v>288</v>
      </c>
      <c r="C313" s="2" t="s">
        <v>278</v>
      </c>
      <c r="D313" s="2" t="s">
        <v>25</v>
      </c>
      <c r="E313" s="2" t="s">
        <v>280</v>
      </c>
      <c r="F313" s="2" t="s">
        <v>281</v>
      </c>
      <c r="G313" s="2" t="s">
        <v>21</v>
      </c>
      <c r="H313">
        <v>1</v>
      </c>
      <c r="I313" s="2" t="s">
        <v>526</v>
      </c>
      <c r="J313" s="505">
        <v>9.0832004774658653E-4</v>
      </c>
      <c r="K313" s="505">
        <v>0.89999999999999991</v>
      </c>
      <c r="L313" s="3">
        <v>1</v>
      </c>
      <c r="M313" s="3">
        <v>5.2488000000000001</v>
      </c>
      <c r="N313" s="507">
        <v>200393621.24210265</v>
      </c>
      <c r="O313" s="507">
        <v>0</v>
      </c>
      <c r="P313" s="507">
        <v>200393621.24210265</v>
      </c>
      <c r="Q313" s="507">
        <v>3830139.2870964799</v>
      </c>
      <c r="R313" s="507">
        <v>163819.38925326423</v>
      </c>
      <c r="S313" s="507">
        <v>0</v>
      </c>
      <c r="T313" s="507">
        <v>163819.38925326423</v>
      </c>
      <c r="U313" s="507">
        <v>3131.093070118397</v>
      </c>
      <c r="V313" s="507">
        <f>Port[[#This Row],[EAD_Drawn (CNY)]]*Port[[#This Row],[CNY -&gt; FCY]]</f>
        <v>200393621.24210265</v>
      </c>
      <c r="W313" s="507">
        <f>Port[[#This Row],[EAD_Undrawn (CNY)]]*Port[[#This Row],[CNY -&gt; FCY]]</f>
        <v>0</v>
      </c>
      <c r="X313" s="507">
        <f>Port[[#This Row],[EAD (CNY)]]*Port[[#This Row],[CNY -&gt; FCY]]</f>
        <v>200393621.24210265</v>
      </c>
      <c r="Y313" s="507">
        <f>Port[[#This Row],[EAD_Interest (CNY)]]*Port[[#This Row],[CNY -&gt; FCY]]</f>
        <v>3830139.2870964799</v>
      </c>
      <c r="Z313" s="507">
        <f>Port[[#This Row],[ECL_Drawn (CNY)]]*Port[[#This Row],[CNY -&gt; FCY]]</f>
        <v>163819.38925326423</v>
      </c>
      <c r="AA313" s="507">
        <f>Port[[#This Row],[ECL_Undrawn (CNY)]]*Port[[#This Row],[CNY -&gt; FCY]]</f>
        <v>0</v>
      </c>
      <c r="AB313" s="507">
        <f>Port[[#This Row],[ECL (CNY)]]*Port[[#This Row],[CNY -&gt; FCY]]</f>
        <v>163819.38925326423</v>
      </c>
      <c r="AC313" s="507">
        <f>Port[[#This Row],[ECL_Interest (CNY)]]*Port[[#This Row],[CNY -&gt; FCY]]</f>
        <v>3131.093070118397</v>
      </c>
      <c r="AD313" s="507">
        <f>Port[[#This Row],[EAD_Drawn (CNY)]]*Port[[#This Row],[CNY -&gt; THB]]</f>
        <v>1051826039.1755484</v>
      </c>
      <c r="AE313" s="507">
        <f>Port[[#This Row],[EAD_Undrawn (CNY)]]*Port[[#This Row],[CNY -&gt; THB]]</f>
        <v>0</v>
      </c>
      <c r="AF313" s="507">
        <f>Port[[#This Row],[EAD (CNY)]]*Port[[#This Row],[CNY -&gt; THB]]</f>
        <v>1051826039.1755484</v>
      </c>
      <c r="AG313" s="507">
        <f>Port[[#This Row],[EAD_Interest (CNY)]]*Port[[#This Row],[CNY -&gt; THB]]</f>
        <v>20103635.090112004</v>
      </c>
      <c r="AH313" s="507">
        <f>Port[[#This Row],[ECL_Drawn (CNY)]]*Port[[#This Row],[CNY -&gt; THB]]</f>
        <v>859855.21031253331</v>
      </c>
      <c r="AI313" s="507">
        <f>Port[[#This Row],[ECL_Undrawn (CNY)]]*Port[[#This Row],[CNY -&gt; THB]]</f>
        <v>0</v>
      </c>
      <c r="AJ313" s="507">
        <f>Port[[#This Row],[ECL (CNY)]]*Port[[#This Row],[CNY -&gt; THB]]</f>
        <v>859855.21031253331</v>
      </c>
      <c r="AK313" s="507">
        <f>Port[[#This Row],[ECL_Interest (CNY)]]*Port[[#This Row],[CNY -&gt; THB]]</f>
        <v>16434.481306437443</v>
      </c>
      <c r="AL313" s="507">
        <f>Port[[#This Row],[EAD (THB)]]*Port[[#This Row],[PD_avg]]</f>
        <v>955394.67812503711</v>
      </c>
      <c r="AM313" s="507">
        <f>Port[[#This Row],[EAD_Interest (THB)]]*Port[[#This Row],[PD_avg]]</f>
        <v>18260.534784930489</v>
      </c>
      <c r="AN313" s="507">
        <f>Port[[#This Row],[EAD (THB)]]*Port[[#This Row],[LGD_avg]]</f>
        <v>946643435.25799346</v>
      </c>
      <c r="AO313" s="507">
        <f>Port[[#This Row],[EAD_Interest (THB)]]*Port[[#This Row],[LGD_avg]]</f>
        <v>18093271.581100803</v>
      </c>
      <c r="AP313" s="507">
        <f>Port[[#This Row],[EAD_Drawn (THB)]]+Port[[#This Row],[EAD_Interest (THB)]]</f>
        <v>1071929674.2656604</v>
      </c>
      <c r="AQ3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876289.69161897071</v>
      </c>
      <c r="AR313" s="522">
        <f>MAX(Port[[#This Row],[ECL (THB)]]+Port[[#This Row],[ECL_Interest (THB)]], Port[[#This Row],[ECL CBIRC (THB)]])</f>
        <v>876289.69161897071</v>
      </c>
    </row>
    <row r="314" spans="1:44">
      <c r="A314" s="2" t="s">
        <v>293</v>
      </c>
      <c r="B314" s="2" t="s">
        <v>288</v>
      </c>
      <c r="C314" s="2" t="s">
        <v>278</v>
      </c>
      <c r="D314" s="2" t="s">
        <v>25</v>
      </c>
      <c r="E314" s="2" t="s">
        <v>280</v>
      </c>
      <c r="F314" s="2" t="s">
        <v>281</v>
      </c>
      <c r="G314" s="2" t="s">
        <v>21</v>
      </c>
      <c r="H314">
        <v>1</v>
      </c>
      <c r="I314" s="2" t="s">
        <v>526</v>
      </c>
      <c r="J314" s="505">
        <v>9.0832004774658653E-4</v>
      </c>
      <c r="K314" s="505">
        <v>0.9</v>
      </c>
      <c r="L314" s="3">
        <v>1</v>
      </c>
      <c r="M314" s="3">
        <v>5.2488000000000001</v>
      </c>
      <c r="N314" s="507">
        <v>99508583.699092343</v>
      </c>
      <c r="O314" s="507">
        <v>0</v>
      </c>
      <c r="P314" s="507">
        <v>99508583.699092343</v>
      </c>
      <c r="Q314" s="507">
        <v>1901915.507424077</v>
      </c>
      <c r="R314" s="507">
        <v>81347.077347079277</v>
      </c>
      <c r="S314" s="507">
        <v>0</v>
      </c>
      <c r="T314" s="507">
        <v>81347.077347079277</v>
      </c>
      <c r="U314" s="507">
        <v>1554.7931860620697</v>
      </c>
      <c r="V314" s="507">
        <f>Port[[#This Row],[EAD_Drawn (CNY)]]*Port[[#This Row],[CNY -&gt; FCY]]</f>
        <v>99508583.699092343</v>
      </c>
      <c r="W314" s="507">
        <f>Port[[#This Row],[EAD_Undrawn (CNY)]]*Port[[#This Row],[CNY -&gt; FCY]]</f>
        <v>0</v>
      </c>
      <c r="X314" s="507">
        <f>Port[[#This Row],[EAD (CNY)]]*Port[[#This Row],[CNY -&gt; FCY]]</f>
        <v>99508583.699092343</v>
      </c>
      <c r="Y314" s="507">
        <f>Port[[#This Row],[EAD_Interest (CNY)]]*Port[[#This Row],[CNY -&gt; FCY]]</f>
        <v>1901915.507424077</v>
      </c>
      <c r="Z314" s="507">
        <f>Port[[#This Row],[ECL_Drawn (CNY)]]*Port[[#This Row],[CNY -&gt; FCY]]</f>
        <v>81347.077347079277</v>
      </c>
      <c r="AA314" s="507">
        <f>Port[[#This Row],[ECL_Undrawn (CNY)]]*Port[[#This Row],[CNY -&gt; FCY]]</f>
        <v>0</v>
      </c>
      <c r="AB314" s="507">
        <f>Port[[#This Row],[ECL (CNY)]]*Port[[#This Row],[CNY -&gt; FCY]]</f>
        <v>81347.077347079277</v>
      </c>
      <c r="AC314" s="507">
        <f>Port[[#This Row],[ECL_Interest (CNY)]]*Port[[#This Row],[CNY -&gt; FCY]]</f>
        <v>1554.7931860620697</v>
      </c>
      <c r="AD314" s="507">
        <f>Port[[#This Row],[EAD_Drawn (CNY)]]*Port[[#This Row],[CNY -&gt; THB]]</f>
        <v>522300654.11979592</v>
      </c>
      <c r="AE314" s="507">
        <f>Port[[#This Row],[EAD_Undrawn (CNY)]]*Port[[#This Row],[CNY -&gt; THB]]</f>
        <v>0</v>
      </c>
      <c r="AF314" s="507">
        <f>Port[[#This Row],[EAD (CNY)]]*Port[[#This Row],[CNY -&gt; THB]]</f>
        <v>522300654.11979592</v>
      </c>
      <c r="AG314" s="507">
        <f>Port[[#This Row],[EAD_Interest (CNY)]]*Port[[#This Row],[CNY -&gt; THB]]</f>
        <v>9982774.1153674964</v>
      </c>
      <c r="AH314" s="507">
        <f>Port[[#This Row],[ECL_Drawn (CNY)]]*Port[[#This Row],[CNY -&gt; THB]]</f>
        <v>426974.53957934974</v>
      </c>
      <c r="AI314" s="507">
        <f>Port[[#This Row],[ECL_Undrawn (CNY)]]*Port[[#This Row],[CNY -&gt; THB]]</f>
        <v>0</v>
      </c>
      <c r="AJ314" s="507">
        <f>Port[[#This Row],[ECL (CNY)]]*Port[[#This Row],[CNY -&gt; THB]]</f>
        <v>426974.53957934974</v>
      </c>
      <c r="AK314" s="507">
        <f>Port[[#This Row],[ECL_Interest (CNY)]]*Port[[#This Row],[CNY -&gt; THB]]</f>
        <v>8160.7984750025917</v>
      </c>
      <c r="AL314" s="507">
        <f>Port[[#This Row],[EAD (THB)]]*Port[[#This Row],[PD_avg]]</f>
        <v>474416.15508816642</v>
      </c>
      <c r="AM314" s="507">
        <f>Port[[#This Row],[EAD_Interest (THB)]]*Port[[#This Row],[PD_avg]]</f>
        <v>9067.5538611139928</v>
      </c>
      <c r="AN314" s="507">
        <f>Port[[#This Row],[EAD (THB)]]*Port[[#This Row],[LGD_avg]]</f>
        <v>470070588.70781636</v>
      </c>
      <c r="AO314" s="507">
        <f>Port[[#This Row],[EAD_Interest (THB)]]*Port[[#This Row],[LGD_avg]]</f>
        <v>8984496.7038307469</v>
      </c>
      <c r="AP314" s="507">
        <f>Port[[#This Row],[EAD_Drawn (THB)]]+Port[[#This Row],[EAD_Interest (THB)]]</f>
        <v>532283428.23516339</v>
      </c>
      <c r="AQ3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435135.33805435232</v>
      </c>
      <c r="AR314" s="522">
        <f>MAX(Port[[#This Row],[ECL (THB)]]+Port[[#This Row],[ECL_Interest (THB)]], Port[[#This Row],[ECL CBIRC (THB)]])</f>
        <v>435135.33805435232</v>
      </c>
    </row>
    <row r="315" spans="1:44">
      <c r="A315" s="2" t="s">
        <v>294</v>
      </c>
      <c r="B315" s="2" t="s">
        <v>288</v>
      </c>
      <c r="C315" s="2" t="s">
        <v>278</v>
      </c>
      <c r="D315" s="2" t="s">
        <v>25</v>
      </c>
      <c r="E315" s="2" t="s">
        <v>280</v>
      </c>
      <c r="F315" s="2" t="s">
        <v>281</v>
      </c>
      <c r="G315" s="2" t="s">
        <v>21</v>
      </c>
      <c r="H315">
        <v>1</v>
      </c>
      <c r="I315" s="2" t="s">
        <v>526</v>
      </c>
      <c r="J315" s="505">
        <v>9.0832004774658653E-4</v>
      </c>
      <c r="K315" s="505">
        <v>0.9</v>
      </c>
      <c r="L315" s="3">
        <v>1</v>
      </c>
      <c r="M315" s="3">
        <v>5.2488000000000001</v>
      </c>
      <c r="N315" s="507">
        <v>46750846.36372336</v>
      </c>
      <c r="O315" s="507">
        <v>0</v>
      </c>
      <c r="P315" s="507">
        <v>46750846.36372336</v>
      </c>
      <c r="Q315" s="507">
        <v>688039.56531844812</v>
      </c>
      <c r="R315" s="507">
        <v>38218.25790116148</v>
      </c>
      <c r="S315" s="507">
        <v>0</v>
      </c>
      <c r="T315" s="507">
        <v>38218.25790116148</v>
      </c>
      <c r="U315" s="507">
        <v>562.46411773943407</v>
      </c>
      <c r="V315" s="507">
        <f>Port[[#This Row],[EAD_Drawn (CNY)]]*Port[[#This Row],[CNY -&gt; FCY]]</f>
        <v>46750846.36372336</v>
      </c>
      <c r="W315" s="507">
        <f>Port[[#This Row],[EAD_Undrawn (CNY)]]*Port[[#This Row],[CNY -&gt; FCY]]</f>
        <v>0</v>
      </c>
      <c r="X315" s="507">
        <f>Port[[#This Row],[EAD (CNY)]]*Port[[#This Row],[CNY -&gt; FCY]]</f>
        <v>46750846.36372336</v>
      </c>
      <c r="Y315" s="507">
        <f>Port[[#This Row],[EAD_Interest (CNY)]]*Port[[#This Row],[CNY -&gt; FCY]]</f>
        <v>688039.56531844812</v>
      </c>
      <c r="Z315" s="507">
        <f>Port[[#This Row],[ECL_Drawn (CNY)]]*Port[[#This Row],[CNY -&gt; FCY]]</f>
        <v>38218.25790116148</v>
      </c>
      <c r="AA315" s="507">
        <f>Port[[#This Row],[ECL_Undrawn (CNY)]]*Port[[#This Row],[CNY -&gt; FCY]]</f>
        <v>0</v>
      </c>
      <c r="AB315" s="507">
        <f>Port[[#This Row],[ECL (CNY)]]*Port[[#This Row],[CNY -&gt; FCY]]</f>
        <v>38218.25790116148</v>
      </c>
      <c r="AC315" s="507">
        <f>Port[[#This Row],[ECL_Interest (CNY)]]*Port[[#This Row],[CNY -&gt; FCY]]</f>
        <v>562.46411773943407</v>
      </c>
      <c r="AD315" s="507">
        <f>Port[[#This Row],[EAD_Drawn (CNY)]]*Port[[#This Row],[CNY -&gt; THB]]</f>
        <v>245385842.39391118</v>
      </c>
      <c r="AE315" s="507">
        <f>Port[[#This Row],[EAD_Undrawn (CNY)]]*Port[[#This Row],[CNY -&gt; THB]]</f>
        <v>0</v>
      </c>
      <c r="AF315" s="507">
        <f>Port[[#This Row],[EAD (CNY)]]*Port[[#This Row],[CNY -&gt; THB]]</f>
        <v>245385842.39391118</v>
      </c>
      <c r="AG315" s="507">
        <f>Port[[#This Row],[EAD_Interest (CNY)]]*Port[[#This Row],[CNY -&gt; THB]]</f>
        <v>3611382.0704434705</v>
      </c>
      <c r="AH315" s="507">
        <f>Port[[#This Row],[ECL_Drawn (CNY)]]*Port[[#This Row],[CNY -&gt; THB]]</f>
        <v>200599.99207161638</v>
      </c>
      <c r="AI315" s="507">
        <f>Port[[#This Row],[ECL_Undrawn (CNY)]]*Port[[#This Row],[CNY -&gt; THB]]</f>
        <v>0</v>
      </c>
      <c r="AJ315" s="507">
        <f>Port[[#This Row],[ECL (CNY)]]*Port[[#This Row],[CNY -&gt; THB]]</f>
        <v>200599.99207161638</v>
      </c>
      <c r="AK315" s="507">
        <f>Port[[#This Row],[ECL_Interest (CNY)]]*Port[[#This Row],[CNY -&gt; THB]]</f>
        <v>2952.2616611907415</v>
      </c>
      <c r="AL315" s="507">
        <f>Port[[#This Row],[EAD (THB)]]*Port[[#This Row],[PD_avg]]</f>
        <v>222888.88007957375</v>
      </c>
      <c r="AM315" s="507">
        <f>Port[[#This Row],[EAD_Interest (THB)]]*Port[[#This Row],[PD_avg]]</f>
        <v>3280.2907346563798</v>
      </c>
      <c r="AN315" s="507">
        <f>Port[[#This Row],[EAD (THB)]]*Port[[#This Row],[LGD_avg]]</f>
        <v>220847258.15452006</v>
      </c>
      <c r="AO315" s="507">
        <f>Port[[#This Row],[EAD_Interest (THB)]]*Port[[#This Row],[LGD_avg]]</f>
        <v>3250243.8633991233</v>
      </c>
      <c r="AP315" s="507">
        <f>Port[[#This Row],[EAD_Drawn (THB)]]+Port[[#This Row],[EAD_Interest (THB)]]</f>
        <v>248997224.46435466</v>
      </c>
      <c r="AQ3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203552.25373280712</v>
      </c>
      <c r="AR315" s="522">
        <f>MAX(Port[[#This Row],[ECL (THB)]]+Port[[#This Row],[ECL_Interest (THB)]], Port[[#This Row],[ECL CBIRC (THB)]])</f>
        <v>203552.25373280712</v>
      </c>
    </row>
    <row r="316" spans="1:44">
      <c r="A316" s="2" t="s">
        <v>295</v>
      </c>
      <c r="B316" s="2" t="s">
        <v>288</v>
      </c>
      <c r="C316" s="2" t="s">
        <v>278</v>
      </c>
      <c r="D316" s="2" t="s">
        <v>25</v>
      </c>
      <c r="E316" s="2" t="s">
        <v>280</v>
      </c>
      <c r="F316" s="2" t="s">
        <v>281</v>
      </c>
      <c r="G316" s="2" t="s">
        <v>21</v>
      </c>
      <c r="H316">
        <v>1</v>
      </c>
      <c r="I316" s="2" t="s">
        <v>526</v>
      </c>
      <c r="J316" s="505">
        <v>9.0832004774658653E-4</v>
      </c>
      <c r="K316" s="505">
        <v>0.8999999999999998</v>
      </c>
      <c r="L316" s="3">
        <v>1</v>
      </c>
      <c r="M316" s="3">
        <v>5.2488000000000001</v>
      </c>
      <c r="N316" s="507">
        <v>46704055.585962906</v>
      </c>
      <c r="O316" s="507">
        <v>0</v>
      </c>
      <c r="P316" s="507">
        <v>46704055.585962906</v>
      </c>
      <c r="Q316" s="507">
        <v>687350.9380764782</v>
      </c>
      <c r="R316" s="507">
        <v>38180.006999820951</v>
      </c>
      <c r="S316" s="507">
        <v>0</v>
      </c>
      <c r="T316" s="507">
        <v>38180.006999820951</v>
      </c>
      <c r="U316" s="507">
        <v>561.90117320305899</v>
      </c>
      <c r="V316" s="507">
        <f>Port[[#This Row],[EAD_Drawn (CNY)]]*Port[[#This Row],[CNY -&gt; FCY]]</f>
        <v>46704055.585962906</v>
      </c>
      <c r="W316" s="507">
        <f>Port[[#This Row],[EAD_Undrawn (CNY)]]*Port[[#This Row],[CNY -&gt; FCY]]</f>
        <v>0</v>
      </c>
      <c r="X316" s="507">
        <f>Port[[#This Row],[EAD (CNY)]]*Port[[#This Row],[CNY -&gt; FCY]]</f>
        <v>46704055.585962906</v>
      </c>
      <c r="Y316" s="507">
        <f>Port[[#This Row],[EAD_Interest (CNY)]]*Port[[#This Row],[CNY -&gt; FCY]]</f>
        <v>687350.9380764782</v>
      </c>
      <c r="Z316" s="507">
        <f>Port[[#This Row],[ECL_Drawn (CNY)]]*Port[[#This Row],[CNY -&gt; FCY]]</f>
        <v>38180.006999820951</v>
      </c>
      <c r="AA316" s="507">
        <f>Port[[#This Row],[ECL_Undrawn (CNY)]]*Port[[#This Row],[CNY -&gt; FCY]]</f>
        <v>0</v>
      </c>
      <c r="AB316" s="507">
        <f>Port[[#This Row],[ECL (CNY)]]*Port[[#This Row],[CNY -&gt; FCY]]</f>
        <v>38180.006999820951</v>
      </c>
      <c r="AC316" s="507">
        <f>Port[[#This Row],[ECL_Interest (CNY)]]*Port[[#This Row],[CNY -&gt; FCY]]</f>
        <v>561.90117320305899</v>
      </c>
      <c r="AD316" s="507">
        <f>Port[[#This Row],[EAD_Drawn (CNY)]]*Port[[#This Row],[CNY -&gt; THB]]</f>
        <v>245140246.95960212</v>
      </c>
      <c r="AE316" s="507">
        <f>Port[[#This Row],[EAD_Undrawn (CNY)]]*Port[[#This Row],[CNY -&gt; THB]]</f>
        <v>0</v>
      </c>
      <c r="AF316" s="507">
        <f>Port[[#This Row],[EAD (CNY)]]*Port[[#This Row],[CNY -&gt; THB]]</f>
        <v>245140246.95960212</v>
      </c>
      <c r="AG316" s="507">
        <f>Port[[#This Row],[EAD_Interest (CNY)]]*Port[[#This Row],[CNY -&gt; THB]]</f>
        <v>3607767.6037758188</v>
      </c>
      <c r="AH316" s="507">
        <f>Port[[#This Row],[ECL_Drawn (CNY)]]*Port[[#This Row],[CNY -&gt; THB]]</f>
        <v>200399.22074066021</v>
      </c>
      <c r="AI316" s="507">
        <f>Port[[#This Row],[ECL_Undrawn (CNY)]]*Port[[#This Row],[CNY -&gt; THB]]</f>
        <v>0</v>
      </c>
      <c r="AJ316" s="507">
        <f>Port[[#This Row],[ECL (CNY)]]*Port[[#This Row],[CNY -&gt; THB]]</f>
        <v>200399.22074066021</v>
      </c>
      <c r="AK316" s="507">
        <f>Port[[#This Row],[ECL_Interest (CNY)]]*Port[[#This Row],[CNY -&gt; THB]]</f>
        <v>2949.3068779082159</v>
      </c>
      <c r="AL316" s="507">
        <f>Port[[#This Row],[EAD (THB)]]*Port[[#This Row],[PD_avg]]</f>
        <v>222665.80082295582</v>
      </c>
      <c r="AM316" s="507">
        <f>Port[[#This Row],[EAD_Interest (THB)]]*Port[[#This Row],[PD_avg]]</f>
        <v>3277.0076421202398</v>
      </c>
      <c r="AN316" s="507">
        <f>Port[[#This Row],[EAD (THB)]]*Port[[#This Row],[LGD_avg]]</f>
        <v>220626222.26364186</v>
      </c>
      <c r="AO316" s="507">
        <f>Port[[#This Row],[EAD_Interest (THB)]]*Port[[#This Row],[LGD_avg]]</f>
        <v>3246990.8433982362</v>
      </c>
      <c r="AP316" s="507">
        <f>Port[[#This Row],[EAD_Drawn (THB)]]+Port[[#This Row],[EAD_Interest (THB)]]</f>
        <v>248748014.56337795</v>
      </c>
      <c r="AQ3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203348.52761856842</v>
      </c>
      <c r="AR316" s="522">
        <f>MAX(Port[[#This Row],[ECL (THB)]]+Port[[#This Row],[ECL_Interest (THB)]], Port[[#This Row],[ECL CBIRC (THB)]])</f>
        <v>203348.52761856842</v>
      </c>
    </row>
    <row r="317" spans="1:44">
      <c r="A317" s="2" t="s">
        <v>296</v>
      </c>
      <c r="B317" s="2" t="s">
        <v>288</v>
      </c>
      <c r="C317" s="2" t="s">
        <v>278</v>
      </c>
      <c r="D317" s="2" t="s">
        <v>25</v>
      </c>
      <c r="E317" s="2" t="s">
        <v>280</v>
      </c>
      <c r="F317" s="2" t="s">
        <v>281</v>
      </c>
      <c r="G317" s="2" t="s">
        <v>21</v>
      </c>
      <c r="H317">
        <v>1</v>
      </c>
      <c r="I317" s="2" t="s">
        <v>526</v>
      </c>
      <c r="J317" s="505">
        <v>9.0832004774658653E-4</v>
      </c>
      <c r="K317" s="505">
        <v>0.8999999999999998</v>
      </c>
      <c r="L317" s="3">
        <v>1</v>
      </c>
      <c r="M317" s="3">
        <v>5.2488000000000001</v>
      </c>
      <c r="N317" s="507">
        <v>18786982.327051207</v>
      </c>
      <c r="O317" s="507">
        <v>0</v>
      </c>
      <c r="P317" s="507">
        <v>18786982.327051207</v>
      </c>
      <c r="Q317" s="507">
        <v>276490.97629983968</v>
      </c>
      <c r="R317" s="507">
        <v>15358.133415889284</v>
      </c>
      <c r="S317" s="507">
        <v>0</v>
      </c>
      <c r="T317" s="507">
        <v>15358.133415889284</v>
      </c>
      <c r="U317" s="507">
        <v>226.02806711475361</v>
      </c>
      <c r="V317" s="507">
        <f>Port[[#This Row],[EAD_Drawn (CNY)]]*Port[[#This Row],[CNY -&gt; FCY]]</f>
        <v>18786982.327051207</v>
      </c>
      <c r="W317" s="507">
        <f>Port[[#This Row],[EAD_Undrawn (CNY)]]*Port[[#This Row],[CNY -&gt; FCY]]</f>
        <v>0</v>
      </c>
      <c r="X317" s="507">
        <f>Port[[#This Row],[EAD (CNY)]]*Port[[#This Row],[CNY -&gt; FCY]]</f>
        <v>18786982.327051207</v>
      </c>
      <c r="Y317" s="507">
        <f>Port[[#This Row],[EAD_Interest (CNY)]]*Port[[#This Row],[CNY -&gt; FCY]]</f>
        <v>276490.97629983968</v>
      </c>
      <c r="Z317" s="507">
        <f>Port[[#This Row],[ECL_Drawn (CNY)]]*Port[[#This Row],[CNY -&gt; FCY]]</f>
        <v>15358.133415889284</v>
      </c>
      <c r="AA317" s="507">
        <f>Port[[#This Row],[ECL_Undrawn (CNY)]]*Port[[#This Row],[CNY -&gt; FCY]]</f>
        <v>0</v>
      </c>
      <c r="AB317" s="507">
        <f>Port[[#This Row],[ECL (CNY)]]*Port[[#This Row],[CNY -&gt; FCY]]</f>
        <v>15358.133415889284</v>
      </c>
      <c r="AC317" s="507">
        <f>Port[[#This Row],[ECL_Interest (CNY)]]*Port[[#This Row],[CNY -&gt; FCY]]</f>
        <v>226.02806711475361</v>
      </c>
      <c r="AD317" s="507">
        <f>Port[[#This Row],[EAD_Drawn (CNY)]]*Port[[#This Row],[CNY -&gt; THB]]</f>
        <v>98609112.838226378</v>
      </c>
      <c r="AE317" s="507">
        <f>Port[[#This Row],[EAD_Undrawn (CNY)]]*Port[[#This Row],[CNY -&gt; THB]]</f>
        <v>0</v>
      </c>
      <c r="AF317" s="507">
        <f>Port[[#This Row],[EAD (CNY)]]*Port[[#This Row],[CNY -&gt; THB]]</f>
        <v>98609112.838226378</v>
      </c>
      <c r="AG317" s="507">
        <f>Port[[#This Row],[EAD_Interest (CNY)]]*Port[[#This Row],[CNY -&gt; THB]]</f>
        <v>1451245.8364025985</v>
      </c>
      <c r="AH317" s="507">
        <f>Port[[#This Row],[ECL_Drawn (CNY)]]*Port[[#This Row],[CNY -&gt; THB]]</f>
        <v>80611.770673319683</v>
      </c>
      <c r="AI317" s="507">
        <f>Port[[#This Row],[ECL_Undrawn (CNY)]]*Port[[#This Row],[CNY -&gt; THB]]</f>
        <v>0</v>
      </c>
      <c r="AJ317" s="507">
        <f>Port[[#This Row],[ECL (CNY)]]*Port[[#This Row],[CNY -&gt; THB]]</f>
        <v>80611.770673319683</v>
      </c>
      <c r="AK317" s="507">
        <f>Port[[#This Row],[ECL_Interest (CNY)]]*Port[[#This Row],[CNY -&gt; THB]]</f>
        <v>1186.3761186719187</v>
      </c>
      <c r="AL317" s="507">
        <f>Port[[#This Row],[EAD (THB)]]*Port[[#This Row],[PD_avg]]</f>
        <v>89568.634081466327</v>
      </c>
      <c r="AM317" s="507">
        <f>Port[[#This Row],[EAD_Interest (THB)]]*Port[[#This Row],[PD_avg]]</f>
        <v>1318.1956874132431</v>
      </c>
      <c r="AN317" s="507">
        <f>Port[[#This Row],[EAD (THB)]]*Port[[#This Row],[LGD_avg]]</f>
        <v>88748201.554403722</v>
      </c>
      <c r="AO317" s="507">
        <f>Port[[#This Row],[EAD_Interest (THB)]]*Port[[#This Row],[LGD_avg]]</f>
        <v>1306121.2527623384</v>
      </c>
      <c r="AP317" s="507">
        <f>Port[[#This Row],[EAD_Drawn (THB)]]+Port[[#This Row],[EAD_Interest (THB)]]</f>
        <v>100060358.67462897</v>
      </c>
      <c r="AQ3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81798.146791991603</v>
      </c>
      <c r="AR317" s="522">
        <f>MAX(Port[[#This Row],[ECL (THB)]]+Port[[#This Row],[ECL_Interest (THB)]], Port[[#This Row],[ECL CBIRC (THB)]])</f>
        <v>81798.146791991603</v>
      </c>
    </row>
    <row r="318" spans="1:44">
      <c r="A318" s="2" t="s">
        <v>297</v>
      </c>
      <c r="B318" s="2" t="s">
        <v>288</v>
      </c>
      <c r="C318" s="2" t="s">
        <v>278</v>
      </c>
      <c r="D318" s="2" t="s">
        <v>25</v>
      </c>
      <c r="E318" s="2" t="s">
        <v>280</v>
      </c>
      <c r="F318" s="2" t="s">
        <v>281</v>
      </c>
      <c r="G318" s="2" t="s">
        <v>21</v>
      </c>
      <c r="H318">
        <v>1</v>
      </c>
      <c r="I318" s="2" t="s">
        <v>526</v>
      </c>
      <c r="J318" s="505">
        <v>9.0832004774658653E-4</v>
      </c>
      <c r="K318" s="505">
        <v>0.9</v>
      </c>
      <c r="L318" s="3">
        <v>1</v>
      </c>
      <c r="M318" s="3">
        <v>5.2488000000000001</v>
      </c>
      <c r="N318" s="507">
        <v>18798937.248280052</v>
      </c>
      <c r="O318" s="507">
        <v>0</v>
      </c>
      <c r="P318" s="507">
        <v>18798937.248280052</v>
      </c>
      <c r="Q318" s="507">
        <v>276666.91875747382</v>
      </c>
      <c r="R318" s="507">
        <v>15367.906421048538</v>
      </c>
      <c r="S318" s="507">
        <v>0</v>
      </c>
      <c r="T318" s="507">
        <v>15367.906421048538</v>
      </c>
      <c r="U318" s="507">
        <v>226.17189797012065</v>
      </c>
      <c r="V318" s="507">
        <f>Port[[#This Row],[EAD_Drawn (CNY)]]*Port[[#This Row],[CNY -&gt; FCY]]</f>
        <v>18798937.248280052</v>
      </c>
      <c r="W318" s="507">
        <f>Port[[#This Row],[EAD_Undrawn (CNY)]]*Port[[#This Row],[CNY -&gt; FCY]]</f>
        <v>0</v>
      </c>
      <c r="X318" s="507">
        <f>Port[[#This Row],[EAD (CNY)]]*Port[[#This Row],[CNY -&gt; FCY]]</f>
        <v>18798937.248280052</v>
      </c>
      <c r="Y318" s="507">
        <f>Port[[#This Row],[EAD_Interest (CNY)]]*Port[[#This Row],[CNY -&gt; FCY]]</f>
        <v>276666.91875747382</v>
      </c>
      <c r="Z318" s="507">
        <f>Port[[#This Row],[ECL_Drawn (CNY)]]*Port[[#This Row],[CNY -&gt; FCY]]</f>
        <v>15367.906421048538</v>
      </c>
      <c r="AA318" s="507">
        <f>Port[[#This Row],[ECL_Undrawn (CNY)]]*Port[[#This Row],[CNY -&gt; FCY]]</f>
        <v>0</v>
      </c>
      <c r="AB318" s="507">
        <f>Port[[#This Row],[ECL (CNY)]]*Port[[#This Row],[CNY -&gt; FCY]]</f>
        <v>15367.906421048538</v>
      </c>
      <c r="AC318" s="507">
        <f>Port[[#This Row],[ECL_Interest (CNY)]]*Port[[#This Row],[CNY -&gt; FCY]]</f>
        <v>226.17189797012065</v>
      </c>
      <c r="AD318" s="507">
        <f>Port[[#This Row],[EAD_Drawn (CNY)]]*Port[[#This Row],[CNY -&gt; THB]]</f>
        <v>98671861.828772336</v>
      </c>
      <c r="AE318" s="507">
        <f>Port[[#This Row],[EAD_Undrawn (CNY)]]*Port[[#This Row],[CNY -&gt; THB]]</f>
        <v>0</v>
      </c>
      <c r="AF318" s="507">
        <f>Port[[#This Row],[EAD (CNY)]]*Port[[#This Row],[CNY -&gt; THB]]</f>
        <v>98671861.828772336</v>
      </c>
      <c r="AG318" s="507">
        <f>Port[[#This Row],[EAD_Interest (CNY)]]*Port[[#This Row],[CNY -&gt; THB]]</f>
        <v>1452169.3231742287</v>
      </c>
      <c r="AH318" s="507">
        <f>Port[[#This Row],[ECL_Drawn (CNY)]]*Port[[#This Row],[CNY -&gt; THB]]</f>
        <v>80663.067222799567</v>
      </c>
      <c r="AI318" s="507">
        <f>Port[[#This Row],[ECL_Undrawn (CNY)]]*Port[[#This Row],[CNY -&gt; THB]]</f>
        <v>0</v>
      </c>
      <c r="AJ318" s="507">
        <f>Port[[#This Row],[ECL (CNY)]]*Port[[#This Row],[CNY -&gt; THB]]</f>
        <v>80663.067222799567</v>
      </c>
      <c r="AK318" s="507">
        <f>Port[[#This Row],[ECL_Interest (CNY)]]*Port[[#This Row],[CNY -&gt; THB]]</f>
        <v>1187.1310580655693</v>
      </c>
      <c r="AL318" s="507">
        <f>Port[[#This Row],[EAD (THB)]]*Port[[#This Row],[PD_avg]]</f>
        <v>89625.630247555076</v>
      </c>
      <c r="AM318" s="507">
        <f>Port[[#This Row],[EAD_Interest (THB)]]*Port[[#This Row],[PD_avg]]</f>
        <v>1319.0345089617435</v>
      </c>
      <c r="AN318" s="507">
        <f>Port[[#This Row],[EAD (THB)]]*Port[[#This Row],[LGD_avg]]</f>
        <v>88804675.645895109</v>
      </c>
      <c r="AO318" s="507">
        <f>Port[[#This Row],[EAD_Interest (THB)]]*Port[[#This Row],[LGD_avg]]</f>
        <v>1306952.3908568057</v>
      </c>
      <c r="AP318" s="507">
        <f>Port[[#This Row],[EAD_Drawn (THB)]]+Port[[#This Row],[EAD_Interest (THB)]]</f>
        <v>100124031.15194656</v>
      </c>
      <c r="AQ3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81850.198280865137</v>
      </c>
      <c r="AR318" s="522">
        <f>MAX(Port[[#This Row],[ECL (THB)]]+Port[[#This Row],[ECL_Interest (THB)]], Port[[#This Row],[ECL CBIRC (THB)]])</f>
        <v>81850.198280865137</v>
      </c>
    </row>
    <row r="319" spans="1:44">
      <c r="A319" s="2" t="s">
        <v>298</v>
      </c>
      <c r="B319" s="2" t="s">
        <v>288</v>
      </c>
      <c r="C319" s="2" t="s">
        <v>278</v>
      </c>
      <c r="D319" s="2" t="s">
        <v>25</v>
      </c>
      <c r="E319" s="2" t="s">
        <v>280</v>
      </c>
      <c r="F319" s="2" t="s">
        <v>281</v>
      </c>
      <c r="G319" s="2" t="s">
        <v>21</v>
      </c>
      <c r="H319">
        <v>1</v>
      </c>
      <c r="I319" s="2" t="s">
        <v>526</v>
      </c>
      <c r="J319" s="505">
        <v>9.0832004774658653E-4</v>
      </c>
      <c r="K319" s="505">
        <v>0.8999999999999998</v>
      </c>
      <c r="L319" s="3">
        <v>1</v>
      </c>
      <c r="M319" s="3">
        <v>5.2488000000000001</v>
      </c>
      <c r="N319" s="507">
        <v>18794958.807280947</v>
      </c>
      <c r="O319" s="507">
        <v>0</v>
      </c>
      <c r="P319" s="507">
        <v>18794958.807280947</v>
      </c>
      <c r="Q319" s="507">
        <v>276608.36741501529</v>
      </c>
      <c r="R319" s="507">
        <v>15364.654093102099</v>
      </c>
      <c r="S319" s="507">
        <v>0</v>
      </c>
      <c r="T319" s="507">
        <v>15364.654093102099</v>
      </c>
      <c r="U319" s="507">
        <v>226.12403294776084</v>
      </c>
      <c r="V319" s="507">
        <f>Port[[#This Row],[EAD_Drawn (CNY)]]*Port[[#This Row],[CNY -&gt; FCY]]</f>
        <v>18794958.807280947</v>
      </c>
      <c r="W319" s="507">
        <f>Port[[#This Row],[EAD_Undrawn (CNY)]]*Port[[#This Row],[CNY -&gt; FCY]]</f>
        <v>0</v>
      </c>
      <c r="X319" s="507">
        <f>Port[[#This Row],[EAD (CNY)]]*Port[[#This Row],[CNY -&gt; FCY]]</f>
        <v>18794958.807280947</v>
      </c>
      <c r="Y319" s="507">
        <f>Port[[#This Row],[EAD_Interest (CNY)]]*Port[[#This Row],[CNY -&gt; FCY]]</f>
        <v>276608.36741501529</v>
      </c>
      <c r="Z319" s="507">
        <f>Port[[#This Row],[ECL_Drawn (CNY)]]*Port[[#This Row],[CNY -&gt; FCY]]</f>
        <v>15364.654093102099</v>
      </c>
      <c r="AA319" s="507">
        <f>Port[[#This Row],[ECL_Undrawn (CNY)]]*Port[[#This Row],[CNY -&gt; FCY]]</f>
        <v>0</v>
      </c>
      <c r="AB319" s="507">
        <f>Port[[#This Row],[ECL (CNY)]]*Port[[#This Row],[CNY -&gt; FCY]]</f>
        <v>15364.654093102099</v>
      </c>
      <c r="AC319" s="507">
        <f>Port[[#This Row],[ECL_Interest (CNY)]]*Port[[#This Row],[CNY -&gt; FCY]]</f>
        <v>226.12403294776084</v>
      </c>
      <c r="AD319" s="507">
        <f>Port[[#This Row],[EAD_Drawn (CNY)]]*Port[[#This Row],[CNY -&gt; THB]]</f>
        <v>98650979.787656233</v>
      </c>
      <c r="AE319" s="507">
        <f>Port[[#This Row],[EAD_Undrawn (CNY)]]*Port[[#This Row],[CNY -&gt; THB]]</f>
        <v>0</v>
      </c>
      <c r="AF319" s="507">
        <f>Port[[#This Row],[EAD (CNY)]]*Port[[#This Row],[CNY -&gt; THB]]</f>
        <v>98650979.787656233</v>
      </c>
      <c r="AG319" s="507">
        <f>Port[[#This Row],[EAD_Interest (CNY)]]*Port[[#This Row],[CNY -&gt; THB]]</f>
        <v>1451861.9988879324</v>
      </c>
      <c r="AH319" s="507">
        <f>Port[[#This Row],[ECL_Drawn (CNY)]]*Port[[#This Row],[CNY -&gt; THB]]</f>
        <v>80645.996403874306</v>
      </c>
      <c r="AI319" s="507">
        <f>Port[[#This Row],[ECL_Undrawn (CNY)]]*Port[[#This Row],[CNY -&gt; THB]]</f>
        <v>0</v>
      </c>
      <c r="AJ319" s="507">
        <f>Port[[#This Row],[ECL (CNY)]]*Port[[#This Row],[CNY -&gt; THB]]</f>
        <v>80645.996403874306</v>
      </c>
      <c r="AK319" s="507">
        <f>Port[[#This Row],[ECL_Interest (CNY)]]*Port[[#This Row],[CNY -&gt; THB]]</f>
        <v>1186.8798241362072</v>
      </c>
      <c r="AL319" s="507">
        <f>Port[[#This Row],[EAD (THB)]]*Port[[#This Row],[PD_avg]]</f>
        <v>89606.662670971447</v>
      </c>
      <c r="AM319" s="507">
        <f>Port[[#This Row],[EAD_Interest (THB)]]*Port[[#This Row],[PD_avg]]</f>
        <v>1318.7553601513414</v>
      </c>
      <c r="AN319" s="507">
        <f>Port[[#This Row],[EAD (THB)]]*Port[[#This Row],[LGD_avg]]</f>
        <v>88785881.808890596</v>
      </c>
      <c r="AO319" s="507">
        <f>Port[[#This Row],[EAD_Interest (THB)]]*Port[[#This Row],[LGD_avg]]</f>
        <v>1306675.7989991389</v>
      </c>
      <c r="AP319" s="507">
        <f>Port[[#This Row],[EAD_Drawn (THB)]]+Port[[#This Row],[EAD_Interest (THB)]]</f>
        <v>100102841.78654416</v>
      </c>
      <c r="AQ3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81832.876228010515</v>
      </c>
      <c r="AR319" s="522">
        <f>MAX(Port[[#This Row],[ECL (THB)]]+Port[[#This Row],[ECL_Interest (THB)]], Port[[#This Row],[ECL CBIRC (THB)]])</f>
        <v>81832.876228010515</v>
      </c>
    </row>
    <row r="320" spans="1:44">
      <c r="A320" s="2" t="s">
        <v>299</v>
      </c>
      <c r="B320" s="2" t="s">
        <v>288</v>
      </c>
      <c r="C320" s="2" t="s">
        <v>278</v>
      </c>
      <c r="D320" s="2" t="s">
        <v>25</v>
      </c>
      <c r="E320" s="2" t="s">
        <v>280</v>
      </c>
      <c r="F320" s="2" t="s">
        <v>281</v>
      </c>
      <c r="G320" s="2" t="s">
        <v>21</v>
      </c>
      <c r="H320">
        <v>1</v>
      </c>
      <c r="I320" s="2" t="s">
        <v>526</v>
      </c>
      <c r="J320" s="505">
        <v>9.0832004774658653E-4</v>
      </c>
      <c r="K320" s="505">
        <v>0.89999999999999991</v>
      </c>
      <c r="L320" s="3">
        <v>1</v>
      </c>
      <c r="M320" s="3">
        <v>5.2488000000000001</v>
      </c>
      <c r="N320" s="507">
        <v>18767325.300833937</v>
      </c>
      <c r="O320" s="507">
        <v>0</v>
      </c>
      <c r="P320" s="507">
        <v>18767325.300833937</v>
      </c>
      <c r="Q320" s="507">
        <v>276201.68075064768</v>
      </c>
      <c r="R320" s="507">
        <v>15342.064031996284</v>
      </c>
      <c r="S320" s="507">
        <v>0</v>
      </c>
      <c r="T320" s="507">
        <v>15342.064031996284</v>
      </c>
      <c r="U320" s="507">
        <v>225.79157146240414</v>
      </c>
      <c r="V320" s="507">
        <f>Port[[#This Row],[EAD_Drawn (CNY)]]*Port[[#This Row],[CNY -&gt; FCY]]</f>
        <v>18767325.300833937</v>
      </c>
      <c r="W320" s="507">
        <f>Port[[#This Row],[EAD_Undrawn (CNY)]]*Port[[#This Row],[CNY -&gt; FCY]]</f>
        <v>0</v>
      </c>
      <c r="X320" s="507">
        <f>Port[[#This Row],[EAD (CNY)]]*Port[[#This Row],[CNY -&gt; FCY]]</f>
        <v>18767325.300833937</v>
      </c>
      <c r="Y320" s="507">
        <f>Port[[#This Row],[EAD_Interest (CNY)]]*Port[[#This Row],[CNY -&gt; FCY]]</f>
        <v>276201.68075064768</v>
      </c>
      <c r="Z320" s="507">
        <f>Port[[#This Row],[ECL_Drawn (CNY)]]*Port[[#This Row],[CNY -&gt; FCY]]</f>
        <v>15342.064031996284</v>
      </c>
      <c r="AA320" s="507">
        <f>Port[[#This Row],[ECL_Undrawn (CNY)]]*Port[[#This Row],[CNY -&gt; FCY]]</f>
        <v>0</v>
      </c>
      <c r="AB320" s="507">
        <f>Port[[#This Row],[ECL (CNY)]]*Port[[#This Row],[CNY -&gt; FCY]]</f>
        <v>15342.064031996284</v>
      </c>
      <c r="AC320" s="507">
        <f>Port[[#This Row],[ECL_Interest (CNY)]]*Port[[#This Row],[CNY -&gt; FCY]]</f>
        <v>225.79157146240414</v>
      </c>
      <c r="AD320" s="507">
        <f>Port[[#This Row],[EAD_Drawn (CNY)]]*Port[[#This Row],[CNY -&gt; THB]]</f>
        <v>98505937.039017171</v>
      </c>
      <c r="AE320" s="507">
        <f>Port[[#This Row],[EAD_Undrawn (CNY)]]*Port[[#This Row],[CNY -&gt; THB]]</f>
        <v>0</v>
      </c>
      <c r="AF320" s="507">
        <f>Port[[#This Row],[EAD (CNY)]]*Port[[#This Row],[CNY -&gt; THB]]</f>
        <v>98505937.039017171</v>
      </c>
      <c r="AG320" s="507">
        <f>Port[[#This Row],[EAD_Interest (CNY)]]*Port[[#This Row],[CNY -&gt; THB]]</f>
        <v>1449727.3819239996</v>
      </c>
      <c r="AH320" s="507">
        <f>Port[[#This Row],[ECL_Drawn (CNY)]]*Port[[#This Row],[CNY -&gt; THB]]</f>
        <v>80527.425691142096</v>
      </c>
      <c r="AI320" s="507">
        <f>Port[[#This Row],[ECL_Undrawn (CNY)]]*Port[[#This Row],[CNY -&gt; THB]]</f>
        <v>0</v>
      </c>
      <c r="AJ320" s="507">
        <f>Port[[#This Row],[ECL (CNY)]]*Port[[#This Row],[CNY -&gt; THB]]</f>
        <v>80527.425691142096</v>
      </c>
      <c r="AK320" s="507">
        <f>Port[[#This Row],[ECL_Interest (CNY)]]*Port[[#This Row],[CNY -&gt; THB]]</f>
        <v>1185.1348002918669</v>
      </c>
      <c r="AL320" s="507">
        <f>Port[[#This Row],[EAD (THB)]]*Port[[#This Row],[PD_avg]]</f>
        <v>89474.917434602321</v>
      </c>
      <c r="AM320" s="507">
        <f>Port[[#This Row],[EAD_Interest (THB)]]*Port[[#This Row],[PD_avg]]</f>
        <v>1316.8164447687411</v>
      </c>
      <c r="AN320" s="507">
        <f>Port[[#This Row],[EAD (THB)]]*Port[[#This Row],[LGD_avg]]</f>
        <v>88655343.335115448</v>
      </c>
      <c r="AO320" s="507">
        <f>Port[[#This Row],[EAD_Interest (THB)]]*Port[[#This Row],[LGD_avg]]</f>
        <v>1304754.6437315994</v>
      </c>
      <c r="AP320" s="507">
        <f>Port[[#This Row],[EAD_Drawn (THB)]]+Port[[#This Row],[EAD_Interest (THB)]]</f>
        <v>99955664.420941174</v>
      </c>
      <c r="AQ3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81712.560491433964</v>
      </c>
      <c r="AR320" s="522">
        <f>MAX(Port[[#This Row],[ECL (THB)]]+Port[[#This Row],[ECL_Interest (THB)]], Port[[#This Row],[ECL CBIRC (THB)]])</f>
        <v>81712.560491433964</v>
      </c>
    </row>
    <row r="321" spans="1:44">
      <c r="A321" s="2" t="s">
        <v>300</v>
      </c>
      <c r="B321" s="2" t="s">
        <v>288</v>
      </c>
      <c r="C321" s="2" t="s">
        <v>278</v>
      </c>
      <c r="D321" s="2" t="s">
        <v>25</v>
      </c>
      <c r="E321" s="2" t="s">
        <v>280</v>
      </c>
      <c r="F321" s="2" t="s">
        <v>281</v>
      </c>
      <c r="G321" s="2" t="s">
        <v>21</v>
      </c>
      <c r="H321">
        <v>1</v>
      </c>
      <c r="I321" s="2" t="s">
        <v>526</v>
      </c>
      <c r="J321" s="505">
        <v>9.0832004774658653E-4</v>
      </c>
      <c r="K321" s="505">
        <v>0.8999999999999998</v>
      </c>
      <c r="L321" s="3">
        <v>1</v>
      </c>
      <c r="M321" s="3">
        <v>5.2488000000000001</v>
      </c>
      <c r="N321" s="507">
        <v>46748249.598046593</v>
      </c>
      <c r="O321" s="507">
        <v>0</v>
      </c>
      <c r="P321" s="507">
        <v>46748249.598046593</v>
      </c>
      <c r="Q321" s="507">
        <v>688001.34830920782</v>
      </c>
      <c r="R321" s="507">
        <v>38216.135076270322</v>
      </c>
      <c r="S321" s="507">
        <v>0</v>
      </c>
      <c r="T321" s="507">
        <v>38216.135076270322</v>
      </c>
      <c r="U321" s="507">
        <v>562.43287579134198</v>
      </c>
      <c r="V321" s="507">
        <f>Port[[#This Row],[EAD_Drawn (CNY)]]*Port[[#This Row],[CNY -&gt; FCY]]</f>
        <v>46748249.598046593</v>
      </c>
      <c r="W321" s="507">
        <f>Port[[#This Row],[EAD_Undrawn (CNY)]]*Port[[#This Row],[CNY -&gt; FCY]]</f>
        <v>0</v>
      </c>
      <c r="X321" s="507">
        <f>Port[[#This Row],[EAD (CNY)]]*Port[[#This Row],[CNY -&gt; FCY]]</f>
        <v>46748249.598046593</v>
      </c>
      <c r="Y321" s="507">
        <f>Port[[#This Row],[EAD_Interest (CNY)]]*Port[[#This Row],[CNY -&gt; FCY]]</f>
        <v>688001.34830920782</v>
      </c>
      <c r="Z321" s="507">
        <f>Port[[#This Row],[ECL_Drawn (CNY)]]*Port[[#This Row],[CNY -&gt; FCY]]</f>
        <v>38216.135076270322</v>
      </c>
      <c r="AA321" s="507">
        <f>Port[[#This Row],[ECL_Undrawn (CNY)]]*Port[[#This Row],[CNY -&gt; FCY]]</f>
        <v>0</v>
      </c>
      <c r="AB321" s="507">
        <f>Port[[#This Row],[ECL (CNY)]]*Port[[#This Row],[CNY -&gt; FCY]]</f>
        <v>38216.135076270322</v>
      </c>
      <c r="AC321" s="507">
        <f>Port[[#This Row],[ECL_Interest (CNY)]]*Port[[#This Row],[CNY -&gt; FCY]]</f>
        <v>562.43287579134198</v>
      </c>
      <c r="AD321" s="507">
        <f>Port[[#This Row],[EAD_Drawn (CNY)]]*Port[[#This Row],[CNY -&gt; THB]]</f>
        <v>245372212.49022695</v>
      </c>
      <c r="AE321" s="507">
        <f>Port[[#This Row],[EAD_Undrawn (CNY)]]*Port[[#This Row],[CNY -&gt; THB]]</f>
        <v>0</v>
      </c>
      <c r="AF321" s="507">
        <f>Port[[#This Row],[EAD (CNY)]]*Port[[#This Row],[CNY -&gt; THB]]</f>
        <v>245372212.49022695</v>
      </c>
      <c r="AG321" s="507">
        <f>Port[[#This Row],[EAD_Interest (CNY)]]*Port[[#This Row],[CNY -&gt; THB]]</f>
        <v>3611181.47700537</v>
      </c>
      <c r="AH321" s="507">
        <f>Port[[#This Row],[ECL_Drawn (CNY)]]*Port[[#This Row],[CNY -&gt; THB]]</f>
        <v>200588.84978832767</v>
      </c>
      <c r="AI321" s="507">
        <f>Port[[#This Row],[ECL_Undrawn (CNY)]]*Port[[#This Row],[CNY -&gt; THB]]</f>
        <v>0</v>
      </c>
      <c r="AJ321" s="507">
        <f>Port[[#This Row],[ECL (CNY)]]*Port[[#This Row],[CNY -&gt; THB]]</f>
        <v>200588.84978832767</v>
      </c>
      <c r="AK321" s="507">
        <f>Port[[#This Row],[ECL_Interest (CNY)]]*Port[[#This Row],[CNY -&gt; THB]]</f>
        <v>2952.097678453596</v>
      </c>
      <c r="AL321" s="507">
        <f>Port[[#This Row],[EAD (THB)]]*Port[[#This Row],[PD_avg]]</f>
        <v>222876.49976480851</v>
      </c>
      <c r="AM321" s="507">
        <f>Port[[#This Row],[EAD_Interest (THB)]]*Port[[#This Row],[PD_avg]]</f>
        <v>3280.1085316151066</v>
      </c>
      <c r="AN321" s="507">
        <f>Port[[#This Row],[EAD (THB)]]*Port[[#This Row],[LGD_avg]]</f>
        <v>220834991.2412042</v>
      </c>
      <c r="AO321" s="507">
        <f>Port[[#This Row],[EAD_Interest (THB)]]*Port[[#This Row],[LGD_avg]]</f>
        <v>3250063.329304832</v>
      </c>
      <c r="AP321" s="507">
        <f>Port[[#This Row],[EAD_Drawn (THB)]]+Port[[#This Row],[EAD_Interest (THB)]]</f>
        <v>248983393.96723232</v>
      </c>
      <c r="AQ3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203540.94746678128</v>
      </c>
      <c r="AR321" s="522">
        <f>MAX(Port[[#This Row],[ECL (THB)]]+Port[[#This Row],[ECL_Interest (THB)]], Port[[#This Row],[ECL CBIRC (THB)]])</f>
        <v>203540.94746678128</v>
      </c>
    </row>
    <row r="322" spans="1:44">
      <c r="A322" s="2" t="s">
        <v>301</v>
      </c>
      <c r="B322" s="2" t="s">
        <v>288</v>
      </c>
      <c r="C322" s="2" t="s">
        <v>278</v>
      </c>
      <c r="D322" s="2" t="s">
        <v>25</v>
      </c>
      <c r="E322" s="2" t="s">
        <v>280</v>
      </c>
      <c r="F322" s="2" t="s">
        <v>281</v>
      </c>
      <c r="G322" s="2" t="s">
        <v>21</v>
      </c>
      <c r="H322">
        <v>1</v>
      </c>
      <c r="I322" s="2" t="s">
        <v>526</v>
      </c>
      <c r="J322" s="505">
        <v>9.0832004774658653E-4</v>
      </c>
      <c r="K322" s="505">
        <v>0.89999999999999991</v>
      </c>
      <c r="L322" s="3">
        <v>1</v>
      </c>
      <c r="M322" s="3">
        <v>5.2488000000000001</v>
      </c>
      <c r="N322" s="507">
        <v>46709004.139422387</v>
      </c>
      <c r="O322" s="507">
        <v>0</v>
      </c>
      <c r="P322" s="507">
        <v>46709004.139422387</v>
      </c>
      <c r="Q322" s="507">
        <v>687423.76671672834</v>
      </c>
      <c r="R322" s="507">
        <v>38184.052383104085</v>
      </c>
      <c r="S322" s="507">
        <v>0</v>
      </c>
      <c r="T322" s="507">
        <v>38184.052383104085</v>
      </c>
      <c r="U322" s="507">
        <v>561.96070974564941</v>
      </c>
      <c r="V322" s="507">
        <f>Port[[#This Row],[EAD_Drawn (CNY)]]*Port[[#This Row],[CNY -&gt; FCY]]</f>
        <v>46709004.139422387</v>
      </c>
      <c r="W322" s="507">
        <f>Port[[#This Row],[EAD_Undrawn (CNY)]]*Port[[#This Row],[CNY -&gt; FCY]]</f>
        <v>0</v>
      </c>
      <c r="X322" s="507">
        <f>Port[[#This Row],[EAD (CNY)]]*Port[[#This Row],[CNY -&gt; FCY]]</f>
        <v>46709004.139422387</v>
      </c>
      <c r="Y322" s="507">
        <f>Port[[#This Row],[EAD_Interest (CNY)]]*Port[[#This Row],[CNY -&gt; FCY]]</f>
        <v>687423.76671672834</v>
      </c>
      <c r="Z322" s="507">
        <f>Port[[#This Row],[ECL_Drawn (CNY)]]*Port[[#This Row],[CNY -&gt; FCY]]</f>
        <v>38184.052383104085</v>
      </c>
      <c r="AA322" s="507">
        <f>Port[[#This Row],[ECL_Undrawn (CNY)]]*Port[[#This Row],[CNY -&gt; FCY]]</f>
        <v>0</v>
      </c>
      <c r="AB322" s="507">
        <f>Port[[#This Row],[ECL (CNY)]]*Port[[#This Row],[CNY -&gt; FCY]]</f>
        <v>38184.052383104085</v>
      </c>
      <c r="AC322" s="507">
        <f>Port[[#This Row],[ECL_Interest (CNY)]]*Port[[#This Row],[CNY -&gt; FCY]]</f>
        <v>561.96070974564941</v>
      </c>
      <c r="AD322" s="507">
        <f>Port[[#This Row],[EAD_Drawn (CNY)]]*Port[[#This Row],[CNY -&gt; THB]]</f>
        <v>245166220.92700022</v>
      </c>
      <c r="AE322" s="507">
        <f>Port[[#This Row],[EAD_Undrawn (CNY)]]*Port[[#This Row],[CNY -&gt; THB]]</f>
        <v>0</v>
      </c>
      <c r="AF322" s="507">
        <f>Port[[#This Row],[EAD (CNY)]]*Port[[#This Row],[CNY -&gt; THB]]</f>
        <v>245166220.92700022</v>
      </c>
      <c r="AG322" s="507">
        <f>Port[[#This Row],[EAD_Interest (CNY)]]*Port[[#This Row],[CNY -&gt; THB]]</f>
        <v>3608149.8667427637</v>
      </c>
      <c r="AH322" s="507">
        <f>Port[[#This Row],[ECL_Drawn (CNY)]]*Port[[#This Row],[CNY -&gt; THB]]</f>
        <v>200420.45414843672</v>
      </c>
      <c r="AI322" s="507">
        <f>Port[[#This Row],[ECL_Undrawn (CNY)]]*Port[[#This Row],[CNY -&gt; THB]]</f>
        <v>0</v>
      </c>
      <c r="AJ322" s="507">
        <f>Port[[#This Row],[ECL (CNY)]]*Port[[#This Row],[CNY -&gt; THB]]</f>
        <v>200420.45414843672</v>
      </c>
      <c r="AK322" s="507">
        <f>Port[[#This Row],[ECL_Interest (CNY)]]*Port[[#This Row],[CNY -&gt; THB]]</f>
        <v>2949.6193733129649</v>
      </c>
      <c r="AL322" s="507">
        <f>Port[[#This Row],[EAD (THB)]]*Port[[#This Row],[PD_avg]]</f>
        <v>222689.39349826303</v>
      </c>
      <c r="AM322" s="507">
        <f>Port[[#This Row],[EAD_Interest (THB)]]*Port[[#This Row],[PD_avg]]</f>
        <v>3277.3548592366269</v>
      </c>
      <c r="AN322" s="507">
        <f>Port[[#This Row],[EAD (THB)]]*Port[[#This Row],[LGD_avg]]</f>
        <v>220649598.83430019</v>
      </c>
      <c r="AO322" s="507">
        <f>Port[[#This Row],[EAD_Interest (THB)]]*Port[[#This Row],[LGD_avg]]</f>
        <v>3247334.880068487</v>
      </c>
      <c r="AP322" s="507">
        <f>Port[[#This Row],[EAD_Drawn (THB)]]+Port[[#This Row],[EAD_Interest (THB)]]</f>
        <v>248774370.79374298</v>
      </c>
      <c r="AQ3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203370.0735217497</v>
      </c>
      <c r="AR322" s="522">
        <f>MAX(Port[[#This Row],[ECL (THB)]]+Port[[#This Row],[ECL_Interest (THB)]], Port[[#This Row],[ECL CBIRC (THB)]])</f>
        <v>203370.0735217497</v>
      </c>
    </row>
    <row r="323" spans="1:44">
      <c r="A323" s="2" t="s">
        <v>302</v>
      </c>
      <c r="B323" s="2" t="s">
        <v>288</v>
      </c>
      <c r="C323" s="2" t="s">
        <v>278</v>
      </c>
      <c r="D323" s="2" t="s">
        <v>25</v>
      </c>
      <c r="E323" s="2" t="s">
        <v>280</v>
      </c>
      <c r="F323" s="2" t="s">
        <v>281</v>
      </c>
      <c r="G323" s="2" t="s">
        <v>21</v>
      </c>
      <c r="H323">
        <v>1</v>
      </c>
      <c r="I323" s="2" t="s">
        <v>526</v>
      </c>
      <c r="J323" s="505">
        <v>9.0832004774658653E-4</v>
      </c>
      <c r="K323" s="505">
        <v>0.9</v>
      </c>
      <c r="L323" s="3">
        <v>1</v>
      </c>
      <c r="M323" s="3">
        <v>5.2488000000000001</v>
      </c>
      <c r="N323" s="507">
        <v>67491630.834873706</v>
      </c>
      <c r="O323" s="507">
        <v>0</v>
      </c>
      <c r="P323" s="507">
        <v>67491630.834873706</v>
      </c>
      <c r="Q323" s="507">
        <v>998569.87995633017</v>
      </c>
      <c r="R323" s="507">
        <v>55173.601208184729</v>
      </c>
      <c r="S323" s="507">
        <v>0</v>
      </c>
      <c r="T323" s="507">
        <v>55173.601208184729</v>
      </c>
      <c r="U323" s="507">
        <v>816.31893693621328</v>
      </c>
      <c r="V323" s="507">
        <f>Port[[#This Row],[EAD_Drawn (CNY)]]*Port[[#This Row],[CNY -&gt; FCY]]</f>
        <v>67491630.834873706</v>
      </c>
      <c r="W323" s="507">
        <f>Port[[#This Row],[EAD_Undrawn (CNY)]]*Port[[#This Row],[CNY -&gt; FCY]]</f>
        <v>0</v>
      </c>
      <c r="X323" s="507">
        <f>Port[[#This Row],[EAD (CNY)]]*Port[[#This Row],[CNY -&gt; FCY]]</f>
        <v>67491630.834873706</v>
      </c>
      <c r="Y323" s="507">
        <f>Port[[#This Row],[EAD_Interest (CNY)]]*Port[[#This Row],[CNY -&gt; FCY]]</f>
        <v>998569.87995633017</v>
      </c>
      <c r="Z323" s="507">
        <f>Port[[#This Row],[ECL_Drawn (CNY)]]*Port[[#This Row],[CNY -&gt; FCY]]</f>
        <v>55173.601208184729</v>
      </c>
      <c r="AA323" s="507">
        <f>Port[[#This Row],[ECL_Undrawn (CNY)]]*Port[[#This Row],[CNY -&gt; FCY]]</f>
        <v>0</v>
      </c>
      <c r="AB323" s="507">
        <f>Port[[#This Row],[ECL (CNY)]]*Port[[#This Row],[CNY -&gt; FCY]]</f>
        <v>55173.601208184729</v>
      </c>
      <c r="AC323" s="507">
        <f>Port[[#This Row],[ECL_Interest (CNY)]]*Port[[#This Row],[CNY -&gt; FCY]]</f>
        <v>816.31893693621328</v>
      </c>
      <c r="AD323" s="507">
        <f>Port[[#This Row],[EAD_Drawn (CNY)]]*Port[[#This Row],[CNY -&gt; THB]]</f>
        <v>354250071.92608511</v>
      </c>
      <c r="AE323" s="507">
        <f>Port[[#This Row],[EAD_Undrawn (CNY)]]*Port[[#This Row],[CNY -&gt; THB]]</f>
        <v>0</v>
      </c>
      <c r="AF323" s="507">
        <f>Port[[#This Row],[EAD (CNY)]]*Port[[#This Row],[CNY -&gt; THB]]</f>
        <v>354250071.92608511</v>
      </c>
      <c r="AG323" s="507">
        <f>Port[[#This Row],[EAD_Interest (CNY)]]*Port[[#This Row],[CNY -&gt; THB]]</f>
        <v>5241293.585914786</v>
      </c>
      <c r="AH323" s="507">
        <f>Port[[#This Row],[ECL_Drawn (CNY)]]*Port[[#This Row],[CNY -&gt; THB]]</f>
        <v>289595.19802151999</v>
      </c>
      <c r="AI323" s="507">
        <f>Port[[#This Row],[ECL_Undrawn (CNY)]]*Port[[#This Row],[CNY -&gt; THB]]</f>
        <v>0</v>
      </c>
      <c r="AJ323" s="507">
        <f>Port[[#This Row],[ECL (CNY)]]*Port[[#This Row],[CNY -&gt; THB]]</f>
        <v>289595.19802151999</v>
      </c>
      <c r="AK323" s="507">
        <f>Port[[#This Row],[ECL_Interest (CNY)]]*Port[[#This Row],[CNY -&gt; THB]]</f>
        <v>4284.6948361907962</v>
      </c>
      <c r="AL323" s="507">
        <f>Port[[#This Row],[EAD (THB)]]*Port[[#This Row],[PD_avg]]</f>
        <v>321772.44224613335</v>
      </c>
      <c r="AM323" s="507">
        <f>Port[[#This Row],[EAD_Interest (THB)]]*Port[[#This Row],[PD_avg]]</f>
        <v>4760.7720402119958</v>
      </c>
      <c r="AN323" s="507">
        <f>Port[[#This Row],[EAD (THB)]]*Port[[#This Row],[LGD_avg]]</f>
        <v>318825064.73347664</v>
      </c>
      <c r="AO323" s="507">
        <f>Port[[#This Row],[EAD_Interest (THB)]]*Port[[#This Row],[LGD_avg]]</f>
        <v>4717164.2273233077</v>
      </c>
      <c r="AP323" s="507">
        <f>Port[[#This Row],[EAD_Drawn (THB)]]+Port[[#This Row],[EAD_Interest (THB)]]</f>
        <v>359491365.51199991</v>
      </c>
      <c r="AQ3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293879.89285771077</v>
      </c>
      <c r="AR323" s="522">
        <f>MAX(Port[[#This Row],[ECL (THB)]]+Port[[#This Row],[ECL_Interest (THB)]], Port[[#This Row],[ECL CBIRC (THB)]])</f>
        <v>293879.89285771077</v>
      </c>
    </row>
    <row r="324" spans="1:44">
      <c r="A324" s="2" t="s">
        <v>303</v>
      </c>
      <c r="B324" s="2" t="s">
        <v>288</v>
      </c>
      <c r="C324" s="2" t="s">
        <v>278</v>
      </c>
      <c r="D324" s="2" t="s">
        <v>25</v>
      </c>
      <c r="E324" s="2" t="s">
        <v>280</v>
      </c>
      <c r="F324" s="2" t="s">
        <v>281</v>
      </c>
      <c r="G324" s="2" t="s">
        <v>21</v>
      </c>
      <c r="H324">
        <v>1</v>
      </c>
      <c r="I324" s="2" t="s">
        <v>526</v>
      </c>
      <c r="J324" s="505">
        <v>9.0832004774658653E-4</v>
      </c>
      <c r="K324" s="505">
        <v>0.9</v>
      </c>
      <c r="L324" s="3">
        <v>1</v>
      </c>
      <c r="M324" s="3">
        <v>5.2488000000000001</v>
      </c>
      <c r="N324" s="507">
        <v>115870580.31105112</v>
      </c>
      <c r="O324" s="507">
        <v>0</v>
      </c>
      <c r="P324" s="507">
        <v>115870580.31105112</v>
      </c>
      <c r="Q324" s="507">
        <v>1714358.8033124038</v>
      </c>
      <c r="R324" s="507">
        <v>94722.813936502775</v>
      </c>
      <c r="S324" s="507">
        <v>0</v>
      </c>
      <c r="T324" s="507">
        <v>94722.813936502775</v>
      </c>
      <c r="U324" s="507">
        <v>1401.4678230715533</v>
      </c>
      <c r="V324" s="507">
        <f>Port[[#This Row],[EAD_Drawn (CNY)]]*Port[[#This Row],[CNY -&gt; FCY]]</f>
        <v>115870580.31105112</v>
      </c>
      <c r="W324" s="507">
        <f>Port[[#This Row],[EAD_Undrawn (CNY)]]*Port[[#This Row],[CNY -&gt; FCY]]</f>
        <v>0</v>
      </c>
      <c r="X324" s="507">
        <f>Port[[#This Row],[EAD (CNY)]]*Port[[#This Row],[CNY -&gt; FCY]]</f>
        <v>115870580.31105112</v>
      </c>
      <c r="Y324" s="507">
        <f>Port[[#This Row],[EAD_Interest (CNY)]]*Port[[#This Row],[CNY -&gt; FCY]]</f>
        <v>1714358.8033124038</v>
      </c>
      <c r="Z324" s="507">
        <f>Port[[#This Row],[ECL_Drawn (CNY)]]*Port[[#This Row],[CNY -&gt; FCY]]</f>
        <v>94722.813936502775</v>
      </c>
      <c r="AA324" s="507">
        <f>Port[[#This Row],[ECL_Undrawn (CNY)]]*Port[[#This Row],[CNY -&gt; FCY]]</f>
        <v>0</v>
      </c>
      <c r="AB324" s="507">
        <f>Port[[#This Row],[ECL (CNY)]]*Port[[#This Row],[CNY -&gt; FCY]]</f>
        <v>94722.813936502775</v>
      </c>
      <c r="AC324" s="507">
        <f>Port[[#This Row],[ECL_Interest (CNY)]]*Port[[#This Row],[CNY -&gt; FCY]]</f>
        <v>1401.4678230715533</v>
      </c>
      <c r="AD324" s="507">
        <f>Port[[#This Row],[EAD_Drawn (CNY)]]*Port[[#This Row],[CNY -&gt; THB]]</f>
        <v>608181501.93664515</v>
      </c>
      <c r="AE324" s="507">
        <f>Port[[#This Row],[EAD_Undrawn (CNY)]]*Port[[#This Row],[CNY -&gt; THB]]</f>
        <v>0</v>
      </c>
      <c r="AF324" s="507">
        <f>Port[[#This Row],[EAD (CNY)]]*Port[[#This Row],[CNY -&gt; THB]]</f>
        <v>608181501.93664515</v>
      </c>
      <c r="AG324" s="507">
        <f>Port[[#This Row],[EAD_Interest (CNY)]]*Port[[#This Row],[CNY -&gt; THB]]</f>
        <v>8998326.486826146</v>
      </c>
      <c r="AH324" s="507">
        <f>Port[[#This Row],[ECL_Drawn (CNY)]]*Port[[#This Row],[CNY -&gt; THB]]</f>
        <v>497181.10578991577</v>
      </c>
      <c r="AI324" s="507">
        <f>Port[[#This Row],[ECL_Undrawn (CNY)]]*Port[[#This Row],[CNY -&gt; THB]]</f>
        <v>0</v>
      </c>
      <c r="AJ324" s="507">
        <f>Port[[#This Row],[ECL (CNY)]]*Port[[#This Row],[CNY -&gt; THB]]</f>
        <v>497181.10578991577</v>
      </c>
      <c r="AK324" s="507">
        <f>Port[[#This Row],[ECL_Interest (CNY)]]*Port[[#This Row],[CNY -&gt; THB]]</f>
        <v>7356.0243097379689</v>
      </c>
      <c r="AL324" s="507">
        <f>Port[[#This Row],[EAD (THB)]]*Port[[#This Row],[PD_avg]]</f>
        <v>552423.45087768428</v>
      </c>
      <c r="AM324" s="507">
        <f>Port[[#This Row],[EAD_Interest (THB)]]*Port[[#This Row],[PD_avg]]</f>
        <v>8173.3603441532996</v>
      </c>
      <c r="AN324" s="507">
        <f>Port[[#This Row],[EAD (THB)]]*Port[[#This Row],[LGD_avg]]</f>
        <v>547363351.7429806</v>
      </c>
      <c r="AO324" s="507">
        <f>Port[[#This Row],[EAD_Interest (THB)]]*Port[[#This Row],[LGD_avg]]</f>
        <v>8098493.8381435312</v>
      </c>
      <c r="AP324" s="507">
        <f>Port[[#This Row],[EAD_Drawn (THB)]]+Port[[#This Row],[EAD_Interest (THB)]]</f>
        <v>617179828.42347133</v>
      </c>
      <c r="AQ3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504537.13009965373</v>
      </c>
      <c r="AR324" s="522">
        <f>MAX(Port[[#This Row],[ECL (THB)]]+Port[[#This Row],[ECL_Interest (THB)]], Port[[#This Row],[ECL CBIRC (THB)]])</f>
        <v>504537.13009965373</v>
      </c>
    </row>
    <row r="325" spans="1:44">
      <c r="A325" s="2" t="s">
        <v>304</v>
      </c>
      <c r="B325" s="2" t="s">
        <v>288</v>
      </c>
      <c r="C325" s="2" t="s">
        <v>278</v>
      </c>
      <c r="D325" s="2" t="s">
        <v>25</v>
      </c>
      <c r="E325" s="2" t="s">
        <v>280</v>
      </c>
      <c r="F325" s="2" t="s">
        <v>281</v>
      </c>
      <c r="G325" s="2" t="s">
        <v>21</v>
      </c>
      <c r="H325">
        <v>1</v>
      </c>
      <c r="I325" s="2" t="s">
        <v>526</v>
      </c>
      <c r="J325" s="505">
        <v>9.0832004774658653E-4</v>
      </c>
      <c r="K325" s="505">
        <v>0.9</v>
      </c>
      <c r="L325" s="3">
        <v>1</v>
      </c>
      <c r="M325" s="3">
        <v>5.2488000000000001</v>
      </c>
      <c r="N325" s="507">
        <v>48279408.462937966</v>
      </c>
      <c r="O325" s="507">
        <v>0</v>
      </c>
      <c r="P325" s="507">
        <v>48279408.462937966</v>
      </c>
      <c r="Q325" s="507">
        <v>714316.16804683488</v>
      </c>
      <c r="R325" s="507">
        <v>39467.839140209486</v>
      </c>
      <c r="S325" s="507">
        <v>0</v>
      </c>
      <c r="T325" s="507">
        <v>39467.839140209486</v>
      </c>
      <c r="U325" s="507">
        <v>583.9449262798139</v>
      </c>
      <c r="V325" s="507">
        <f>Port[[#This Row],[EAD_Drawn (CNY)]]*Port[[#This Row],[CNY -&gt; FCY]]</f>
        <v>48279408.462937966</v>
      </c>
      <c r="W325" s="507">
        <f>Port[[#This Row],[EAD_Undrawn (CNY)]]*Port[[#This Row],[CNY -&gt; FCY]]</f>
        <v>0</v>
      </c>
      <c r="X325" s="507">
        <f>Port[[#This Row],[EAD (CNY)]]*Port[[#This Row],[CNY -&gt; FCY]]</f>
        <v>48279408.462937966</v>
      </c>
      <c r="Y325" s="507">
        <f>Port[[#This Row],[EAD_Interest (CNY)]]*Port[[#This Row],[CNY -&gt; FCY]]</f>
        <v>714316.16804683488</v>
      </c>
      <c r="Z325" s="507">
        <f>Port[[#This Row],[ECL_Drawn (CNY)]]*Port[[#This Row],[CNY -&gt; FCY]]</f>
        <v>39467.839140209486</v>
      </c>
      <c r="AA325" s="507">
        <f>Port[[#This Row],[ECL_Undrawn (CNY)]]*Port[[#This Row],[CNY -&gt; FCY]]</f>
        <v>0</v>
      </c>
      <c r="AB325" s="507">
        <f>Port[[#This Row],[ECL (CNY)]]*Port[[#This Row],[CNY -&gt; FCY]]</f>
        <v>39467.839140209486</v>
      </c>
      <c r="AC325" s="507">
        <f>Port[[#This Row],[ECL_Interest (CNY)]]*Port[[#This Row],[CNY -&gt; FCY]]</f>
        <v>583.9449262798139</v>
      </c>
      <c r="AD325" s="507">
        <f>Port[[#This Row],[EAD_Drawn (CNY)]]*Port[[#This Row],[CNY -&gt; THB]]</f>
        <v>253408959.1402688</v>
      </c>
      <c r="AE325" s="507">
        <f>Port[[#This Row],[EAD_Undrawn (CNY)]]*Port[[#This Row],[CNY -&gt; THB]]</f>
        <v>0</v>
      </c>
      <c r="AF325" s="507">
        <f>Port[[#This Row],[EAD (CNY)]]*Port[[#This Row],[CNY -&gt; THB]]</f>
        <v>253408959.1402688</v>
      </c>
      <c r="AG325" s="507">
        <f>Port[[#This Row],[EAD_Interest (CNY)]]*Port[[#This Row],[CNY -&gt; THB]]</f>
        <v>3749302.7028442272</v>
      </c>
      <c r="AH325" s="507">
        <f>Port[[#This Row],[ECL_Drawn (CNY)]]*Port[[#This Row],[CNY -&gt; THB]]</f>
        <v>207158.79407913156</v>
      </c>
      <c r="AI325" s="507">
        <f>Port[[#This Row],[ECL_Undrawn (CNY)]]*Port[[#This Row],[CNY -&gt; THB]]</f>
        <v>0</v>
      </c>
      <c r="AJ325" s="507">
        <f>Port[[#This Row],[ECL (CNY)]]*Port[[#This Row],[CNY -&gt; THB]]</f>
        <v>207158.79407913156</v>
      </c>
      <c r="AK325" s="507">
        <f>Port[[#This Row],[ECL_Interest (CNY)]]*Port[[#This Row],[CNY -&gt; THB]]</f>
        <v>3065.0101290574871</v>
      </c>
      <c r="AL325" s="507">
        <f>Port[[#This Row],[EAD (THB)]]*Port[[#This Row],[PD_avg]]</f>
        <v>230176.43786570177</v>
      </c>
      <c r="AM325" s="507">
        <f>Port[[#This Row],[EAD_Interest (THB)]]*Port[[#This Row],[PD_avg]]</f>
        <v>3405.5668100638745</v>
      </c>
      <c r="AN325" s="507">
        <f>Port[[#This Row],[EAD (THB)]]*Port[[#This Row],[LGD_avg]]</f>
        <v>228068063.22624192</v>
      </c>
      <c r="AO325" s="507">
        <f>Port[[#This Row],[EAD_Interest (THB)]]*Port[[#This Row],[LGD_avg]]</f>
        <v>3374372.4325598045</v>
      </c>
      <c r="AP325" s="507">
        <f>Port[[#This Row],[EAD_Drawn (THB)]]+Port[[#This Row],[EAD_Interest (THB)]]</f>
        <v>257158261.84311303</v>
      </c>
      <c r="AQ3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210223.80420818905</v>
      </c>
      <c r="AR325" s="522">
        <f>MAX(Port[[#This Row],[ECL (THB)]]+Port[[#This Row],[ECL_Interest (THB)]], Port[[#This Row],[ECL CBIRC (THB)]])</f>
        <v>210223.80420818905</v>
      </c>
    </row>
    <row r="326" spans="1:44">
      <c r="A326" s="2" t="s">
        <v>305</v>
      </c>
      <c r="B326" s="2" t="s">
        <v>288</v>
      </c>
      <c r="C326" s="2" t="s">
        <v>278</v>
      </c>
      <c r="D326" s="2" t="s">
        <v>25</v>
      </c>
      <c r="E326" s="2" t="s">
        <v>280</v>
      </c>
      <c r="F326" s="2" t="s">
        <v>281</v>
      </c>
      <c r="G326" s="2" t="s">
        <v>21</v>
      </c>
      <c r="H326">
        <v>1</v>
      </c>
      <c r="I326" s="2" t="s">
        <v>526</v>
      </c>
      <c r="J326" s="505">
        <v>9.0832004774658653E-4</v>
      </c>
      <c r="K326" s="505">
        <v>0.89999999999999991</v>
      </c>
      <c r="L326" s="3">
        <v>1</v>
      </c>
      <c r="M326" s="3">
        <v>5.2488000000000001</v>
      </c>
      <c r="N326" s="507">
        <v>48301041.236331947</v>
      </c>
      <c r="O326" s="507">
        <v>0</v>
      </c>
      <c r="P326" s="507">
        <v>48301041.236331947</v>
      </c>
      <c r="Q326" s="507">
        <v>714636.23493014975</v>
      </c>
      <c r="R326" s="507">
        <v>39485.523673795389</v>
      </c>
      <c r="S326" s="507">
        <v>0</v>
      </c>
      <c r="T326" s="507">
        <v>39485.523673795389</v>
      </c>
      <c r="U326" s="507">
        <v>584.20657712987486</v>
      </c>
      <c r="V326" s="507">
        <f>Port[[#This Row],[EAD_Drawn (CNY)]]*Port[[#This Row],[CNY -&gt; FCY]]</f>
        <v>48301041.236331947</v>
      </c>
      <c r="W326" s="507">
        <f>Port[[#This Row],[EAD_Undrawn (CNY)]]*Port[[#This Row],[CNY -&gt; FCY]]</f>
        <v>0</v>
      </c>
      <c r="X326" s="507">
        <f>Port[[#This Row],[EAD (CNY)]]*Port[[#This Row],[CNY -&gt; FCY]]</f>
        <v>48301041.236331947</v>
      </c>
      <c r="Y326" s="507">
        <f>Port[[#This Row],[EAD_Interest (CNY)]]*Port[[#This Row],[CNY -&gt; FCY]]</f>
        <v>714636.23493014975</v>
      </c>
      <c r="Z326" s="507">
        <f>Port[[#This Row],[ECL_Drawn (CNY)]]*Port[[#This Row],[CNY -&gt; FCY]]</f>
        <v>39485.523673795389</v>
      </c>
      <c r="AA326" s="507">
        <f>Port[[#This Row],[ECL_Undrawn (CNY)]]*Port[[#This Row],[CNY -&gt; FCY]]</f>
        <v>0</v>
      </c>
      <c r="AB326" s="507">
        <f>Port[[#This Row],[ECL (CNY)]]*Port[[#This Row],[CNY -&gt; FCY]]</f>
        <v>39485.523673795389</v>
      </c>
      <c r="AC326" s="507">
        <f>Port[[#This Row],[ECL_Interest (CNY)]]*Port[[#This Row],[CNY -&gt; FCY]]</f>
        <v>584.20657712987486</v>
      </c>
      <c r="AD326" s="507">
        <f>Port[[#This Row],[EAD_Drawn (CNY)]]*Port[[#This Row],[CNY -&gt; THB]]</f>
        <v>253522505.24125913</v>
      </c>
      <c r="AE326" s="507">
        <f>Port[[#This Row],[EAD_Undrawn (CNY)]]*Port[[#This Row],[CNY -&gt; THB]]</f>
        <v>0</v>
      </c>
      <c r="AF326" s="507">
        <f>Port[[#This Row],[EAD (CNY)]]*Port[[#This Row],[CNY -&gt; THB]]</f>
        <v>253522505.24125913</v>
      </c>
      <c r="AG326" s="507">
        <f>Port[[#This Row],[EAD_Interest (CNY)]]*Port[[#This Row],[CNY -&gt; THB]]</f>
        <v>3750982.6699013701</v>
      </c>
      <c r="AH326" s="507">
        <f>Port[[#This Row],[ECL_Drawn (CNY)]]*Port[[#This Row],[CNY -&gt; THB]]</f>
        <v>207251.61665901725</v>
      </c>
      <c r="AI326" s="507">
        <f>Port[[#This Row],[ECL_Undrawn (CNY)]]*Port[[#This Row],[CNY -&gt; THB]]</f>
        <v>0</v>
      </c>
      <c r="AJ326" s="507">
        <f>Port[[#This Row],[ECL (CNY)]]*Port[[#This Row],[CNY -&gt; THB]]</f>
        <v>207251.61665901725</v>
      </c>
      <c r="AK326" s="507">
        <f>Port[[#This Row],[ECL_Interest (CNY)]]*Port[[#This Row],[CNY -&gt; THB]]</f>
        <v>3066.3834820392872</v>
      </c>
      <c r="AL326" s="507">
        <f>Port[[#This Row],[EAD (THB)]]*Port[[#This Row],[PD_avg]]</f>
        <v>230279.57406557474</v>
      </c>
      <c r="AM326" s="507">
        <f>Port[[#This Row],[EAD_Interest (THB)]]*Port[[#This Row],[PD_avg]]</f>
        <v>3407.092757821431</v>
      </c>
      <c r="AN326" s="507">
        <f>Port[[#This Row],[EAD (THB)]]*Port[[#This Row],[LGD_avg]]</f>
        <v>228170254.71713319</v>
      </c>
      <c r="AO326" s="507">
        <f>Port[[#This Row],[EAD_Interest (THB)]]*Port[[#This Row],[LGD_avg]]</f>
        <v>3375884.4029112328</v>
      </c>
      <c r="AP326" s="507">
        <f>Port[[#This Row],[EAD_Drawn (THB)]]+Port[[#This Row],[EAD_Interest (THB)]]</f>
        <v>257273487.9111605</v>
      </c>
      <c r="AQ3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210318.00014105655</v>
      </c>
      <c r="AR326" s="522">
        <f>MAX(Port[[#This Row],[ECL (THB)]]+Port[[#This Row],[ECL_Interest (THB)]], Port[[#This Row],[ECL CBIRC (THB)]])</f>
        <v>210318.00014105655</v>
      </c>
    </row>
    <row r="327" spans="1:44">
      <c r="A327" s="2" t="s">
        <v>306</v>
      </c>
      <c r="B327" s="2" t="s">
        <v>288</v>
      </c>
      <c r="C327" s="2" t="s">
        <v>278</v>
      </c>
      <c r="D327" s="2" t="s">
        <v>25</v>
      </c>
      <c r="E327" s="2" t="s">
        <v>280</v>
      </c>
      <c r="F327" s="2" t="s">
        <v>281</v>
      </c>
      <c r="G327" s="2" t="s">
        <v>21</v>
      </c>
      <c r="H327">
        <v>1</v>
      </c>
      <c r="I327" s="2" t="s">
        <v>526</v>
      </c>
      <c r="J327" s="505">
        <v>9.0832004774658653E-4</v>
      </c>
      <c r="K327" s="505">
        <v>0.9</v>
      </c>
      <c r="L327" s="3">
        <v>1</v>
      </c>
      <c r="M327" s="3">
        <v>5.2488000000000001</v>
      </c>
      <c r="N327" s="507">
        <v>48293073.921189174</v>
      </c>
      <c r="O327" s="507">
        <v>0</v>
      </c>
      <c r="P327" s="507">
        <v>48293073.921189174</v>
      </c>
      <c r="Q327" s="507">
        <v>714518.35481927858</v>
      </c>
      <c r="R327" s="507">
        <v>39479.010488931584</v>
      </c>
      <c r="S327" s="507">
        <v>0</v>
      </c>
      <c r="T327" s="507">
        <v>39479.010488931584</v>
      </c>
      <c r="U327" s="507">
        <v>584.11021154873356</v>
      </c>
      <c r="V327" s="507">
        <f>Port[[#This Row],[EAD_Drawn (CNY)]]*Port[[#This Row],[CNY -&gt; FCY]]</f>
        <v>48293073.921189174</v>
      </c>
      <c r="W327" s="507">
        <f>Port[[#This Row],[EAD_Undrawn (CNY)]]*Port[[#This Row],[CNY -&gt; FCY]]</f>
        <v>0</v>
      </c>
      <c r="X327" s="507">
        <f>Port[[#This Row],[EAD (CNY)]]*Port[[#This Row],[CNY -&gt; FCY]]</f>
        <v>48293073.921189174</v>
      </c>
      <c r="Y327" s="507">
        <f>Port[[#This Row],[EAD_Interest (CNY)]]*Port[[#This Row],[CNY -&gt; FCY]]</f>
        <v>714518.35481927858</v>
      </c>
      <c r="Z327" s="507">
        <f>Port[[#This Row],[ECL_Drawn (CNY)]]*Port[[#This Row],[CNY -&gt; FCY]]</f>
        <v>39479.010488931584</v>
      </c>
      <c r="AA327" s="507">
        <f>Port[[#This Row],[ECL_Undrawn (CNY)]]*Port[[#This Row],[CNY -&gt; FCY]]</f>
        <v>0</v>
      </c>
      <c r="AB327" s="507">
        <f>Port[[#This Row],[ECL (CNY)]]*Port[[#This Row],[CNY -&gt; FCY]]</f>
        <v>39479.010488931584</v>
      </c>
      <c r="AC327" s="507">
        <f>Port[[#This Row],[ECL_Interest (CNY)]]*Port[[#This Row],[CNY -&gt; FCY]]</f>
        <v>584.11021154873356</v>
      </c>
      <c r="AD327" s="507">
        <f>Port[[#This Row],[EAD_Drawn (CNY)]]*Port[[#This Row],[CNY -&gt; THB]]</f>
        <v>253480686.39753774</v>
      </c>
      <c r="AE327" s="507">
        <f>Port[[#This Row],[EAD_Undrawn (CNY)]]*Port[[#This Row],[CNY -&gt; THB]]</f>
        <v>0</v>
      </c>
      <c r="AF327" s="507">
        <f>Port[[#This Row],[EAD (CNY)]]*Port[[#This Row],[CNY -&gt; THB]]</f>
        <v>253480686.39753774</v>
      </c>
      <c r="AG327" s="507">
        <f>Port[[#This Row],[EAD_Interest (CNY)]]*Port[[#This Row],[CNY -&gt; THB]]</f>
        <v>3750363.9407754294</v>
      </c>
      <c r="AH327" s="507">
        <f>Port[[#This Row],[ECL_Drawn (CNY)]]*Port[[#This Row],[CNY -&gt; THB]]</f>
        <v>207217.43025430411</v>
      </c>
      <c r="AI327" s="507">
        <f>Port[[#This Row],[ECL_Undrawn (CNY)]]*Port[[#This Row],[CNY -&gt; THB]]</f>
        <v>0</v>
      </c>
      <c r="AJ327" s="507">
        <f>Port[[#This Row],[ECL (CNY)]]*Port[[#This Row],[CNY -&gt; THB]]</f>
        <v>207217.43025430411</v>
      </c>
      <c r="AK327" s="507">
        <f>Port[[#This Row],[ECL_Interest (CNY)]]*Port[[#This Row],[CNY -&gt; THB]]</f>
        <v>3065.8776783769927</v>
      </c>
      <c r="AL327" s="507">
        <f>Port[[#This Row],[EAD (THB)]]*Port[[#This Row],[PD_avg]]</f>
        <v>230241.58917144901</v>
      </c>
      <c r="AM327" s="507">
        <f>Port[[#This Row],[EAD_Interest (THB)]]*Port[[#This Row],[PD_avg]]</f>
        <v>3406.5307537522144</v>
      </c>
      <c r="AN327" s="507">
        <f>Port[[#This Row],[EAD (THB)]]*Port[[#This Row],[LGD_avg]]</f>
        <v>228132617.75778398</v>
      </c>
      <c r="AO327" s="507">
        <f>Port[[#This Row],[EAD_Interest (THB)]]*Port[[#This Row],[LGD_avg]]</f>
        <v>3375327.5466978867</v>
      </c>
      <c r="AP327" s="507">
        <f>Port[[#This Row],[EAD_Drawn (THB)]]+Port[[#This Row],[EAD_Interest (THB)]]</f>
        <v>257231050.33831316</v>
      </c>
      <c r="AQ3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210283.30793268111</v>
      </c>
      <c r="AR327" s="522">
        <f>MAX(Port[[#This Row],[ECL (THB)]]+Port[[#This Row],[ECL_Interest (THB)]], Port[[#This Row],[ECL CBIRC (THB)]])</f>
        <v>210283.30793268111</v>
      </c>
    </row>
    <row r="328" spans="1:44">
      <c r="A328" s="2" t="s">
        <v>307</v>
      </c>
      <c r="B328" s="2" t="s">
        <v>288</v>
      </c>
      <c r="C328" s="2" t="s">
        <v>278</v>
      </c>
      <c r="D328" s="2" t="s">
        <v>25</v>
      </c>
      <c r="E328" s="2" t="s">
        <v>280</v>
      </c>
      <c r="F328" s="2" t="s">
        <v>281</v>
      </c>
      <c r="G328" s="2" t="s">
        <v>21</v>
      </c>
      <c r="H328">
        <v>1</v>
      </c>
      <c r="I328" s="2" t="s">
        <v>526</v>
      </c>
      <c r="J328" s="505">
        <v>9.0832004774658653E-4</v>
      </c>
      <c r="K328" s="505">
        <v>0.89999999999999991</v>
      </c>
      <c r="L328" s="3">
        <v>1</v>
      </c>
      <c r="M328" s="3">
        <v>5.2488000000000001</v>
      </c>
      <c r="N328" s="507">
        <v>48292519.234691888</v>
      </c>
      <c r="O328" s="507">
        <v>0</v>
      </c>
      <c r="P328" s="507">
        <v>48292519.234691888</v>
      </c>
      <c r="Q328" s="507">
        <v>714510.14797611663</v>
      </c>
      <c r="R328" s="507">
        <v>39478.557039352454</v>
      </c>
      <c r="S328" s="507">
        <v>0</v>
      </c>
      <c r="T328" s="507">
        <v>39478.557039352454</v>
      </c>
      <c r="U328" s="507">
        <v>584.10350255257822</v>
      </c>
      <c r="V328" s="507">
        <f>Port[[#This Row],[EAD_Drawn (CNY)]]*Port[[#This Row],[CNY -&gt; FCY]]</f>
        <v>48292519.234691888</v>
      </c>
      <c r="W328" s="507">
        <f>Port[[#This Row],[EAD_Undrawn (CNY)]]*Port[[#This Row],[CNY -&gt; FCY]]</f>
        <v>0</v>
      </c>
      <c r="X328" s="507">
        <f>Port[[#This Row],[EAD (CNY)]]*Port[[#This Row],[CNY -&gt; FCY]]</f>
        <v>48292519.234691888</v>
      </c>
      <c r="Y328" s="507">
        <f>Port[[#This Row],[EAD_Interest (CNY)]]*Port[[#This Row],[CNY -&gt; FCY]]</f>
        <v>714510.14797611663</v>
      </c>
      <c r="Z328" s="507">
        <f>Port[[#This Row],[ECL_Drawn (CNY)]]*Port[[#This Row],[CNY -&gt; FCY]]</f>
        <v>39478.557039352454</v>
      </c>
      <c r="AA328" s="507">
        <f>Port[[#This Row],[ECL_Undrawn (CNY)]]*Port[[#This Row],[CNY -&gt; FCY]]</f>
        <v>0</v>
      </c>
      <c r="AB328" s="507">
        <f>Port[[#This Row],[ECL (CNY)]]*Port[[#This Row],[CNY -&gt; FCY]]</f>
        <v>39478.557039352454</v>
      </c>
      <c r="AC328" s="507">
        <f>Port[[#This Row],[ECL_Interest (CNY)]]*Port[[#This Row],[CNY -&gt; FCY]]</f>
        <v>584.10350255257822</v>
      </c>
      <c r="AD328" s="507">
        <f>Port[[#This Row],[EAD_Drawn (CNY)]]*Port[[#This Row],[CNY -&gt; THB]]</f>
        <v>253477774.95905077</v>
      </c>
      <c r="AE328" s="507">
        <f>Port[[#This Row],[EAD_Undrawn (CNY)]]*Port[[#This Row],[CNY -&gt; THB]]</f>
        <v>0</v>
      </c>
      <c r="AF328" s="507">
        <f>Port[[#This Row],[EAD (CNY)]]*Port[[#This Row],[CNY -&gt; THB]]</f>
        <v>253477774.95905077</v>
      </c>
      <c r="AG328" s="507">
        <f>Port[[#This Row],[EAD_Interest (CNY)]]*Port[[#This Row],[CNY -&gt; THB]]</f>
        <v>3750320.864697041</v>
      </c>
      <c r="AH328" s="507">
        <f>Port[[#This Row],[ECL_Drawn (CNY)]]*Port[[#This Row],[CNY -&gt; THB]]</f>
        <v>207215.05018815317</v>
      </c>
      <c r="AI328" s="507">
        <f>Port[[#This Row],[ECL_Undrawn (CNY)]]*Port[[#This Row],[CNY -&gt; THB]]</f>
        <v>0</v>
      </c>
      <c r="AJ328" s="507">
        <f>Port[[#This Row],[ECL (CNY)]]*Port[[#This Row],[CNY -&gt; THB]]</f>
        <v>207215.05018815317</v>
      </c>
      <c r="AK328" s="507">
        <f>Port[[#This Row],[ECL_Interest (CNY)]]*Port[[#This Row],[CNY -&gt; THB]]</f>
        <v>3065.8424641979727</v>
      </c>
      <c r="AL328" s="507">
        <f>Port[[#This Row],[EAD (THB)]]*Port[[#This Row],[PD_avg]]</f>
        <v>230238.94465350351</v>
      </c>
      <c r="AM328" s="507">
        <f>Port[[#This Row],[EAD_Interest (THB)]]*Port[[#This Row],[PD_avg]]</f>
        <v>3406.4916268866359</v>
      </c>
      <c r="AN328" s="507">
        <f>Port[[#This Row],[EAD (THB)]]*Port[[#This Row],[LGD_avg]]</f>
        <v>228129997.46314567</v>
      </c>
      <c r="AO328" s="507">
        <f>Port[[#This Row],[EAD_Interest (THB)]]*Port[[#This Row],[LGD_avg]]</f>
        <v>3375288.7782273367</v>
      </c>
      <c r="AP328" s="507">
        <f>Port[[#This Row],[EAD_Drawn (THB)]]+Port[[#This Row],[EAD_Interest (THB)]]</f>
        <v>257228095.82374781</v>
      </c>
      <c r="AQ3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210280.89265235115</v>
      </c>
      <c r="AR328" s="522">
        <f>MAX(Port[[#This Row],[ECL (THB)]]+Port[[#This Row],[ECL_Interest (THB)]], Port[[#This Row],[ECL CBIRC (THB)]])</f>
        <v>210280.89265235115</v>
      </c>
    </row>
    <row r="329" spans="1:44">
      <c r="A329" s="2" t="s">
        <v>308</v>
      </c>
      <c r="B329" s="2" t="s">
        <v>288</v>
      </c>
      <c r="C329" s="2" t="s">
        <v>278</v>
      </c>
      <c r="D329" s="2" t="s">
        <v>25</v>
      </c>
      <c r="E329" s="2" t="s">
        <v>280</v>
      </c>
      <c r="F329" s="2" t="s">
        <v>281</v>
      </c>
      <c r="G329" s="2" t="s">
        <v>21</v>
      </c>
      <c r="H329">
        <v>1</v>
      </c>
      <c r="I329" s="2" t="s">
        <v>526</v>
      </c>
      <c r="J329" s="505">
        <v>9.0832004774658653E-4</v>
      </c>
      <c r="K329" s="505">
        <v>0.9</v>
      </c>
      <c r="L329" s="3">
        <v>1</v>
      </c>
      <c r="M329" s="3">
        <v>5.2488000000000001</v>
      </c>
      <c r="N329" s="507">
        <v>49934517.7762485</v>
      </c>
      <c r="O329" s="507">
        <v>0</v>
      </c>
      <c r="P329" s="507">
        <v>49934517.7762485</v>
      </c>
      <c r="Q329" s="507">
        <v>491835.61643835902</v>
      </c>
      <c r="R329" s="507">
        <v>40820.871213652332</v>
      </c>
      <c r="S329" s="507">
        <v>0</v>
      </c>
      <c r="T329" s="507">
        <v>40820.871213652332</v>
      </c>
      <c r="U329" s="507">
        <v>402.06973554608589</v>
      </c>
      <c r="V329" s="507">
        <f>Port[[#This Row],[EAD_Drawn (CNY)]]*Port[[#This Row],[CNY -&gt; FCY]]</f>
        <v>49934517.7762485</v>
      </c>
      <c r="W329" s="507">
        <f>Port[[#This Row],[EAD_Undrawn (CNY)]]*Port[[#This Row],[CNY -&gt; FCY]]</f>
        <v>0</v>
      </c>
      <c r="X329" s="507">
        <f>Port[[#This Row],[EAD (CNY)]]*Port[[#This Row],[CNY -&gt; FCY]]</f>
        <v>49934517.7762485</v>
      </c>
      <c r="Y329" s="507">
        <f>Port[[#This Row],[EAD_Interest (CNY)]]*Port[[#This Row],[CNY -&gt; FCY]]</f>
        <v>491835.61643835902</v>
      </c>
      <c r="Z329" s="507">
        <f>Port[[#This Row],[ECL_Drawn (CNY)]]*Port[[#This Row],[CNY -&gt; FCY]]</f>
        <v>40820.871213652332</v>
      </c>
      <c r="AA329" s="507">
        <f>Port[[#This Row],[ECL_Undrawn (CNY)]]*Port[[#This Row],[CNY -&gt; FCY]]</f>
        <v>0</v>
      </c>
      <c r="AB329" s="507">
        <f>Port[[#This Row],[ECL (CNY)]]*Port[[#This Row],[CNY -&gt; FCY]]</f>
        <v>40820.871213652332</v>
      </c>
      <c r="AC329" s="507">
        <f>Port[[#This Row],[ECL_Interest (CNY)]]*Port[[#This Row],[CNY -&gt; FCY]]</f>
        <v>402.06973554608589</v>
      </c>
      <c r="AD329" s="507">
        <f>Port[[#This Row],[EAD_Drawn (CNY)]]*Port[[#This Row],[CNY -&gt; THB]]</f>
        <v>262096296.90397313</v>
      </c>
      <c r="AE329" s="507">
        <f>Port[[#This Row],[EAD_Undrawn (CNY)]]*Port[[#This Row],[CNY -&gt; THB]]</f>
        <v>0</v>
      </c>
      <c r="AF329" s="507">
        <f>Port[[#This Row],[EAD (CNY)]]*Port[[#This Row],[CNY -&gt; THB]]</f>
        <v>262096296.90397313</v>
      </c>
      <c r="AG329" s="507">
        <f>Port[[#This Row],[EAD_Interest (CNY)]]*Port[[#This Row],[CNY -&gt; THB]]</f>
        <v>2581546.783561659</v>
      </c>
      <c r="AH329" s="507">
        <f>Port[[#This Row],[ECL_Drawn (CNY)]]*Port[[#This Row],[CNY -&gt; THB]]</f>
        <v>214260.58882621836</v>
      </c>
      <c r="AI329" s="507">
        <f>Port[[#This Row],[ECL_Undrawn (CNY)]]*Port[[#This Row],[CNY -&gt; THB]]</f>
        <v>0</v>
      </c>
      <c r="AJ329" s="507">
        <f>Port[[#This Row],[ECL (CNY)]]*Port[[#This Row],[CNY -&gt; THB]]</f>
        <v>214260.58882621836</v>
      </c>
      <c r="AK329" s="507">
        <f>Port[[#This Row],[ECL_Interest (CNY)]]*Port[[#This Row],[CNY -&gt; THB]]</f>
        <v>2110.3836279342959</v>
      </c>
      <c r="AL329" s="507">
        <f>Port[[#This Row],[EAD (THB)]]*Port[[#This Row],[PD_avg]]</f>
        <v>238067.32091802038</v>
      </c>
      <c r="AM329" s="507">
        <f>Port[[#This Row],[EAD_Interest (THB)]]*Port[[#This Row],[PD_avg]]</f>
        <v>2344.8706977047732</v>
      </c>
      <c r="AN329" s="507">
        <f>Port[[#This Row],[EAD (THB)]]*Port[[#This Row],[LGD_avg]]</f>
        <v>235886667.21357581</v>
      </c>
      <c r="AO329" s="507">
        <f>Port[[#This Row],[EAD_Interest (THB)]]*Port[[#This Row],[LGD_avg]]</f>
        <v>2323392.105205493</v>
      </c>
      <c r="AP329" s="507">
        <f>Port[[#This Row],[EAD_Drawn (THB)]]+Port[[#This Row],[EAD_Interest (THB)]]</f>
        <v>264677843.68753478</v>
      </c>
      <c r="AQ3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216370.97245415265</v>
      </c>
      <c r="AR329" s="522">
        <f>MAX(Port[[#This Row],[ECL (THB)]]+Port[[#This Row],[ECL_Interest (THB)]], Port[[#This Row],[ECL CBIRC (THB)]])</f>
        <v>216370.97245415265</v>
      </c>
    </row>
    <row r="330" spans="1:44">
      <c r="A330" s="2" t="s">
        <v>309</v>
      </c>
      <c r="B330" s="2" t="s">
        <v>288</v>
      </c>
      <c r="C330" s="2" t="s">
        <v>278</v>
      </c>
      <c r="D330" s="2" t="s">
        <v>25</v>
      </c>
      <c r="E330" s="2" t="s">
        <v>280</v>
      </c>
      <c r="F330" s="2" t="s">
        <v>281</v>
      </c>
      <c r="G330" s="2" t="s">
        <v>21</v>
      </c>
      <c r="H330">
        <v>1</v>
      </c>
      <c r="I330" s="2" t="s">
        <v>526</v>
      </c>
      <c r="J330" s="505">
        <v>9.0832004774658653E-4</v>
      </c>
      <c r="K330" s="505">
        <v>0.8999999999999998</v>
      </c>
      <c r="L330" s="3">
        <v>1</v>
      </c>
      <c r="M330" s="3">
        <v>5.2488000000000001</v>
      </c>
      <c r="N330" s="507">
        <v>5709416.3039711555</v>
      </c>
      <c r="O330" s="507">
        <v>0</v>
      </c>
      <c r="P330" s="507">
        <v>5709416.3039711555</v>
      </c>
      <c r="Q330" s="507">
        <v>31263.472730040288</v>
      </c>
      <c r="R330" s="507">
        <v>4667.3795608453975</v>
      </c>
      <c r="S330" s="507">
        <v>0</v>
      </c>
      <c r="T330" s="507">
        <v>4667.3795608453975</v>
      </c>
      <c r="U330" s="507">
        <v>25.557515138586869</v>
      </c>
      <c r="V330" s="507">
        <f>Port[[#This Row],[EAD_Drawn (CNY)]]*Port[[#This Row],[CNY -&gt; FCY]]</f>
        <v>5709416.3039711555</v>
      </c>
      <c r="W330" s="507">
        <f>Port[[#This Row],[EAD_Undrawn (CNY)]]*Port[[#This Row],[CNY -&gt; FCY]]</f>
        <v>0</v>
      </c>
      <c r="X330" s="507">
        <f>Port[[#This Row],[EAD (CNY)]]*Port[[#This Row],[CNY -&gt; FCY]]</f>
        <v>5709416.3039711555</v>
      </c>
      <c r="Y330" s="507">
        <f>Port[[#This Row],[EAD_Interest (CNY)]]*Port[[#This Row],[CNY -&gt; FCY]]</f>
        <v>31263.472730040288</v>
      </c>
      <c r="Z330" s="507">
        <f>Port[[#This Row],[ECL_Drawn (CNY)]]*Port[[#This Row],[CNY -&gt; FCY]]</f>
        <v>4667.3795608453975</v>
      </c>
      <c r="AA330" s="507">
        <f>Port[[#This Row],[ECL_Undrawn (CNY)]]*Port[[#This Row],[CNY -&gt; FCY]]</f>
        <v>0</v>
      </c>
      <c r="AB330" s="507">
        <f>Port[[#This Row],[ECL (CNY)]]*Port[[#This Row],[CNY -&gt; FCY]]</f>
        <v>4667.3795608453975</v>
      </c>
      <c r="AC330" s="507">
        <f>Port[[#This Row],[ECL_Interest (CNY)]]*Port[[#This Row],[CNY -&gt; FCY]]</f>
        <v>25.557515138586869</v>
      </c>
      <c r="AD330" s="507">
        <f>Port[[#This Row],[EAD_Drawn (CNY)]]*Port[[#This Row],[CNY -&gt; THB]]</f>
        <v>29967584.2962838</v>
      </c>
      <c r="AE330" s="507">
        <f>Port[[#This Row],[EAD_Undrawn (CNY)]]*Port[[#This Row],[CNY -&gt; THB]]</f>
        <v>0</v>
      </c>
      <c r="AF330" s="507">
        <f>Port[[#This Row],[EAD (CNY)]]*Port[[#This Row],[CNY -&gt; THB]]</f>
        <v>29967584.2962838</v>
      </c>
      <c r="AG330" s="507">
        <f>Port[[#This Row],[EAD_Interest (CNY)]]*Port[[#This Row],[CNY -&gt; THB]]</f>
        <v>164095.71566543548</v>
      </c>
      <c r="AH330" s="507">
        <f>Port[[#This Row],[ECL_Drawn (CNY)]]*Port[[#This Row],[CNY -&gt; THB]]</f>
        <v>24498.141838965323</v>
      </c>
      <c r="AI330" s="507">
        <f>Port[[#This Row],[ECL_Undrawn (CNY)]]*Port[[#This Row],[CNY -&gt; THB]]</f>
        <v>0</v>
      </c>
      <c r="AJ330" s="507">
        <f>Port[[#This Row],[ECL (CNY)]]*Port[[#This Row],[CNY -&gt; THB]]</f>
        <v>24498.141838965323</v>
      </c>
      <c r="AK330" s="507">
        <f>Port[[#This Row],[ECL_Interest (CNY)]]*Port[[#This Row],[CNY -&gt; THB]]</f>
        <v>134.14628545941477</v>
      </c>
      <c r="AL330" s="507">
        <f>Port[[#This Row],[EAD (THB)]]*Port[[#This Row],[PD_avg]]</f>
        <v>27220.157598850357</v>
      </c>
      <c r="AM330" s="507">
        <f>Port[[#This Row],[EAD_Interest (THB)]]*Port[[#This Row],[PD_avg]]</f>
        <v>149.05142828823864</v>
      </c>
      <c r="AN330" s="507">
        <f>Port[[#This Row],[EAD (THB)]]*Port[[#This Row],[LGD_avg]]</f>
        <v>26970825.866655413</v>
      </c>
      <c r="AO330" s="507">
        <f>Port[[#This Row],[EAD_Interest (THB)]]*Port[[#This Row],[LGD_avg]]</f>
        <v>147686.14409889191</v>
      </c>
      <c r="AP330" s="507">
        <f>Port[[#This Row],[EAD_Drawn (THB)]]+Port[[#This Row],[EAD_Interest (THB)]]</f>
        <v>30131680.011949237</v>
      </c>
      <c r="AQ3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24632.288124424736</v>
      </c>
      <c r="AR330" s="522">
        <f>MAX(Port[[#This Row],[ECL (THB)]]+Port[[#This Row],[ECL_Interest (THB)]], Port[[#This Row],[ECL CBIRC (THB)]])</f>
        <v>24632.288124424736</v>
      </c>
    </row>
    <row r="331" spans="1:44">
      <c r="A331" s="2" t="s">
        <v>310</v>
      </c>
      <c r="B331" s="2" t="s">
        <v>288</v>
      </c>
      <c r="C331" s="2" t="s">
        <v>278</v>
      </c>
      <c r="D331" s="2" t="s">
        <v>25</v>
      </c>
      <c r="E331" s="2" t="s">
        <v>280</v>
      </c>
      <c r="F331" s="2" t="s">
        <v>281</v>
      </c>
      <c r="G331" s="2" t="s">
        <v>21</v>
      </c>
      <c r="H331">
        <v>1</v>
      </c>
      <c r="I331" s="2" t="s">
        <v>526</v>
      </c>
      <c r="J331" s="505">
        <v>9.0832004774658653E-4</v>
      </c>
      <c r="K331" s="505">
        <v>0.9</v>
      </c>
      <c r="L331" s="3">
        <v>1</v>
      </c>
      <c r="M331" s="3">
        <v>5.2488000000000001</v>
      </c>
      <c r="N331" s="507">
        <v>5710056.7160132034</v>
      </c>
      <c r="O331" s="507">
        <v>0</v>
      </c>
      <c r="P331" s="507">
        <v>5710056.7160132034</v>
      </c>
      <c r="Q331" s="507">
        <v>31266.979481579605</v>
      </c>
      <c r="R331" s="507">
        <v>4667.9030900323469</v>
      </c>
      <c r="S331" s="507">
        <v>0</v>
      </c>
      <c r="T331" s="507">
        <v>4667.9030900323469</v>
      </c>
      <c r="U331" s="507">
        <v>25.560381866039933</v>
      </c>
      <c r="V331" s="507">
        <f>Port[[#This Row],[EAD_Drawn (CNY)]]*Port[[#This Row],[CNY -&gt; FCY]]</f>
        <v>5710056.7160132034</v>
      </c>
      <c r="W331" s="507">
        <f>Port[[#This Row],[EAD_Undrawn (CNY)]]*Port[[#This Row],[CNY -&gt; FCY]]</f>
        <v>0</v>
      </c>
      <c r="X331" s="507">
        <f>Port[[#This Row],[EAD (CNY)]]*Port[[#This Row],[CNY -&gt; FCY]]</f>
        <v>5710056.7160132034</v>
      </c>
      <c r="Y331" s="507">
        <f>Port[[#This Row],[EAD_Interest (CNY)]]*Port[[#This Row],[CNY -&gt; FCY]]</f>
        <v>31266.979481579605</v>
      </c>
      <c r="Z331" s="507">
        <f>Port[[#This Row],[ECL_Drawn (CNY)]]*Port[[#This Row],[CNY -&gt; FCY]]</f>
        <v>4667.9030900323469</v>
      </c>
      <c r="AA331" s="507">
        <f>Port[[#This Row],[ECL_Undrawn (CNY)]]*Port[[#This Row],[CNY -&gt; FCY]]</f>
        <v>0</v>
      </c>
      <c r="AB331" s="507">
        <f>Port[[#This Row],[ECL (CNY)]]*Port[[#This Row],[CNY -&gt; FCY]]</f>
        <v>4667.9030900323469</v>
      </c>
      <c r="AC331" s="507">
        <f>Port[[#This Row],[ECL_Interest (CNY)]]*Port[[#This Row],[CNY -&gt; FCY]]</f>
        <v>25.560381866039933</v>
      </c>
      <c r="AD331" s="507">
        <f>Port[[#This Row],[EAD_Drawn (CNY)]]*Port[[#This Row],[CNY -&gt; THB]]</f>
        <v>29970945.691010103</v>
      </c>
      <c r="AE331" s="507">
        <f>Port[[#This Row],[EAD_Undrawn (CNY)]]*Port[[#This Row],[CNY -&gt; THB]]</f>
        <v>0</v>
      </c>
      <c r="AF331" s="507">
        <f>Port[[#This Row],[EAD (CNY)]]*Port[[#This Row],[CNY -&gt; THB]]</f>
        <v>29970945.691010103</v>
      </c>
      <c r="AG331" s="507">
        <f>Port[[#This Row],[EAD_Interest (CNY)]]*Port[[#This Row],[CNY -&gt; THB]]</f>
        <v>164114.12190291504</v>
      </c>
      <c r="AH331" s="507">
        <f>Port[[#This Row],[ECL_Drawn (CNY)]]*Port[[#This Row],[CNY -&gt; THB]]</f>
        <v>24500.889738961781</v>
      </c>
      <c r="AI331" s="507">
        <f>Port[[#This Row],[ECL_Undrawn (CNY)]]*Port[[#This Row],[CNY -&gt; THB]]</f>
        <v>0</v>
      </c>
      <c r="AJ331" s="507">
        <f>Port[[#This Row],[ECL (CNY)]]*Port[[#This Row],[CNY -&gt; THB]]</f>
        <v>24500.889738961781</v>
      </c>
      <c r="AK331" s="507">
        <f>Port[[#This Row],[ECL_Interest (CNY)]]*Port[[#This Row],[CNY -&gt; THB]]</f>
        <v>134.1613323384704</v>
      </c>
      <c r="AL331" s="507">
        <f>Port[[#This Row],[EAD (THB)]]*Port[[#This Row],[PD_avg]]</f>
        <v>27223.210821068649</v>
      </c>
      <c r="AM331" s="507">
        <f>Port[[#This Row],[EAD_Interest (THB)]]*Port[[#This Row],[PD_avg]]</f>
        <v>149.0681470427449</v>
      </c>
      <c r="AN331" s="507">
        <f>Port[[#This Row],[EAD (THB)]]*Port[[#This Row],[LGD_avg]]</f>
        <v>26973851.121909093</v>
      </c>
      <c r="AO331" s="507">
        <f>Port[[#This Row],[EAD_Interest (THB)]]*Port[[#This Row],[LGD_avg]]</f>
        <v>147702.70971262353</v>
      </c>
      <c r="AP331" s="507">
        <f>Port[[#This Row],[EAD_Drawn (THB)]]+Port[[#This Row],[EAD_Interest (THB)]]</f>
        <v>30135059.812913019</v>
      </c>
      <c r="AQ3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24635.051071300251</v>
      </c>
      <c r="AR331" s="522">
        <f>MAX(Port[[#This Row],[ECL (THB)]]+Port[[#This Row],[ECL_Interest (THB)]], Port[[#This Row],[ECL CBIRC (THB)]])</f>
        <v>24635.051071300251</v>
      </c>
    </row>
    <row r="332" spans="1:44">
      <c r="A332" s="2" t="s">
        <v>311</v>
      </c>
      <c r="B332" s="2" t="s">
        <v>288</v>
      </c>
      <c r="C332" s="2" t="s">
        <v>278</v>
      </c>
      <c r="D332" s="2" t="s">
        <v>25</v>
      </c>
      <c r="E332" s="2" t="s">
        <v>280</v>
      </c>
      <c r="F332" s="2" t="s">
        <v>281</v>
      </c>
      <c r="G332" s="2" t="s">
        <v>21</v>
      </c>
      <c r="H332">
        <v>1</v>
      </c>
      <c r="I332" s="2" t="s">
        <v>526</v>
      </c>
      <c r="J332" s="505">
        <v>9.0832004774658653E-4</v>
      </c>
      <c r="K332" s="505">
        <v>0.90000000000000013</v>
      </c>
      <c r="L332" s="3">
        <v>1</v>
      </c>
      <c r="M332" s="3">
        <v>5.2488000000000001</v>
      </c>
      <c r="N332" s="507">
        <v>5708764.4559997851</v>
      </c>
      <c r="O332" s="507">
        <v>0</v>
      </c>
      <c r="P332" s="507">
        <v>5708764.4559997851</v>
      </c>
      <c r="Q332" s="507">
        <v>31259.903357937772</v>
      </c>
      <c r="R332" s="507">
        <v>4666.8466829229674</v>
      </c>
      <c r="S332" s="507">
        <v>0</v>
      </c>
      <c r="T332" s="507">
        <v>4666.8466829229674</v>
      </c>
      <c r="U332" s="507">
        <v>25.554597219572145</v>
      </c>
      <c r="V332" s="507">
        <f>Port[[#This Row],[EAD_Drawn (CNY)]]*Port[[#This Row],[CNY -&gt; FCY]]</f>
        <v>5708764.4559997851</v>
      </c>
      <c r="W332" s="507">
        <f>Port[[#This Row],[EAD_Undrawn (CNY)]]*Port[[#This Row],[CNY -&gt; FCY]]</f>
        <v>0</v>
      </c>
      <c r="X332" s="507">
        <f>Port[[#This Row],[EAD (CNY)]]*Port[[#This Row],[CNY -&gt; FCY]]</f>
        <v>5708764.4559997851</v>
      </c>
      <c r="Y332" s="507">
        <f>Port[[#This Row],[EAD_Interest (CNY)]]*Port[[#This Row],[CNY -&gt; FCY]]</f>
        <v>31259.903357937772</v>
      </c>
      <c r="Z332" s="507">
        <f>Port[[#This Row],[ECL_Drawn (CNY)]]*Port[[#This Row],[CNY -&gt; FCY]]</f>
        <v>4666.8466829229674</v>
      </c>
      <c r="AA332" s="507">
        <f>Port[[#This Row],[ECL_Undrawn (CNY)]]*Port[[#This Row],[CNY -&gt; FCY]]</f>
        <v>0</v>
      </c>
      <c r="AB332" s="507">
        <f>Port[[#This Row],[ECL (CNY)]]*Port[[#This Row],[CNY -&gt; FCY]]</f>
        <v>4666.8466829229674</v>
      </c>
      <c r="AC332" s="507">
        <f>Port[[#This Row],[ECL_Interest (CNY)]]*Port[[#This Row],[CNY -&gt; FCY]]</f>
        <v>25.554597219572145</v>
      </c>
      <c r="AD332" s="507">
        <f>Port[[#This Row],[EAD_Drawn (CNY)]]*Port[[#This Row],[CNY -&gt; THB]]</f>
        <v>29964162.876651675</v>
      </c>
      <c r="AE332" s="507">
        <f>Port[[#This Row],[EAD_Undrawn (CNY)]]*Port[[#This Row],[CNY -&gt; THB]]</f>
        <v>0</v>
      </c>
      <c r="AF332" s="507">
        <f>Port[[#This Row],[EAD (CNY)]]*Port[[#This Row],[CNY -&gt; THB]]</f>
        <v>29964162.876651675</v>
      </c>
      <c r="AG332" s="507">
        <f>Port[[#This Row],[EAD_Interest (CNY)]]*Port[[#This Row],[CNY -&gt; THB]]</f>
        <v>164076.98074514378</v>
      </c>
      <c r="AH332" s="507">
        <f>Port[[#This Row],[ECL_Drawn (CNY)]]*Port[[#This Row],[CNY -&gt; THB]]</f>
        <v>24495.344869326073</v>
      </c>
      <c r="AI332" s="507">
        <f>Port[[#This Row],[ECL_Undrawn (CNY)]]*Port[[#This Row],[CNY -&gt; THB]]</f>
        <v>0</v>
      </c>
      <c r="AJ332" s="507">
        <f>Port[[#This Row],[ECL (CNY)]]*Port[[#This Row],[CNY -&gt; THB]]</f>
        <v>24495.344869326073</v>
      </c>
      <c r="AK332" s="507">
        <f>Port[[#This Row],[ECL_Interest (CNY)]]*Port[[#This Row],[CNY -&gt; THB]]</f>
        <v>134.13096988609027</v>
      </c>
      <c r="AL332" s="507">
        <f>Port[[#This Row],[EAD (THB)]]*Port[[#This Row],[PD_avg]]</f>
        <v>27217.049854806744</v>
      </c>
      <c r="AM332" s="507">
        <f>Port[[#This Row],[EAD_Interest (THB)]]*Port[[#This Row],[PD_avg]]</f>
        <v>149.03441098454476</v>
      </c>
      <c r="AN332" s="507">
        <f>Port[[#This Row],[EAD (THB)]]*Port[[#This Row],[LGD_avg]]</f>
        <v>26967746.588986512</v>
      </c>
      <c r="AO332" s="507">
        <f>Port[[#This Row],[EAD_Interest (THB)]]*Port[[#This Row],[LGD_avg]]</f>
        <v>147669.28267062941</v>
      </c>
      <c r="AP332" s="507">
        <f>Port[[#This Row],[EAD_Drawn (THB)]]+Port[[#This Row],[EAD_Interest (THB)]]</f>
        <v>30128239.857396819</v>
      </c>
      <c r="AQ3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24629.475839212162</v>
      </c>
      <c r="AR332" s="522">
        <f>MAX(Port[[#This Row],[ECL (THB)]]+Port[[#This Row],[ECL_Interest (THB)]], Port[[#This Row],[ECL CBIRC (THB)]])</f>
        <v>24629.475839212162</v>
      </c>
    </row>
    <row r="333" spans="1:44">
      <c r="A333" s="2" t="s">
        <v>312</v>
      </c>
      <c r="B333" s="2" t="s">
        <v>288</v>
      </c>
      <c r="C333" s="2" t="s">
        <v>278</v>
      </c>
      <c r="D333" s="2" t="s">
        <v>25</v>
      </c>
      <c r="E333" s="2" t="s">
        <v>280</v>
      </c>
      <c r="F333" s="2" t="s">
        <v>281</v>
      </c>
      <c r="G333" s="2" t="s">
        <v>21</v>
      </c>
      <c r="H333">
        <v>1</v>
      </c>
      <c r="I333" s="2" t="s">
        <v>526</v>
      </c>
      <c r="J333" s="505">
        <v>9.0832004774658653E-4</v>
      </c>
      <c r="K333" s="505">
        <v>0.9</v>
      </c>
      <c r="L333" s="3">
        <v>1</v>
      </c>
      <c r="M333" s="3">
        <v>5.2488000000000001</v>
      </c>
      <c r="N333" s="507">
        <v>14239733.293868901</v>
      </c>
      <c r="O333" s="507">
        <v>0</v>
      </c>
      <c r="P333" s="507">
        <v>14239733.293868901</v>
      </c>
      <c r="Q333" s="507">
        <v>77973.55978513461</v>
      </c>
      <c r="R333" s="507">
        <v>11640.811702847092</v>
      </c>
      <c r="S333" s="507">
        <v>0</v>
      </c>
      <c r="T333" s="507">
        <v>11640.811702847092</v>
      </c>
      <c r="U333" s="507">
        <v>63.742452792304306</v>
      </c>
      <c r="V333" s="507">
        <f>Port[[#This Row],[EAD_Drawn (CNY)]]*Port[[#This Row],[CNY -&gt; FCY]]</f>
        <v>14239733.293868901</v>
      </c>
      <c r="W333" s="507">
        <f>Port[[#This Row],[EAD_Undrawn (CNY)]]*Port[[#This Row],[CNY -&gt; FCY]]</f>
        <v>0</v>
      </c>
      <c r="X333" s="507">
        <f>Port[[#This Row],[EAD (CNY)]]*Port[[#This Row],[CNY -&gt; FCY]]</f>
        <v>14239733.293868901</v>
      </c>
      <c r="Y333" s="507">
        <f>Port[[#This Row],[EAD_Interest (CNY)]]*Port[[#This Row],[CNY -&gt; FCY]]</f>
        <v>77973.55978513461</v>
      </c>
      <c r="Z333" s="507">
        <f>Port[[#This Row],[ECL_Drawn (CNY)]]*Port[[#This Row],[CNY -&gt; FCY]]</f>
        <v>11640.811702847092</v>
      </c>
      <c r="AA333" s="507">
        <f>Port[[#This Row],[ECL_Undrawn (CNY)]]*Port[[#This Row],[CNY -&gt; FCY]]</f>
        <v>0</v>
      </c>
      <c r="AB333" s="507">
        <f>Port[[#This Row],[ECL (CNY)]]*Port[[#This Row],[CNY -&gt; FCY]]</f>
        <v>11640.811702847092</v>
      </c>
      <c r="AC333" s="507">
        <f>Port[[#This Row],[ECL_Interest (CNY)]]*Port[[#This Row],[CNY -&gt; FCY]]</f>
        <v>63.742452792304306</v>
      </c>
      <c r="AD333" s="507">
        <f>Port[[#This Row],[EAD_Drawn (CNY)]]*Port[[#This Row],[CNY -&gt; THB]]</f>
        <v>74741512.112859085</v>
      </c>
      <c r="AE333" s="507">
        <f>Port[[#This Row],[EAD_Undrawn (CNY)]]*Port[[#This Row],[CNY -&gt; THB]]</f>
        <v>0</v>
      </c>
      <c r="AF333" s="507">
        <f>Port[[#This Row],[EAD (CNY)]]*Port[[#This Row],[CNY -&gt; THB]]</f>
        <v>74741512.112859085</v>
      </c>
      <c r="AG333" s="507">
        <f>Port[[#This Row],[EAD_Interest (CNY)]]*Port[[#This Row],[CNY -&gt; THB]]</f>
        <v>409267.62060021458</v>
      </c>
      <c r="AH333" s="507">
        <f>Port[[#This Row],[ECL_Drawn (CNY)]]*Port[[#This Row],[CNY -&gt; THB]]</f>
        <v>61100.292465903818</v>
      </c>
      <c r="AI333" s="507">
        <f>Port[[#This Row],[ECL_Undrawn (CNY)]]*Port[[#This Row],[CNY -&gt; THB]]</f>
        <v>0</v>
      </c>
      <c r="AJ333" s="507">
        <f>Port[[#This Row],[ECL (CNY)]]*Port[[#This Row],[CNY -&gt; THB]]</f>
        <v>61100.292465903818</v>
      </c>
      <c r="AK333" s="507">
        <f>Port[[#This Row],[ECL_Interest (CNY)]]*Port[[#This Row],[CNY -&gt; THB]]</f>
        <v>334.57138621624682</v>
      </c>
      <c r="AL333" s="507">
        <f>Port[[#This Row],[EAD (THB)]]*Port[[#This Row],[PD_avg]]</f>
        <v>67889.213851004242</v>
      </c>
      <c r="AM333" s="507">
        <f>Port[[#This Row],[EAD_Interest (THB)]]*Port[[#This Row],[PD_avg]]</f>
        <v>371.74598468471879</v>
      </c>
      <c r="AN333" s="507">
        <f>Port[[#This Row],[EAD (THB)]]*Port[[#This Row],[LGD_avg]]</f>
        <v>67267360.901573181</v>
      </c>
      <c r="AO333" s="507">
        <f>Port[[#This Row],[EAD_Interest (THB)]]*Port[[#This Row],[LGD_avg]]</f>
        <v>368340.85854019312</v>
      </c>
      <c r="AP333" s="507">
        <f>Port[[#This Row],[EAD_Drawn (THB)]]+Port[[#This Row],[EAD_Interest (THB)]]</f>
        <v>75150779.733459294</v>
      </c>
      <c r="AQ3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61434.863852120063</v>
      </c>
      <c r="AR333" s="522">
        <f>MAX(Port[[#This Row],[ECL (THB)]]+Port[[#This Row],[ECL_Interest (THB)]], Port[[#This Row],[ECL CBIRC (THB)]])</f>
        <v>61434.863852120063</v>
      </c>
    </row>
    <row r="334" spans="1:44">
      <c r="A334" s="2" t="s">
        <v>313</v>
      </c>
      <c r="B334" s="2" t="s">
        <v>288</v>
      </c>
      <c r="C334" s="2" t="s">
        <v>278</v>
      </c>
      <c r="D334" s="2" t="s">
        <v>25</v>
      </c>
      <c r="E334" s="2" t="s">
        <v>280</v>
      </c>
      <c r="F334" s="2" t="s">
        <v>281</v>
      </c>
      <c r="G334" s="2" t="s">
        <v>21</v>
      </c>
      <c r="H334">
        <v>1</v>
      </c>
      <c r="I334" s="2" t="s">
        <v>526</v>
      </c>
      <c r="J334" s="505">
        <v>9.0832004774658653E-4</v>
      </c>
      <c r="K334" s="505">
        <v>0.9</v>
      </c>
      <c r="L334" s="3">
        <v>1</v>
      </c>
      <c r="M334" s="3">
        <v>5.2488000000000001</v>
      </c>
      <c r="N334" s="507">
        <v>28468195.147809956</v>
      </c>
      <c r="O334" s="507">
        <v>0</v>
      </c>
      <c r="P334" s="507">
        <v>28468195.147809956</v>
      </c>
      <c r="Q334" s="507">
        <v>155885.39971379854</v>
      </c>
      <c r="R334" s="507">
        <v>23272.409138326093</v>
      </c>
      <c r="S334" s="507">
        <v>0</v>
      </c>
      <c r="T334" s="507">
        <v>23272.409138326093</v>
      </c>
      <c r="U334" s="507">
        <v>127.43445033992988</v>
      </c>
      <c r="V334" s="507">
        <f>Port[[#This Row],[EAD_Drawn (CNY)]]*Port[[#This Row],[CNY -&gt; FCY]]</f>
        <v>28468195.147809956</v>
      </c>
      <c r="W334" s="507">
        <f>Port[[#This Row],[EAD_Undrawn (CNY)]]*Port[[#This Row],[CNY -&gt; FCY]]</f>
        <v>0</v>
      </c>
      <c r="X334" s="507">
        <f>Port[[#This Row],[EAD (CNY)]]*Port[[#This Row],[CNY -&gt; FCY]]</f>
        <v>28468195.147809956</v>
      </c>
      <c r="Y334" s="507">
        <f>Port[[#This Row],[EAD_Interest (CNY)]]*Port[[#This Row],[CNY -&gt; FCY]]</f>
        <v>155885.39971379854</v>
      </c>
      <c r="Z334" s="507">
        <f>Port[[#This Row],[ECL_Drawn (CNY)]]*Port[[#This Row],[CNY -&gt; FCY]]</f>
        <v>23272.409138326093</v>
      </c>
      <c r="AA334" s="507">
        <f>Port[[#This Row],[ECL_Undrawn (CNY)]]*Port[[#This Row],[CNY -&gt; FCY]]</f>
        <v>0</v>
      </c>
      <c r="AB334" s="507">
        <f>Port[[#This Row],[ECL (CNY)]]*Port[[#This Row],[CNY -&gt; FCY]]</f>
        <v>23272.409138326093</v>
      </c>
      <c r="AC334" s="507">
        <f>Port[[#This Row],[ECL_Interest (CNY)]]*Port[[#This Row],[CNY -&gt; FCY]]</f>
        <v>127.43445033992988</v>
      </c>
      <c r="AD334" s="507">
        <f>Port[[#This Row],[EAD_Drawn (CNY)]]*Port[[#This Row],[CNY -&gt; THB]]</f>
        <v>149423862.69182491</v>
      </c>
      <c r="AE334" s="507">
        <f>Port[[#This Row],[EAD_Undrawn (CNY)]]*Port[[#This Row],[CNY -&gt; THB]]</f>
        <v>0</v>
      </c>
      <c r="AF334" s="507">
        <f>Port[[#This Row],[EAD (CNY)]]*Port[[#This Row],[CNY -&gt; THB]]</f>
        <v>149423862.69182491</v>
      </c>
      <c r="AG334" s="507">
        <f>Port[[#This Row],[EAD_Interest (CNY)]]*Port[[#This Row],[CNY -&gt; THB]]</f>
        <v>818211.28601778578</v>
      </c>
      <c r="AH334" s="507">
        <f>Port[[#This Row],[ECL_Drawn (CNY)]]*Port[[#This Row],[CNY -&gt; THB]]</f>
        <v>122152.221085246</v>
      </c>
      <c r="AI334" s="507">
        <f>Port[[#This Row],[ECL_Undrawn (CNY)]]*Port[[#This Row],[CNY -&gt; THB]]</f>
        <v>0</v>
      </c>
      <c r="AJ334" s="507">
        <f>Port[[#This Row],[ECL (CNY)]]*Port[[#This Row],[CNY -&gt; THB]]</f>
        <v>122152.221085246</v>
      </c>
      <c r="AK334" s="507">
        <f>Port[[#This Row],[ECL_Interest (CNY)]]*Port[[#This Row],[CNY -&gt; THB]]</f>
        <v>668.87794294422395</v>
      </c>
      <c r="AL334" s="507">
        <f>Port[[#This Row],[EAD (THB)]]*Port[[#This Row],[PD_avg]]</f>
        <v>135724.69009471781</v>
      </c>
      <c r="AM334" s="507">
        <f>Port[[#This Row],[EAD_Interest (THB)]]*Port[[#This Row],[PD_avg]]</f>
        <v>743.19771438247119</v>
      </c>
      <c r="AN334" s="507">
        <f>Port[[#This Row],[EAD (THB)]]*Port[[#This Row],[LGD_avg]]</f>
        <v>134481476.42264244</v>
      </c>
      <c r="AO334" s="507">
        <f>Port[[#This Row],[EAD_Interest (THB)]]*Port[[#This Row],[LGD_avg]]</f>
        <v>736390.15741600725</v>
      </c>
      <c r="AP334" s="507">
        <f>Port[[#This Row],[EAD_Drawn (THB)]]+Port[[#This Row],[EAD_Interest (THB)]]</f>
        <v>150242073.97784269</v>
      </c>
      <c r="AQ3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122821.09902819022</v>
      </c>
      <c r="AR334" s="522">
        <f>MAX(Port[[#This Row],[ECL (THB)]]+Port[[#This Row],[ECL_Interest (THB)]], Port[[#This Row],[ECL CBIRC (THB)]])</f>
        <v>122821.09902819022</v>
      </c>
    </row>
    <row r="335" spans="1:44">
      <c r="A335" s="2" t="s">
        <v>314</v>
      </c>
      <c r="B335" s="2" t="s">
        <v>288</v>
      </c>
      <c r="C335" s="2" t="s">
        <v>278</v>
      </c>
      <c r="D335" s="2" t="s">
        <v>25</v>
      </c>
      <c r="E335" s="2" t="s">
        <v>280</v>
      </c>
      <c r="F335" s="2" t="s">
        <v>281</v>
      </c>
      <c r="G335" s="2" t="s">
        <v>21</v>
      </c>
      <c r="H335">
        <v>1</v>
      </c>
      <c r="I335" s="2" t="s">
        <v>526</v>
      </c>
      <c r="J335" s="505">
        <v>9.0832004774658653E-4</v>
      </c>
      <c r="K335" s="505">
        <v>0.89999999999999991</v>
      </c>
      <c r="L335" s="3">
        <v>1</v>
      </c>
      <c r="M335" s="3">
        <v>5.2488000000000001</v>
      </c>
      <c r="N335" s="507">
        <v>29922150.374784321</v>
      </c>
      <c r="O335" s="507">
        <v>0</v>
      </c>
      <c r="P335" s="507">
        <v>29922150.374784321</v>
      </c>
      <c r="Q335" s="507">
        <v>717112.34055645566</v>
      </c>
      <c r="R335" s="507">
        <v>24461.000151394172</v>
      </c>
      <c r="S335" s="507">
        <v>0</v>
      </c>
      <c r="T335" s="507">
        <v>24461.000151394172</v>
      </c>
      <c r="U335" s="507">
        <v>586.23076387251558</v>
      </c>
      <c r="V335" s="507">
        <f>Port[[#This Row],[EAD_Drawn (CNY)]]*Port[[#This Row],[CNY -&gt; FCY]]</f>
        <v>29922150.374784321</v>
      </c>
      <c r="W335" s="507">
        <f>Port[[#This Row],[EAD_Undrawn (CNY)]]*Port[[#This Row],[CNY -&gt; FCY]]</f>
        <v>0</v>
      </c>
      <c r="X335" s="507">
        <f>Port[[#This Row],[EAD (CNY)]]*Port[[#This Row],[CNY -&gt; FCY]]</f>
        <v>29922150.374784321</v>
      </c>
      <c r="Y335" s="507">
        <f>Port[[#This Row],[EAD_Interest (CNY)]]*Port[[#This Row],[CNY -&gt; FCY]]</f>
        <v>717112.34055645566</v>
      </c>
      <c r="Z335" s="507">
        <f>Port[[#This Row],[ECL_Drawn (CNY)]]*Port[[#This Row],[CNY -&gt; FCY]]</f>
        <v>24461.000151394172</v>
      </c>
      <c r="AA335" s="507">
        <f>Port[[#This Row],[ECL_Undrawn (CNY)]]*Port[[#This Row],[CNY -&gt; FCY]]</f>
        <v>0</v>
      </c>
      <c r="AB335" s="507">
        <f>Port[[#This Row],[ECL (CNY)]]*Port[[#This Row],[CNY -&gt; FCY]]</f>
        <v>24461.000151394172</v>
      </c>
      <c r="AC335" s="507">
        <f>Port[[#This Row],[ECL_Interest (CNY)]]*Port[[#This Row],[CNY -&gt; FCY]]</f>
        <v>586.23076387251558</v>
      </c>
      <c r="AD335" s="507">
        <f>Port[[#This Row],[EAD_Drawn (CNY)]]*Port[[#This Row],[CNY -&gt; THB]]</f>
        <v>157055382.88716796</v>
      </c>
      <c r="AE335" s="507">
        <f>Port[[#This Row],[EAD_Undrawn (CNY)]]*Port[[#This Row],[CNY -&gt; THB]]</f>
        <v>0</v>
      </c>
      <c r="AF335" s="507">
        <f>Port[[#This Row],[EAD (CNY)]]*Port[[#This Row],[CNY -&gt; THB]]</f>
        <v>157055382.88716796</v>
      </c>
      <c r="AG335" s="507">
        <f>Port[[#This Row],[EAD_Interest (CNY)]]*Port[[#This Row],[CNY -&gt; THB]]</f>
        <v>3763979.2531127245</v>
      </c>
      <c r="AH335" s="507">
        <f>Port[[#This Row],[ECL_Drawn (CNY)]]*Port[[#This Row],[CNY -&gt; THB]]</f>
        <v>128390.89759463773</v>
      </c>
      <c r="AI335" s="507">
        <f>Port[[#This Row],[ECL_Undrawn (CNY)]]*Port[[#This Row],[CNY -&gt; THB]]</f>
        <v>0</v>
      </c>
      <c r="AJ335" s="507">
        <f>Port[[#This Row],[ECL (CNY)]]*Port[[#This Row],[CNY -&gt; THB]]</f>
        <v>128390.89759463773</v>
      </c>
      <c r="AK335" s="507">
        <f>Port[[#This Row],[ECL_Interest (CNY)]]*Port[[#This Row],[CNY -&gt; THB]]</f>
        <v>3077.0080334140598</v>
      </c>
      <c r="AL335" s="507">
        <f>Port[[#This Row],[EAD (THB)]]*Port[[#This Row],[PD_avg]]</f>
        <v>142656.55288293082</v>
      </c>
      <c r="AM335" s="507">
        <f>Port[[#This Row],[EAD_Interest (THB)]]*Port[[#This Row],[PD_avg]]</f>
        <v>3418.8978149045111</v>
      </c>
      <c r="AN335" s="507">
        <f>Port[[#This Row],[EAD (THB)]]*Port[[#This Row],[LGD_avg]]</f>
        <v>141349844.59845114</v>
      </c>
      <c r="AO335" s="507">
        <f>Port[[#This Row],[EAD_Interest (THB)]]*Port[[#This Row],[LGD_avg]]</f>
        <v>3387581.3278014516</v>
      </c>
      <c r="AP335" s="507">
        <f>Port[[#This Row],[EAD_Drawn (THB)]]+Port[[#This Row],[EAD_Interest (THB)]]</f>
        <v>160819362.14028069</v>
      </c>
      <c r="AQ3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131467.90562805178</v>
      </c>
      <c r="AR335" s="522">
        <f>MAX(Port[[#This Row],[ECL (THB)]]+Port[[#This Row],[ECL_Interest (THB)]], Port[[#This Row],[ECL CBIRC (THB)]])</f>
        <v>131467.90562805178</v>
      </c>
    </row>
    <row r="336" spans="1:44">
      <c r="A336" s="2" t="s">
        <v>315</v>
      </c>
      <c r="B336" s="2" t="s">
        <v>288</v>
      </c>
      <c r="C336" s="2" t="s">
        <v>278</v>
      </c>
      <c r="D336" s="2" t="s">
        <v>25</v>
      </c>
      <c r="E336" s="2" t="s">
        <v>280</v>
      </c>
      <c r="F336" s="2" t="s">
        <v>281</v>
      </c>
      <c r="G336" s="2" t="s">
        <v>21</v>
      </c>
      <c r="H336">
        <v>1</v>
      </c>
      <c r="I336" s="2" t="s">
        <v>526</v>
      </c>
      <c r="J336" s="505">
        <v>9.0832004774658653E-4</v>
      </c>
      <c r="K336" s="505">
        <v>0.90000000000000013</v>
      </c>
      <c r="L336" s="3">
        <v>1</v>
      </c>
      <c r="M336" s="3">
        <v>5.2488000000000001</v>
      </c>
      <c r="N336" s="507">
        <v>39896200.49971243</v>
      </c>
      <c r="O336" s="507">
        <v>0</v>
      </c>
      <c r="P336" s="507">
        <v>39896200.49971243</v>
      </c>
      <c r="Q336" s="507">
        <v>956149.78740860755</v>
      </c>
      <c r="R336" s="507">
        <v>32614.666868525564</v>
      </c>
      <c r="S336" s="507">
        <v>0</v>
      </c>
      <c r="T336" s="507">
        <v>32614.666868525564</v>
      </c>
      <c r="U336" s="507">
        <v>781.64101849668737</v>
      </c>
      <c r="V336" s="507">
        <f>Port[[#This Row],[EAD_Drawn (CNY)]]*Port[[#This Row],[CNY -&gt; FCY]]</f>
        <v>39896200.49971243</v>
      </c>
      <c r="W336" s="507">
        <f>Port[[#This Row],[EAD_Undrawn (CNY)]]*Port[[#This Row],[CNY -&gt; FCY]]</f>
        <v>0</v>
      </c>
      <c r="X336" s="507">
        <f>Port[[#This Row],[EAD (CNY)]]*Port[[#This Row],[CNY -&gt; FCY]]</f>
        <v>39896200.49971243</v>
      </c>
      <c r="Y336" s="507">
        <f>Port[[#This Row],[EAD_Interest (CNY)]]*Port[[#This Row],[CNY -&gt; FCY]]</f>
        <v>956149.78740860755</v>
      </c>
      <c r="Z336" s="507">
        <f>Port[[#This Row],[ECL_Drawn (CNY)]]*Port[[#This Row],[CNY -&gt; FCY]]</f>
        <v>32614.666868525564</v>
      </c>
      <c r="AA336" s="507">
        <f>Port[[#This Row],[ECL_Undrawn (CNY)]]*Port[[#This Row],[CNY -&gt; FCY]]</f>
        <v>0</v>
      </c>
      <c r="AB336" s="507">
        <f>Port[[#This Row],[ECL (CNY)]]*Port[[#This Row],[CNY -&gt; FCY]]</f>
        <v>32614.666868525564</v>
      </c>
      <c r="AC336" s="507">
        <f>Port[[#This Row],[ECL_Interest (CNY)]]*Port[[#This Row],[CNY -&gt; FCY]]</f>
        <v>781.64101849668737</v>
      </c>
      <c r="AD336" s="507">
        <f>Port[[#This Row],[EAD_Drawn (CNY)]]*Port[[#This Row],[CNY -&gt; THB]]</f>
        <v>209407177.18289059</v>
      </c>
      <c r="AE336" s="507">
        <f>Port[[#This Row],[EAD_Undrawn (CNY)]]*Port[[#This Row],[CNY -&gt; THB]]</f>
        <v>0</v>
      </c>
      <c r="AF336" s="507">
        <f>Port[[#This Row],[EAD (CNY)]]*Port[[#This Row],[CNY -&gt; THB]]</f>
        <v>209407177.18289059</v>
      </c>
      <c r="AG336" s="507">
        <f>Port[[#This Row],[EAD_Interest (CNY)]]*Port[[#This Row],[CNY -&gt; THB]]</f>
        <v>5018639.0041502994</v>
      </c>
      <c r="AH336" s="507">
        <f>Port[[#This Row],[ECL_Drawn (CNY)]]*Port[[#This Row],[CNY -&gt; THB]]</f>
        <v>171187.86345951699</v>
      </c>
      <c r="AI336" s="507">
        <f>Port[[#This Row],[ECL_Undrawn (CNY)]]*Port[[#This Row],[CNY -&gt; THB]]</f>
        <v>0</v>
      </c>
      <c r="AJ336" s="507">
        <f>Port[[#This Row],[ECL (CNY)]]*Port[[#This Row],[CNY -&gt; THB]]</f>
        <v>171187.86345951699</v>
      </c>
      <c r="AK336" s="507">
        <f>Port[[#This Row],[ECL_Interest (CNY)]]*Port[[#This Row],[CNY -&gt; THB]]</f>
        <v>4102.6773778854131</v>
      </c>
      <c r="AL336" s="507">
        <f>Port[[#This Row],[EAD (THB)]]*Port[[#This Row],[PD_avg]]</f>
        <v>190208.7371772411</v>
      </c>
      <c r="AM336" s="507">
        <f>Port[[#This Row],[EAD_Interest (THB)]]*Port[[#This Row],[PD_avg]]</f>
        <v>4558.5304198726817</v>
      </c>
      <c r="AN336" s="507">
        <f>Port[[#This Row],[EAD (THB)]]*Port[[#This Row],[LGD_avg]]</f>
        <v>188466459.46460158</v>
      </c>
      <c r="AO336" s="507">
        <f>Port[[#This Row],[EAD_Interest (THB)]]*Port[[#This Row],[LGD_avg]]</f>
        <v>4516775.10373527</v>
      </c>
      <c r="AP336" s="507">
        <f>Port[[#This Row],[EAD_Drawn (THB)]]+Port[[#This Row],[EAD_Interest (THB)]]</f>
        <v>214425816.1870409</v>
      </c>
      <c r="AQ3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175290.5408374024</v>
      </c>
      <c r="AR336" s="522">
        <f>MAX(Port[[#This Row],[ECL (THB)]]+Port[[#This Row],[ECL_Interest (THB)]], Port[[#This Row],[ECL CBIRC (THB)]])</f>
        <v>175290.5408374024</v>
      </c>
    </row>
    <row r="337" spans="1:44">
      <c r="A337" s="2" t="s">
        <v>316</v>
      </c>
      <c r="B337" s="2" t="s">
        <v>288</v>
      </c>
      <c r="C337" s="2" t="s">
        <v>278</v>
      </c>
      <c r="D337" s="2" t="s">
        <v>25</v>
      </c>
      <c r="E337" s="2" t="s">
        <v>280</v>
      </c>
      <c r="F337" s="2" t="s">
        <v>281</v>
      </c>
      <c r="G337" s="2" t="s">
        <v>21</v>
      </c>
      <c r="H337">
        <v>1</v>
      </c>
      <c r="I337" s="2" t="s">
        <v>526</v>
      </c>
      <c r="J337" s="505">
        <v>9.0832004774658653E-4</v>
      </c>
      <c r="K337" s="505">
        <v>0.9</v>
      </c>
      <c r="L337" s="3">
        <v>1</v>
      </c>
      <c r="M337" s="3">
        <v>5.2488000000000001</v>
      </c>
      <c r="N337" s="507">
        <v>50559582.980036765</v>
      </c>
      <c r="O337" s="507">
        <v>0</v>
      </c>
      <c r="P337" s="507">
        <v>50559582.980036765</v>
      </c>
      <c r="Q337" s="507">
        <v>1211707.7293658191</v>
      </c>
      <c r="R337" s="507">
        <v>41331.854543827045</v>
      </c>
      <c r="S337" s="507">
        <v>0</v>
      </c>
      <c r="T337" s="507">
        <v>41331.854543827045</v>
      </c>
      <c r="U337" s="507">
        <v>990.55658033322175</v>
      </c>
      <c r="V337" s="507">
        <f>Port[[#This Row],[EAD_Drawn (CNY)]]*Port[[#This Row],[CNY -&gt; FCY]]</f>
        <v>50559582.980036765</v>
      </c>
      <c r="W337" s="507">
        <f>Port[[#This Row],[EAD_Undrawn (CNY)]]*Port[[#This Row],[CNY -&gt; FCY]]</f>
        <v>0</v>
      </c>
      <c r="X337" s="507">
        <f>Port[[#This Row],[EAD (CNY)]]*Port[[#This Row],[CNY -&gt; FCY]]</f>
        <v>50559582.980036765</v>
      </c>
      <c r="Y337" s="507">
        <f>Port[[#This Row],[EAD_Interest (CNY)]]*Port[[#This Row],[CNY -&gt; FCY]]</f>
        <v>1211707.7293658191</v>
      </c>
      <c r="Z337" s="507">
        <f>Port[[#This Row],[ECL_Drawn (CNY)]]*Port[[#This Row],[CNY -&gt; FCY]]</f>
        <v>41331.854543827045</v>
      </c>
      <c r="AA337" s="507">
        <f>Port[[#This Row],[ECL_Undrawn (CNY)]]*Port[[#This Row],[CNY -&gt; FCY]]</f>
        <v>0</v>
      </c>
      <c r="AB337" s="507">
        <f>Port[[#This Row],[ECL (CNY)]]*Port[[#This Row],[CNY -&gt; FCY]]</f>
        <v>41331.854543827045</v>
      </c>
      <c r="AC337" s="507">
        <f>Port[[#This Row],[ECL_Interest (CNY)]]*Port[[#This Row],[CNY -&gt; FCY]]</f>
        <v>990.55658033322175</v>
      </c>
      <c r="AD337" s="507">
        <f>Port[[#This Row],[EAD_Drawn (CNY)]]*Port[[#This Row],[CNY -&gt; THB]]</f>
        <v>265377139.14561698</v>
      </c>
      <c r="AE337" s="507">
        <f>Port[[#This Row],[EAD_Undrawn (CNY)]]*Port[[#This Row],[CNY -&gt; THB]]</f>
        <v>0</v>
      </c>
      <c r="AF337" s="507">
        <f>Port[[#This Row],[EAD (CNY)]]*Port[[#This Row],[CNY -&gt; THB]]</f>
        <v>265377139.14561698</v>
      </c>
      <c r="AG337" s="507">
        <f>Port[[#This Row],[EAD_Interest (CNY)]]*Port[[#This Row],[CNY -&gt; THB]]</f>
        <v>6360011.5298953112</v>
      </c>
      <c r="AH337" s="507">
        <f>Port[[#This Row],[ECL_Drawn (CNY)]]*Port[[#This Row],[CNY -&gt; THB]]</f>
        <v>216942.63812963941</v>
      </c>
      <c r="AI337" s="507">
        <f>Port[[#This Row],[ECL_Undrawn (CNY)]]*Port[[#This Row],[CNY -&gt; THB]]</f>
        <v>0</v>
      </c>
      <c r="AJ337" s="507">
        <f>Port[[#This Row],[ECL (CNY)]]*Port[[#This Row],[CNY -&gt; THB]]</f>
        <v>216942.63812963941</v>
      </c>
      <c r="AK337" s="507">
        <f>Port[[#This Row],[ECL_Interest (CNY)]]*Port[[#This Row],[CNY -&gt; THB]]</f>
        <v>5199.2333788530141</v>
      </c>
      <c r="AL337" s="507">
        <f>Port[[#This Row],[EAD (THB)]]*Port[[#This Row],[PD_avg]]</f>
        <v>241047.37569959936</v>
      </c>
      <c r="AM337" s="507">
        <f>Port[[#This Row],[EAD_Interest (THB)]]*Port[[#This Row],[PD_avg]]</f>
        <v>5776.9259765033503</v>
      </c>
      <c r="AN337" s="507">
        <f>Port[[#This Row],[EAD (THB)]]*Port[[#This Row],[LGD_avg]]</f>
        <v>238839425.23105529</v>
      </c>
      <c r="AO337" s="507">
        <f>Port[[#This Row],[EAD_Interest (THB)]]*Port[[#This Row],[LGD_avg]]</f>
        <v>5724010.3769057803</v>
      </c>
      <c r="AP337" s="507">
        <f>Port[[#This Row],[EAD_Drawn (THB)]]+Port[[#This Row],[EAD_Interest (THB)]]</f>
        <v>271737150.67551231</v>
      </c>
      <c r="AQ3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222141.87150849242</v>
      </c>
      <c r="AR337" s="522">
        <f>MAX(Port[[#This Row],[ECL (THB)]]+Port[[#This Row],[ECL_Interest (THB)]], Port[[#This Row],[ECL CBIRC (THB)]])</f>
        <v>222141.87150849242</v>
      </c>
    </row>
    <row r="338" spans="1:44">
      <c r="A338" s="2" t="s">
        <v>317</v>
      </c>
      <c r="B338" s="2" t="s">
        <v>288</v>
      </c>
      <c r="C338" s="2" t="s">
        <v>278</v>
      </c>
      <c r="D338" s="2" t="s">
        <v>25</v>
      </c>
      <c r="E338" s="2" t="s">
        <v>280</v>
      </c>
      <c r="F338" s="2" t="s">
        <v>281</v>
      </c>
      <c r="G338" s="2" t="s">
        <v>21</v>
      </c>
      <c r="H338">
        <v>1</v>
      </c>
      <c r="I338" s="2" t="s">
        <v>526</v>
      </c>
      <c r="J338" s="505">
        <v>9.0832004774658653E-4</v>
      </c>
      <c r="K338" s="505">
        <v>0.9</v>
      </c>
      <c r="L338" s="3">
        <v>1</v>
      </c>
      <c r="M338" s="3">
        <v>5.2488000000000001</v>
      </c>
      <c r="N338" s="507">
        <v>50559582.980036765</v>
      </c>
      <c r="O338" s="507">
        <v>0</v>
      </c>
      <c r="P338" s="507">
        <v>50559582.980036765</v>
      </c>
      <c r="Q338" s="507">
        <v>1211707.7293658191</v>
      </c>
      <c r="R338" s="507">
        <v>41331.854543827045</v>
      </c>
      <c r="S338" s="507">
        <v>0</v>
      </c>
      <c r="T338" s="507">
        <v>41331.854543827045</v>
      </c>
      <c r="U338" s="507">
        <v>990.55658033322175</v>
      </c>
      <c r="V338" s="507">
        <f>Port[[#This Row],[EAD_Drawn (CNY)]]*Port[[#This Row],[CNY -&gt; FCY]]</f>
        <v>50559582.980036765</v>
      </c>
      <c r="W338" s="507">
        <f>Port[[#This Row],[EAD_Undrawn (CNY)]]*Port[[#This Row],[CNY -&gt; FCY]]</f>
        <v>0</v>
      </c>
      <c r="X338" s="507">
        <f>Port[[#This Row],[EAD (CNY)]]*Port[[#This Row],[CNY -&gt; FCY]]</f>
        <v>50559582.980036765</v>
      </c>
      <c r="Y338" s="507">
        <f>Port[[#This Row],[EAD_Interest (CNY)]]*Port[[#This Row],[CNY -&gt; FCY]]</f>
        <v>1211707.7293658191</v>
      </c>
      <c r="Z338" s="507">
        <f>Port[[#This Row],[ECL_Drawn (CNY)]]*Port[[#This Row],[CNY -&gt; FCY]]</f>
        <v>41331.854543827045</v>
      </c>
      <c r="AA338" s="507">
        <f>Port[[#This Row],[ECL_Undrawn (CNY)]]*Port[[#This Row],[CNY -&gt; FCY]]</f>
        <v>0</v>
      </c>
      <c r="AB338" s="507">
        <f>Port[[#This Row],[ECL (CNY)]]*Port[[#This Row],[CNY -&gt; FCY]]</f>
        <v>41331.854543827045</v>
      </c>
      <c r="AC338" s="507">
        <f>Port[[#This Row],[ECL_Interest (CNY)]]*Port[[#This Row],[CNY -&gt; FCY]]</f>
        <v>990.55658033322175</v>
      </c>
      <c r="AD338" s="507">
        <f>Port[[#This Row],[EAD_Drawn (CNY)]]*Port[[#This Row],[CNY -&gt; THB]]</f>
        <v>265377139.14561698</v>
      </c>
      <c r="AE338" s="507">
        <f>Port[[#This Row],[EAD_Undrawn (CNY)]]*Port[[#This Row],[CNY -&gt; THB]]</f>
        <v>0</v>
      </c>
      <c r="AF338" s="507">
        <f>Port[[#This Row],[EAD (CNY)]]*Port[[#This Row],[CNY -&gt; THB]]</f>
        <v>265377139.14561698</v>
      </c>
      <c r="AG338" s="507">
        <f>Port[[#This Row],[EAD_Interest (CNY)]]*Port[[#This Row],[CNY -&gt; THB]]</f>
        <v>6360011.5298953112</v>
      </c>
      <c r="AH338" s="507">
        <f>Port[[#This Row],[ECL_Drawn (CNY)]]*Port[[#This Row],[CNY -&gt; THB]]</f>
        <v>216942.63812963941</v>
      </c>
      <c r="AI338" s="507">
        <f>Port[[#This Row],[ECL_Undrawn (CNY)]]*Port[[#This Row],[CNY -&gt; THB]]</f>
        <v>0</v>
      </c>
      <c r="AJ338" s="507">
        <f>Port[[#This Row],[ECL (CNY)]]*Port[[#This Row],[CNY -&gt; THB]]</f>
        <v>216942.63812963941</v>
      </c>
      <c r="AK338" s="507">
        <f>Port[[#This Row],[ECL_Interest (CNY)]]*Port[[#This Row],[CNY -&gt; THB]]</f>
        <v>5199.2333788530141</v>
      </c>
      <c r="AL338" s="507">
        <f>Port[[#This Row],[EAD (THB)]]*Port[[#This Row],[PD_avg]]</f>
        <v>241047.37569959936</v>
      </c>
      <c r="AM338" s="507">
        <f>Port[[#This Row],[EAD_Interest (THB)]]*Port[[#This Row],[PD_avg]]</f>
        <v>5776.9259765033503</v>
      </c>
      <c r="AN338" s="507">
        <f>Port[[#This Row],[EAD (THB)]]*Port[[#This Row],[LGD_avg]]</f>
        <v>238839425.23105529</v>
      </c>
      <c r="AO338" s="507">
        <f>Port[[#This Row],[EAD_Interest (THB)]]*Port[[#This Row],[LGD_avg]]</f>
        <v>5724010.3769057803</v>
      </c>
      <c r="AP338" s="507">
        <f>Port[[#This Row],[EAD_Drawn (THB)]]+Port[[#This Row],[EAD_Interest (THB)]]</f>
        <v>271737150.67551231</v>
      </c>
      <c r="AQ3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222141.87150849242</v>
      </c>
      <c r="AR338" s="522">
        <f>MAX(Port[[#This Row],[ECL (THB)]]+Port[[#This Row],[ECL_Interest (THB)]], Port[[#This Row],[ECL CBIRC (THB)]])</f>
        <v>222141.87150849242</v>
      </c>
    </row>
    <row r="339" spans="1:44">
      <c r="A339" s="2" t="s">
        <v>318</v>
      </c>
      <c r="B339" s="2" t="s">
        <v>288</v>
      </c>
      <c r="C339" s="2" t="s">
        <v>278</v>
      </c>
      <c r="D339" s="2" t="s">
        <v>25</v>
      </c>
      <c r="E339" s="2" t="s">
        <v>280</v>
      </c>
      <c r="F339" s="2" t="s">
        <v>281</v>
      </c>
      <c r="G339" s="2" t="s">
        <v>21</v>
      </c>
      <c r="H339">
        <v>1</v>
      </c>
      <c r="I339" s="2" t="s">
        <v>526</v>
      </c>
      <c r="J339" s="505">
        <v>9.0832004774658653E-4</v>
      </c>
      <c r="K339" s="505">
        <v>0.90000000000000013</v>
      </c>
      <c r="L339" s="3">
        <v>1</v>
      </c>
      <c r="M339" s="3">
        <v>5.2488000000000001</v>
      </c>
      <c r="N339" s="507">
        <v>80894773.188267544</v>
      </c>
      <c r="O339" s="507">
        <v>0</v>
      </c>
      <c r="P339" s="507">
        <v>80894773.188267544</v>
      </c>
      <c r="Q339" s="507">
        <v>1938718.9561318515</v>
      </c>
      <c r="R339" s="507">
        <v>66130.509820334817</v>
      </c>
      <c r="S339" s="507">
        <v>0</v>
      </c>
      <c r="T339" s="507">
        <v>66130.509820334817</v>
      </c>
      <c r="U339" s="507">
        <v>1584.8795653208063</v>
      </c>
      <c r="V339" s="507">
        <f>Port[[#This Row],[EAD_Drawn (CNY)]]*Port[[#This Row],[CNY -&gt; FCY]]</f>
        <v>80894773.188267544</v>
      </c>
      <c r="W339" s="507">
        <f>Port[[#This Row],[EAD_Undrawn (CNY)]]*Port[[#This Row],[CNY -&gt; FCY]]</f>
        <v>0</v>
      </c>
      <c r="X339" s="507">
        <f>Port[[#This Row],[EAD (CNY)]]*Port[[#This Row],[CNY -&gt; FCY]]</f>
        <v>80894773.188267544</v>
      </c>
      <c r="Y339" s="507">
        <f>Port[[#This Row],[EAD_Interest (CNY)]]*Port[[#This Row],[CNY -&gt; FCY]]</f>
        <v>1938718.9561318515</v>
      </c>
      <c r="Z339" s="507">
        <f>Port[[#This Row],[ECL_Drawn (CNY)]]*Port[[#This Row],[CNY -&gt; FCY]]</f>
        <v>66130.509820334817</v>
      </c>
      <c r="AA339" s="507">
        <f>Port[[#This Row],[ECL_Undrawn (CNY)]]*Port[[#This Row],[CNY -&gt; FCY]]</f>
        <v>0</v>
      </c>
      <c r="AB339" s="507">
        <f>Port[[#This Row],[ECL (CNY)]]*Port[[#This Row],[CNY -&gt; FCY]]</f>
        <v>66130.509820334817</v>
      </c>
      <c r="AC339" s="507">
        <f>Port[[#This Row],[ECL_Interest (CNY)]]*Port[[#This Row],[CNY -&gt; FCY]]</f>
        <v>1584.8795653208063</v>
      </c>
      <c r="AD339" s="507">
        <f>Port[[#This Row],[EAD_Drawn (CNY)]]*Port[[#This Row],[CNY -&gt; THB]]</f>
        <v>424600485.51057869</v>
      </c>
      <c r="AE339" s="507">
        <f>Port[[#This Row],[EAD_Undrawn (CNY)]]*Port[[#This Row],[CNY -&gt; THB]]</f>
        <v>0</v>
      </c>
      <c r="AF339" s="507">
        <f>Port[[#This Row],[EAD (CNY)]]*Port[[#This Row],[CNY -&gt; THB]]</f>
        <v>424600485.51057869</v>
      </c>
      <c r="AG339" s="507">
        <f>Port[[#This Row],[EAD_Interest (CNY)]]*Port[[#This Row],[CNY -&gt; THB]]</f>
        <v>10175948.056944862</v>
      </c>
      <c r="AH339" s="507">
        <f>Port[[#This Row],[ECL_Drawn (CNY)]]*Port[[#This Row],[CNY -&gt; THB]]</f>
        <v>347105.81994497339</v>
      </c>
      <c r="AI339" s="507">
        <f>Port[[#This Row],[ECL_Undrawn (CNY)]]*Port[[#This Row],[CNY -&gt; THB]]</f>
        <v>0</v>
      </c>
      <c r="AJ339" s="507">
        <f>Port[[#This Row],[ECL (CNY)]]*Port[[#This Row],[CNY -&gt; THB]]</f>
        <v>347105.81994497339</v>
      </c>
      <c r="AK339" s="507">
        <f>Port[[#This Row],[ECL_Interest (CNY)]]*Port[[#This Row],[CNY -&gt; THB]]</f>
        <v>8318.7158624558488</v>
      </c>
      <c r="AL339" s="507">
        <f>Port[[#This Row],[EAD (THB)]]*Port[[#This Row],[PD_avg]]</f>
        <v>385673.13327219267</v>
      </c>
      <c r="AM339" s="507">
        <f>Port[[#This Row],[EAD_Interest (THB)]]*Port[[#This Row],[PD_avg]]</f>
        <v>9243.0176249509423</v>
      </c>
      <c r="AN339" s="507">
        <f>Port[[#This Row],[EAD (THB)]]*Port[[#This Row],[LGD_avg]]</f>
        <v>382140436.95952088</v>
      </c>
      <c r="AO339" s="507">
        <f>Port[[#This Row],[EAD_Interest (THB)]]*Port[[#This Row],[LGD_avg]]</f>
        <v>9158353.2512503769</v>
      </c>
      <c r="AP339" s="507">
        <f>Port[[#This Row],[EAD_Drawn (THB)]]+Port[[#This Row],[EAD_Interest (THB)]]</f>
        <v>434776433.56752354</v>
      </c>
      <c r="AQ3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355424.53580742923</v>
      </c>
      <c r="AR339" s="522">
        <f>MAX(Port[[#This Row],[ECL (THB)]]+Port[[#This Row],[ECL_Interest (THB)]], Port[[#This Row],[ECL CBIRC (THB)]])</f>
        <v>355424.53580742923</v>
      </c>
    </row>
    <row r="340" spans="1:44">
      <c r="A340" s="2" t="s">
        <v>319</v>
      </c>
      <c r="B340" s="2" t="s">
        <v>288</v>
      </c>
      <c r="C340" s="2" t="s">
        <v>278</v>
      </c>
      <c r="D340" s="2" t="s">
        <v>25</v>
      </c>
      <c r="E340" s="2" t="s">
        <v>280</v>
      </c>
      <c r="F340" s="2" t="s">
        <v>281</v>
      </c>
      <c r="G340" s="2" t="s">
        <v>21</v>
      </c>
      <c r="H340">
        <v>1</v>
      </c>
      <c r="I340" s="2" t="s">
        <v>526</v>
      </c>
      <c r="J340" s="505">
        <v>9.0832004774658653E-4</v>
      </c>
      <c r="K340" s="505">
        <v>0.90000000000000013</v>
      </c>
      <c r="L340" s="3">
        <v>1</v>
      </c>
      <c r="M340" s="3">
        <v>5.2488000000000001</v>
      </c>
      <c r="N340" s="507">
        <v>10111846.648533443</v>
      </c>
      <c r="O340" s="507">
        <v>0</v>
      </c>
      <c r="P340" s="507">
        <v>10111846.648533443</v>
      </c>
      <c r="Q340" s="507">
        <v>242339.86951648144</v>
      </c>
      <c r="R340" s="507">
        <v>8266.3137275418521</v>
      </c>
      <c r="S340" s="507">
        <v>0</v>
      </c>
      <c r="T340" s="507">
        <v>8266.3137275418521</v>
      </c>
      <c r="U340" s="507">
        <v>198.10994566510078</v>
      </c>
      <c r="V340" s="507">
        <f>Port[[#This Row],[EAD_Drawn (CNY)]]*Port[[#This Row],[CNY -&gt; FCY]]</f>
        <v>10111846.648533443</v>
      </c>
      <c r="W340" s="507">
        <f>Port[[#This Row],[EAD_Undrawn (CNY)]]*Port[[#This Row],[CNY -&gt; FCY]]</f>
        <v>0</v>
      </c>
      <c r="X340" s="507">
        <f>Port[[#This Row],[EAD (CNY)]]*Port[[#This Row],[CNY -&gt; FCY]]</f>
        <v>10111846.648533443</v>
      </c>
      <c r="Y340" s="507">
        <f>Port[[#This Row],[EAD_Interest (CNY)]]*Port[[#This Row],[CNY -&gt; FCY]]</f>
        <v>242339.86951648144</v>
      </c>
      <c r="Z340" s="507">
        <f>Port[[#This Row],[ECL_Drawn (CNY)]]*Port[[#This Row],[CNY -&gt; FCY]]</f>
        <v>8266.3137275418521</v>
      </c>
      <c r="AA340" s="507">
        <f>Port[[#This Row],[ECL_Undrawn (CNY)]]*Port[[#This Row],[CNY -&gt; FCY]]</f>
        <v>0</v>
      </c>
      <c r="AB340" s="507">
        <f>Port[[#This Row],[ECL (CNY)]]*Port[[#This Row],[CNY -&gt; FCY]]</f>
        <v>8266.3137275418521</v>
      </c>
      <c r="AC340" s="507">
        <f>Port[[#This Row],[ECL_Interest (CNY)]]*Port[[#This Row],[CNY -&gt; FCY]]</f>
        <v>198.10994566510078</v>
      </c>
      <c r="AD340" s="507">
        <f>Port[[#This Row],[EAD_Drawn (CNY)]]*Port[[#This Row],[CNY -&gt; THB]]</f>
        <v>53075060.688822336</v>
      </c>
      <c r="AE340" s="507">
        <f>Port[[#This Row],[EAD_Undrawn (CNY)]]*Port[[#This Row],[CNY -&gt; THB]]</f>
        <v>0</v>
      </c>
      <c r="AF340" s="507">
        <f>Port[[#This Row],[EAD (CNY)]]*Port[[#This Row],[CNY -&gt; THB]]</f>
        <v>53075060.688822336</v>
      </c>
      <c r="AG340" s="507">
        <f>Port[[#This Row],[EAD_Interest (CNY)]]*Port[[#This Row],[CNY -&gt; THB]]</f>
        <v>1271993.5071181078</v>
      </c>
      <c r="AH340" s="507">
        <f>Port[[#This Row],[ECL_Drawn (CNY)]]*Port[[#This Row],[CNY -&gt; THB]]</f>
        <v>43388.227493121674</v>
      </c>
      <c r="AI340" s="507">
        <f>Port[[#This Row],[ECL_Undrawn (CNY)]]*Port[[#This Row],[CNY -&gt; THB]]</f>
        <v>0</v>
      </c>
      <c r="AJ340" s="507">
        <f>Port[[#This Row],[ECL (CNY)]]*Port[[#This Row],[CNY -&gt; THB]]</f>
        <v>43388.227493121674</v>
      </c>
      <c r="AK340" s="507">
        <f>Port[[#This Row],[ECL_Interest (CNY)]]*Port[[#This Row],[CNY -&gt; THB]]</f>
        <v>1039.8394828069811</v>
      </c>
      <c r="AL340" s="507">
        <f>Port[[#This Row],[EAD (THB)]]*Port[[#This Row],[PD_avg]]</f>
        <v>48209.141659024084</v>
      </c>
      <c r="AM340" s="507">
        <f>Port[[#This Row],[EAD_Interest (THB)]]*Port[[#This Row],[PD_avg]]</f>
        <v>1155.3772031188678</v>
      </c>
      <c r="AN340" s="507">
        <f>Port[[#This Row],[EAD (THB)]]*Port[[#This Row],[LGD_avg]]</f>
        <v>47767554.61994011</v>
      </c>
      <c r="AO340" s="507">
        <f>Port[[#This Row],[EAD_Interest (THB)]]*Port[[#This Row],[LGD_avg]]</f>
        <v>1144794.1564062971</v>
      </c>
      <c r="AP340" s="507">
        <f>Port[[#This Row],[EAD_Drawn (THB)]]+Port[[#This Row],[EAD_Interest (THB)]]</f>
        <v>54347054.195940442</v>
      </c>
      <c r="AQ3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44428.066975928654</v>
      </c>
      <c r="AR340" s="522">
        <f>MAX(Port[[#This Row],[ECL (THB)]]+Port[[#This Row],[ECL_Interest (THB)]], Port[[#This Row],[ECL CBIRC (THB)]])</f>
        <v>44428.066975928654</v>
      </c>
    </row>
    <row r="341" spans="1:44">
      <c r="A341" s="2" t="s">
        <v>320</v>
      </c>
      <c r="B341" s="2" t="s">
        <v>288</v>
      </c>
      <c r="C341" s="2" t="s">
        <v>278</v>
      </c>
      <c r="D341" s="2" t="s">
        <v>25</v>
      </c>
      <c r="E341" s="2" t="s">
        <v>280</v>
      </c>
      <c r="F341" s="2" t="s">
        <v>281</v>
      </c>
      <c r="G341" s="2" t="s">
        <v>21</v>
      </c>
      <c r="H341">
        <v>1</v>
      </c>
      <c r="I341" s="2" t="s">
        <v>526</v>
      </c>
      <c r="J341" s="505">
        <v>9.0832004774658653E-4</v>
      </c>
      <c r="K341" s="505">
        <v>0.90000000000000013</v>
      </c>
      <c r="L341" s="3">
        <v>1</v>
      </c>
      <c r="M341" s="3">
        <v>5.2488000000000001</v>
      </c>
      <c r="N341" s="507">
        <v>40447386.594133772</v>
      </c>
      <c r="O341" s="507">
        <v>0</v>
      </c>
      <c r="P341" s="507">
        <v>40447386.594133772</v>
      </c>
      <c r="Q341" s="507">
        <v>969359.47806592577</v>
      </c>
      <c r="R341" s="507">
        <v>33065.254910167409</v>
      </c>
      <c r="S341" s="507">
        <v>0</v>
      </c>
      <c r="T341" s="507">
        <v>33065.254910167409</v>
      </c>
      <c r="U341" s="507">
        <v>792.43978266040313</v>
      </c>
      <c r="V341" s="507">
        <f>Port[[#This Row],[EAD_Drawn (CNY)]]*Port[[#This Row],[CNY -&gt; FCY]]</f>
        <v>40447386.594133772</v>
      </c>
      <c r="W341" s="507">
        <f>Port[[#This Row],[EAD_Undrawn (CNY)]]*Port[[#This Row],[CNY -&gt; FCY]]</f>
        <v>0</v>
      </c>
      <c r="X341" s="507">
        <f>Port[[#This Row],[EAD (CNY)]]*Port[[#This Row],[CNY -&gt; FCY]]</f>
        <v>40447386.594133772</v>
      </c>
      <c r="Y341" s="507">
        <f>Port[[#This Row],[EAD_Interest (CNY)]]*Port[[#This Row],[CNY -&gt; FCY]]</f>
        <v>969359.47806592577</v>
      </c>
      <c r="Z341" s="507">
        <f>Port[[#This Row],[ECL_Drawn (CNY)]]*Port[[#This Row],[CNY -&gt; FCY]]</f>
        <v>33065.254910167409</v>
      </c>
      <c r="AA341" s="507">
        <f>Port[[#This Row],[ECL_Undrawn (CNY)]]*Port[[#This Row],[CNY -&gt; FCY]]</f>
        <v>0</v>
      </c>
      <c r="AB341" s="507">
        <f>Port[[#This Row],[ECL (CNY)]]*Port[[#This Row],[CNY -&gt; FCY]]</f>
        <v>33065.254910167409</v>
      </c>
      <c r="AC341" s="507">
        <f>Port[[#This Row],[ECL_Interest (CNY)]]*Port[[#This Row],[CNY -&gt; FCY]]</f>
        <v>792.43978266040313</v>
      </c>
      <c r="AD341" s="507">
        <f>Port[[#This Row],[EAD_Drawn (CNY)]]*Port[[#This Row],[CNY -&gt; THB]]</f>
        <v>212300242.75528935</v>
      </c>
      <c r="AE341" s="507">
        <f>Port[[#This Row],[EAD_Undrawn (CNY)]]*Port[[#This Row],[CNY -&gt; THB]]</f>
        <v>0</v>
      </c>
      <c r="AF341" s="507">
        <f>Port[[#This Row],[EAD (CNY)]]*Port[[#This Row],[CNY -&gt; THB]]</f>
        <v>212300242.75528935</v>
      </c>
      <c r="AG341" s="507">
        <f>Port[[#This Row],[EAD_Interest (CNY)]]*Port[[#This Row],[CNY -&gt; THB]]</f>
        <v>5087974.028472431</v>
      </c>
      <c r="AH341" s="507">
        <f>Port[[#This Row],[ECL_Drawn (CNY)]]*Port[[#This Row],[CNY -&gt; THB]]</f>
        <v>173552.9099724867</v>
      </c>
      <c r="AI341" s="507">
        <f>Port[[#This Row],[ECL_Undrawn (CNY)]]*Port[[#This Row],[CNY -&gt; THB]]</f>
        <v>0</v>
      </c>
      <c r="AJ341" s="507">
        <f>Port[[#This Row],[ECL (CNY)]]*Port[[#This Row],[CNY -&gt; THB]]</f>
        <v>173552.9099724867</v>
      </c>
      <c r="AK341" s="507">
        <f>Port[[#This Row],[ECL_Interest (CNY)]]*Port[[#This Row],[CNY -&gt; THB]]</f>
        <v>4159.3579312279244</v>
      </c>
      <c r="AL341" s="507">
        <f>Port[[#This Row],[EAD (THB)]]*Port[[#This Row],[PD_avg]]</f>
        <v>192836.56663609634</v>
      </c>
      <c r="AM341" s="507">
        <f>Port[[#This Row],[EAD_Interest (THB)]]*Port[[#This Row],[PD_avg]]</f>
        <v>4621.5088124754711</v>
      </c>
      <c r="AN341" s="507">
        <f>Port[[#This Row],[EAD (THB)]]*Port[[#This Row],[LGD_avg]]</f>
        <v>191070218.47976044</v>
      </c>
      <c r="AO341" s="507">
        <f>Port[[#This Row],[EAD_Interest (THB)]]*Port[[#This Row],[LGD_avg]]</f>
        <v>4579176.6256251885</v>
      </c>
      <c r="AP341" s="507">
        <f>Port[[#This Row],[EAD_Drawn (THB)]]+Port[[#This Row],[EAD_Interest (THB)]]</f>
        <v>217388216.78376177</v>
      </c>
      <c r="AQ3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177712.26790371462</v>
      </c>
      <c r="AR341" s="522">
        <f>MAX(Port[[#This Row],[ECL (THB)]]+Port[[#This Row],[ECL_Interest (THB)]], Port[[#This Row],[ECL CBIRC (THB)]])</f>
        <v>177712.26790371462</v>
      </c>
    </row>
    <row r="342" spans="1:44">
      <c r="A342" s="2" t="s">
        <v>321</v>
      </c>
      <c r="B342" s="2" t="s">
        <v>288</v>
      </c>
      <c r="C342" s="2" t="s">
        <v>278</v>
      </c>
      <c r="D342" s="2" t="s">
        <v>25</v>
      </c>
      <c r="E342" s="2" t="s">
        <v>280</v>
      </c>
      <c r="F342" s="2" t="s">
        <v>281</v>
      </c>
      <c r="G342" s="2" t="s">
        <v>21</v>
      </c>
      <c r="H342">
        <v>1</v>
      </c>
      <c r="I342" s="2" t="s">
        <v>526</v>
      </c>
      <c r="J342" s="505">
        <v>9.0832004774658653E-4</v>
      </c>
      <c r="K342" s="505">
        <v>0.89999999999999991</v>
      </c>
      <c r="L342" s="3">
        <v>1</v>
      </c>
      <c r="M342" s="3">
        <v>5.2488000000000001</v>
      </c>
      <c r="N342" s="507">
        <v>79931791.178151205</v>
      </c>
      <c r="O342" s="507">
        <v>0</v>
      </c>
      <c r="P342" s="507">
        <v>79931791.178151205</v>
      </c>
      <c r="Q342" s="507">
        <v>1637084.9315068424</v>
      </c>
      <c r="R342" s="507">
        <v>65343.283541467623</v>
      </c>
      <c r="S342" s="507">
        <v>0</v>
      </c>
      <c r="T342" s="507">
        <v>65343.283541467623</v>
      </c>
      <c r="U342" s="507">
        <v>1338.2973568363611</v>
      </c>
      <c r="V342" s="507">
        <f>Port[[#This Row],[EAD_Drawn (CNY)]]*Port[[#This Row],[CNY -&gt; FCY]]</f>
        <v>79931791.178151205</v>
      </c>
      <c r="W342" s="507">
        <f>Port[[#This Row],[EAD_Undrawn (CNY)]]*Port[[#This Row],[CNY -&gt; FCY]]</f>
        <v>0</v>
      </c>
      <c r="X342" s="507">
        <f>Port[[#This Row],[EAD (CNY)]]*Port[[#This Row],[CNY -&gt; FCY]]</f>
        <v>79931791.178151205</v>
      </c>
      <c r="Y342" s="507">
        <f>Port[[#This Row],[EAD_Interest (CNY)]]*Port[[#This Row],[CNY -&gt; FCY]]</f>
        <v>1637084.9315068424</v>
      </c>
      <c r="Z342" s="507">
        <f>Port[[#This Row],[ECL_Drawn (CNY)]]*Port[[#This Row],[CNY -&gt; FCY]]</f>
        <v>65343.283541467623</v>
      </c>
      <c r="AA342" s="507">
        <f>Port[[#This Row],[ECL_Undrawn (CNY)]]*Port[[#This Row],[CNY -&gt; FCY]]</f>
        <v>0</v>
      </c>
      <c r="AB342" s="507">
        <f>Port[[#This Row],[ECL (CNY)]]*Port[[#This Row],[CNY -&gt; FCY]]</f>
        <v>65343.283541467623</v>
      </c>
      <c r="AC342" s="507">
        <f>Port[[#This Row],[ECL_Interest (CNY)]]*Port[[#This Row],[CNY -&gt; FCY]]</f>
        <v>1338.2973568363611</v>
      </c>
      <c r="AD342" s="507">
        <f>Port[[#This Row],[EAD_Drawn (CNY)]]*Port[[#This Row],[CNY -&gt; THB]]</f>
        <v>419545985.53588003</v>
      </c>
      <c r="AE342" s="507">
        <f>Port[[#This Row],[EAD_Undrawn (CNY)]]*Port[[#This Row],[CNY -&gt; THB]]</f>
        <v>0</v>
      </c>
      <c r="AF342" s="507">
        <f>Port[[#This Row],[EAD (CNY)]]*Port[[#This Row],[CNY -&gt; THB]]</f>
        <v>419545985.53588003</v>
      </c>
      <c r="AG342" s="507">
        <f>Port[[#This Row],[EAD_Interest (CNY)]]*Port[[#This Row],[CNY -&gt; THB]]</f>
        <v>8592731.3884931151</v>
      </c>
      <c r="AH342" s="507">
        <f>Port[[#This Row],[ECL_Drawn (CNY)]]*Port[[#This Row],[CNY -&gt; THB]]</f>
        <v>342973.82665245526</v>
      </c>
      <c r="AI342" s="507">
        <f>Port[[#This Row],[ECL_Undrawn (CNY)]]*Port[[#This Row],[CNY -&gt; THB]]</f>
        <v>0</v>
      </c>
      <c r="AJ342" s="507">
        <f>Port[[#This Row],[ECL (CNY)]]*Port[[#This Row],[CNY -&gt; THB]]</f>
        <v>342973.82665245526</v>
      </c>
      <c r="AK342" s="507">
        <f>Port[[#This Row],[ECL_Interest (CNY)]]*Port[[#This Row],[CNY -&gt; THB]]</f>
        <v>7024.4551665626923</v>
      </c>
      <c r="AL342" s="507">
        <f>Port[[#This Row],[EAD (THB)]]*Port[[#This Row],[PD_avg]]</f>
        <v>381082.02961383923</v>
      </c>
      <c r="AM342" s="507">
        <f>Port[[#This Row],[EAD_Interest (THB)]]*Port[[#This Row],[PD_avg]]</f>
        <v>7804.9501850696588</v>
      </c>
      <c r="AN342" s="507">
        <f>Port[[#This Row],[EAD (THB)]]*Port[[#This Row],[LGD_avg]]</f>
        <v>377591386.982292</v>
      </c>
      <c r="AO342" s="507">
        <f>Port[[#This Row],[EAD_Interest (THB)]]*Port[[#This Row],[LGD_avg]]</f>
        <v>7733458.2496438026</v>
      </c>
      <c r="AP342" s="507">
        <f>Port[[#This Row],[EAD_Drawn (THB)]]+Port[[#This Row],[EAD_Interest (THB)]]</f>
        <v>428138716.92437315</v>
      </c>
      <c r="AQ3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349998.28181901795</v>
      </c>
      <c r="AR342" s="522">
        <f>MAX(Port[[#This Row],[ECL (THB)]]+Port[[#This Row],[ECL_Interest (THB)]], Port[[#This Row],[ECL CBIRC (THB)]])</f>
        <v>349998.28181901795</v>
      </c>
    </row>
    <row r="343" spans="1:44">
      <c r="A343" s="2" t="s">
        <v>1029</v>
      </c>
      <c r="B343" s="2" t="s">
        <v>288</v>
      </c>
      <c r="C343" s="2" t="s">
        <v>278</v>
      </c>
      <c r="D343" s="2" t="s">
        <v>25</v>
      </c>
      <c r="E343" s="2" t="s">
        <v>280</v>
      </c>
      <c r="F343" s="2" t="s">
        <v>281</v>
      </c>
      <c r="G343" s="2" t="s">
        <v>21</v>
      </c>
      <c r="H343">
        <v>1</v>
      </c>
      <c r="I343" s="2" t="s">
        <v>526</v>
      </c>
      <c r="J343" s="505">
        <v>9.0832004774658653E-4</v>
      </c>
      <c r="K343" s="505">
        <v>0.9</v>
      </c>
      <c r="L343" s="3">
        <v>1</v>
      </c>
      <c r="M343" s="3">
        <v>5.2488000000000001</v>
      </c>
      <c r="N343" s="507">
        <v>50059515.218214869</v>
      </c>
      <c r="O343" s="507">
        <v>0</v>
      </c>
      <c r="P343" s="507">
        <v>50059515.218214869</v>
      </c>
      <c r="Q343" s="507">
        <v>778040.83930357092</v>
      </c>
      <c r="R343" s="507">
        <v>40923.055127861917</v>
      </c>
      <c r="S343" s="507">
        <v>0</v>
      </c>
      <c r="T343" s="507">
        <v>40923.055127861917</v>
      </c>
      <c r="U343" s="507">
        <v>636.03908307451252</v>
      </c>
      <c r="V343" s="507">
        <f>Port[[#This Row],[EAD_Drawn (CNY)]]*Port[[#This Row],[CNY -&gt; FCY]]</f>
        <v>50059515.218214869</v>
      </c>
      <c r="W343" s="507">
        <f>Port[[#This Row],[EAD_Undrawn (CNY)]]*Port[[#This Row],[CNY -&gt; FCY]]</f>
        <v>0</v>
      </c>
      <c r="X343" s="507">
        <f>Port[[#This Row],[EAD (CNY)]]*Port[[#This Row],[CNY -&gt; FCY]]</f>
        <v>50059515.218214869</v>
      </c>
      <c r="Y343" s="507">
        <f>Port[[#This Row],[EAD_Interest (CNY)]]*Port[[#This Row],[CNY -&gt; FCY]]</f>
        <v>778040.83930357092</v>
      </c>
      <c r="Z343" s="507">
        <f>Port[[#This Row],[ECL_Drawn (CNY)]]*Port[[#This Row],[CNY -&gt; FCY]]</f>
        <v>40923.055127861917</v>
      </c>
      <c r="AA343" s="507">
        <f>Port[[#This Row],[ECL_Undrawn (CNY)]]*Port[[#This Row],[CNY -&gt; FCY]]</f>
        <v>0</v>
      </c>
      <c r="AB343" s="507">
        <f>Port[[#This Row],[ECL (CNY)]]*Port[[#This Row],[CNY -&gt; FCY]]</f>
        <v>40923.055127861917</v>
      </c>
      <c r="AC343" s="507">
        <f>Port[[#This Row],[ECL_Interest (CNY)]]*Port[[#This Row],[CNY -&gt; FCY]]</f>
        <v>636.03908307451252</v>
      </c>
      <c r="AD343" s="507">
        <f>Port[[#This Row],[EAD_Drawn (CNY)]]*Port[[#This Row],[CNY -&gt; THB]]</f>
        <v>262752383.47736621</v>
      </c>
      <c r="AE343" s="507">
        <f>Port[[#This Row],[EAD_Undrawn (CNY)]]*Port[[#This Row],[CNY -&gt; THB]]</f>
        <v>0</v>
      </c>
      <c r="AF343" s="507">
        <f>Port[[#This Row],[EAD (CNY)]]*Port[[#This Row],[CNY -&gt; THB]]</f>
        <v>262752383.47736621</v>
      </c>
      <c r="AG343" s="507">
        <f>Port[[#This Row],[EAD_Interest (CNY)]]*Port[[#This Row],[CNY -&gt; THB]]</f>
        <v>4083780.757336583</v>
      </c>
      <c r="AH343" s="507">
        <f>Port[[#This Row],[ECL_Drawn (CNY)]]*Port[[#This Row],[CNY -&gt; THB]]</f>
        <v>214796.93175512162</v>
      </c>
      <c r="AI343" s="507">
        <f>Port[[#This Row],[ECL_Undrawn (CNY)]]*Port[[#This Row],[CNY -&gt; THB]]</f>
        <v>0</v>
      </c>
      <c r="AJ343" s="507">
        <f>Port[[#This Row],[ECL (CNY)]]*Port[[#This Row],[CNY -&gt; THB]]</f>
        <v>214796.93175512162</v>
      </c>
      <c r="AK343" s="507">
        <f>Port[[#This Row],[ECL_Interest (CNY)]]*Port[[#This Row],[CNY -&gt; THB]]</f>
        <v>3338.4419392415016</v>
      </c>
      <c r="AL343" s="507">
        <f>Port[[#This Row],[EAD (THB)]]*Port[[#This Row],[PD_avg]]</f>
        <v>238663.25750569068</v>
      </c>
      <c r="AM343" s="507">
        <f>Port[[#This Row],[EAD_Interest (THB)]]*Port[[#This Row],[PD_avg]]</f>
        <v>3709.3799324905563</v>
      </c>
      <c r="AN343" s="507">
        <f>Port[[#This Row],[EAD (THB)]]*Port[[#This Row],[LGD_avg]]</f>
        <v>236477145.12962958</v>
      </c>
      <c r="AO343" s="507">
        <f>Port[[#This Row],[EAD_Interest (THB)]]*Port[[#This Row],[LGD_avg]]</f>
        <v>3675402.6816029246</v>
      </c>
      <c r="AP343" s="507">
        <f>Port[[#This Row],[EAD_Drawn (THB)]]+Port[[#This Row],[EAD_Interest (THB)]]</f>
        <v>266836164.2347028</v>
      </c>
      <c r="AQ3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218135.37369436314</v>
      </c>
      <c r="AR343" s="522">
        <f>MAX(Port[[#This Row],[ECL (THB)]]+Port[[#This Row],[ECL_Interest (THB)]], Port[[#This Row],[ECL CBIRC (THB)]])</f>
        <v>218135.37369436314</v>
      </c>
    </row>
    <row r="344" spans="1:44">
      <c r="A344" s="2" t="s">
        <v>1030</v>
      </c>
      <c r="B344" s="2" t="s">
        <v>288</v>
      </c>
      <c r="C344" s="2" t="s">
        <v>278</v>
      </c>
      <c r="D344" s="2" t="s">
        <v>25</v>
      </c>
      <c r="E344" s="2" t="s">
        <v>280</v>
      </c>
      <c r="F344" s="2" t="s">
        <v>281</v>
      </c>
      <c r="G344" s="2" t="s">
        <v>21</v>
      </c>
      <c r="H344">
        <v>1</v>
      </c>
      <c r="I344" s="2" t="s">
        <v>526</v>
      </c>
      <c r="J344" s="505">
        <v>9.0832004774658653E-4</v>
      </c>
      <c r="K344" s="505">
        <v>0.9</v>
      </c>
      <c r="L344" s="3">
        <v>1</v>
      </c>
      <c r="M344" s="3">
        <v>5.2488000000000001</v>
      </c>
      <c r="N344" s="507">
        <v>50061496.288451068</v>
      </c>
      <c r="O344" s="507">
        <v>0</v>
      </c>
      <c r="P344" s="507">
        <v>50061496.288451068</v>
      </c>
      <c r="Q344" s="507">
        <v>778071.62972458429</v>
      </c>
      <c r="R344" s="507">
        <v>40924.674629092297</v>
      </c>
      <c r="S344" s="507">
        <v>0</v>
      </c>
      <c r="T344" s="507">
        <v>40924.674629092297</v>
      </c>
      <c r="U344" s="507">
        <v>636.06425387552895</v>
      </c>
      <c r="V344" s="507">
        <f>Port[[#This Row],[EAD_Drawn (CNY)]]*Port[[#This Row],[CNY -&gt; FCY]]</f>
        <v>50061496.288451068</v>
      </c>
      <c r="W344" s="507">
        <f>Port[[#This Row],[EAD_Undrawn (CNY)]]*Port[[#This Row],[CNY -&gt; FCY]]</f>
        <v>0</v>
      </c>
      <c r="X344" s="507">
        <f>Port[[#This Row],[EAD (CNY)]]*Port[[#This Row],[CNY -&gt; FCY]]</f>
        <v>50061496.288451068</v>
      </c>
      <c r="Y344" s="507">
        <f>Port[[#This Row],[EAD_Interest (CNY)]]*Port[[#This Row],[CNY -&gt; FCY]]</f>
        <v>778071.62972458429</v>
      </c>
      <c r="Z344" s="507">
        <f>Port[[#This Row],[ECL_Drawn (CNY)]]*Port[[#This Row],[CNY -&gt; FCY]]</f>
        <v>40924.674629092297</v>
      </c>
      <c r="AA344" s="507">
        <f>Port[[#This Row],[ECL_Undrawn (CNY)]]*Port[[#This Row],[CNY -&gt; FCY]]</f>
        <v>0</v>
      </c>
      <c r="AB344" s="507">
        <f>Port[[#This Row],[ECL (CNY)]]*Port[[#This Row],[CNY -&gt; FCY]]</f>
        <v>40924.674629092297</v>
      </c>
      <c r="AC344" s="507">
        <f>Port[[#This Row],[ECL_Interest (CNY)]]*Port[[#This Row],[CNY -&gt; FCY]]</f>
        <v>636.06425387552895</v>
      </c>
      <c r="AD344" s="507">
        <f>Port[[#This Row],[EAD_Drawn (CNY)]]*Port[[#This Row],[CNY -&gt; THB]]</f>
        <v>262762781.71882197</v>
      </c>
      <c r="AE344" s="507">
        <f>Port[[#This Row],[EAD_Undrawn (CNY)]]*Port[[#This Row],[CNY -&gt; THB]]</f>
        <v>0</v>
      </c>
      <c r="AF344" s="507">
        <f>Port[[#This Row],[EAD (CNY)]]*Port[[#This Row],[CNY -&gt; THB]]</f>
        <v>262762781.71882197</v>
      </c>
      <c r="AG344" s="507">
        <f>Port[[#This Row],[EAD_Interest (CNY)]]*Port[[#This Row],[CNY -&gt; THB]]</f>
        <v>4083942.3700983981</v>
      </c>
      <c r="AH344" s="507">
        <f>Port[[#This Row],[ECL_Drawn (CNY)]]*Port[[#This Row],[CNY -&gt; THB]]</f>
        <v>214805.43219317964</v>
      </c>
      <c r="AI344" s="507">
        <f>Port[[#This Row],[ECL_Undrawn (CNY)]]*Port[[#This Row],[CNY -&gt; THB]]</f>
        <v>0</v>
      </c>
      <c r="AJ344" s="507">
        <f>Port[[#This Row],[ECL (CNY)]]*Port[[#This Row],[CNY -&gt; THB]]</f>
        <v>214805.43219317964</v>
      </c>
      <c r="AK344" s="507">
        <f>Port[[#This Row],[ECL_Interest (CNY)]]*Port[[#This Row],[CNY -&gt; THB]]</f>
        <v>3338.5740557418762</v>
      </c>
      <c r="AL344" s="507">
        <f>Port[[#This Row],[EAD (THB)]]*Port[[#This Row],[PD_avg]]</f>
        <v>238672.70243686627</v>
      </c>
      <c r="AM344" s="507">
        <f>Port[[#This Row],[EAD_Interest (THB)]]*Port[[#This Row],[PD_avg]]</f>
        <v>3709.5267286020849</v>
      </c>
      <c r="AN344" s="507">
        <f>Port[[#This Row],[EAD (THB)]]*Port[[#This Row],[LGD_avg]]</f>
        <v>236486503.54693979</v>
      </c>
      <c r="AO344" s="507">
        <f>Port[[#This Row],[EAD_Interest (THB)]]*Port[[#This Row],[LGD_avg]]</f>
        <v>3675548.1330885584</v>
      </c>
      <c r="AP344" s="507">
        <f>Port[[#This Row],[EAD_Drawn (THB)]]+Port[[#This Row],[EAD_Interest (THB)]]</f>
        <v>266846724.08892038</v>
      </c>
      <c r="AQ3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218144.00624892153</v>
      </c>
      <c r="AR344" s="522">
        <f>MAX(Port[[#This Row],[ECL (THB)]]+Port[[#This Row],[ECL_Interest (THB)]], Port[[#This Row],[ECL CBIRC (THB)]])</f>
        <v>218144.00624892153</v>
      </c>
    </row>
    <row r="345" spans="1:44">
      <c r="A345" s="2" t="s">
        <v>1031</v>
      </c>
      <c r="B345" s="2" t="s">
        <v>288</v>
      </c>
      <c r="C345" s="2" t="s">
        <v>278</v>
      </c>
      <c r="D345" s="2" t="s">
        <v>25</v>
      </c>
      <c r="E345" s="2" t="s">
        <v>280</v>
      </c>
      <c r="F345" s="2" t="s">
        <v>281</v>
      </c>
      <c r="G345" s="2" t="s">
        <v>21</v>
      </c>
      <c r="H345">
        <v>1</v>
      </c>
      <c r="I345" s="2" t="s">
        <v>526</v>
      </c>
      <c r="J345" s="505">
        <v>9.0832004774658653E-4</v>
      </c>
      <c r="K345" s="505">
        <v>0.8999999999999998</v>
      </c>
      <c r="L345" s="3">
        <v>1</v>
      </c>
      <c r="M345" s="3">
        <v>5.2488000000000001</v>
      </c>
      <c r="N345" s="507">
        <v>50057583.674734563</v>
      </c>
      <c r="O345" s="507">
        <v>0</v>
      </c>
      <c r="P345" s="507">
        <v>50057583.674734563</v>
      </c>
      <c r="Q345" s="507">
        <v>778010.81864308286</v>
      </c>
      <c r="R345" s="507">
        <v>40921.47611416228</v>
      </c>
      <c r="S345" s="507">
        <v>0</v>
      </c>
      <c r="T345" s="507">
        <v>40921.47611416228</v>
      </c>
      <c r="U345" s="507">
        <v>636.01454154352132</v>
      </c>
      <c r="V345" s="507">
        <f>Port[[#This Row],[EAD_Drawn (CNY)]]*Port[[#This Row],[CNY -&gt; FCY]]</f>
        <v>50057583.674734563</v>
      </c>
      <c r="W345" s="507">
        <f>Port[[#This Row],[EAD_Undrawn (CNY)]]*Port[[#This Row],[CNY -&gt; FCY]]</f>
        <v>0</v>
      </c>
      <c r="X345" s="507">
        <f>Port[[#This Row],[EAD (CNY)]]*Port[[#This Row],[CNY -&gt; FCY]]</f>
        <v>50057583.674734563</v>
      </c>
      <c r="Y345" s="507">
        <f>Port[[#This Row],[EAD_Interest (CNY)]]*Port[[#This Row],[CNY -&gt; FCY]]</f>
        <v>778010.81864308286</v>
      </c>
      <c r="Z345" s="507">
        <f>Port[[#This Row],[ECL_Drawn (CNY)]]*Port[[#This Row],[CNY -&gt; FCY]]</f>
        <v>40921.47611416228</v>
      </c>
      <c r="AA345" s="507">
        <f>Port[[#This Row],[ECL_Undrawn (CNY)]]*Port[[#This Row],[CNY -&gt; FCY]]</f>
        <v>0</v>
      </c>
      <c r="AB345" s="507">
        <f>Port[[#This Row],[ECL (CNY)]]*Port[[#This Row],[CNY -&gt; FCY]]</f>
        <v>40921.47611416228</v>
      </c>
      <c r="AC345" s="507">
        <f>Port[[#This Row],[ECL_Interest (CNY)]]*Port[[#This Row],[CNY -&gt; FCY]]</f>
        <v>636.01454154352132</v>
      </c>
      <c r="AD345" s="507">
        <f>Port[[#This Row],[EAD_Drawn (CNY)]]*Port[[#This Row],[CNY -&gt; THB]]</f>
        <v>262742245.19194677</v>
      </c>
      <c r="AE345" s="507">
        <f>Port[[#This Row],[EAD_Undrawn (CNY)]]*Port[[#This Row],[CNY -&gt; THB]]</f>
        <v>0</v>
      </c>
      <c r="AF345" s="507">
        <f>Port[[#This Row],[EAD (CNY)]]*Port[[#This Row],[CNY -&gt; THB]]</f>
        <v>262742245.19194677</v>
      </c>
      <c r="AG345" s="507">
        <f>Port[[#This Row],[EAD_Interest (CNY)]]*Port[[#This Row],[CNY -&gt; THB]]</f>
        <v>4083623.1848938134</v>
      </c>
      <c r="AH345" s="507">
        <f>Port[[#This Row],[ECL_Drawn (CNY)]]*Port[[#This Row],[CNY -&gt; THB]]</f>
        <v>214788.64382801499</v>
      </c>
      <c r="AI345" s="507">
        <f>Port[[#This Row],[ECL_Undrawn (CNY)]]*Port[[#This Row],[CNY -&gt; THB]]</f>
        <v>0</v>
      </c>
      <c r="AJ345" s="507">
        <f>Port[[#This Row],[ECL (CNY)]]*Port[[#This Row],[CNY -&gt; THB]]</f>
        <v>214788.64382801499</v>
      </c>
      <c r="AK345" s="507">
        <f>Port[[#This Row],[ECL_Interest (CNY)]]*Port[[#This Row],[CNY -&gt; THB]]</f>
        <v>3338.3131256536349</v>
      </c>
      <c r="AL345" s="507">
        <f>Port[[#This Row],[EAD (THB)]]*Port[[#This Row],[PD_avg]]</f>
        <v>238654.04869779444</v>
      </c>
      <c r="AM345" s="507">
        <f>Port[[#This Row],[EAD_Interest (THB)]]*Port[[#This Row],[PD_avg]]</f>
        <v>3709.2368062818164</v>
      </c>
      <c r="AN345" s="507">
        <f>Port[[#This Row],[EAD (THB)]]*Port[[#This Row],[LGD_avg]]</f>
        <v>236468020.67275205</v>
      </c>
      <c r="AO345" s="507">
        <f>Port[[#This Row],[EAD_Interest (THB)]]*Port[[#This Row],[LGD_avg]]</f>
        <v>3675260.8664044314</v>
      </c>
      <c r="AP345" s="507">
        <f>Port[[#This Row],[EAD_Drawn (THB)]]+Port[[#This Row],[EAD_Interest (THB)]]</f>
        <v>266825868.37684059</v>
      </c>
      <c r="AQ3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218126.95695366862</v>
      </c>
      <c r="AR345" s="522">
        <f>MAX(Port[[#This Row],[ECL (THB)]]+Port[[#This Row],[ECL_Interest (THB)]], Port[[#This Row],[ECL CBIRC (THB)]])</f>
        <v>218126.95695366862</v>
      </c>
    </row>
    <row r="346" spans="1:44">
      <c r="A346" s="2" t="s">
        <v>1032</v>
      </c>
      <c r="B346" s="2" t="s">
        <v>288</v>
      </c>
      <c r="C346" s="2" t="s">
        <v>278</v>
      </c>
      <c r="D346" s="2" t="s">
        <v>25</v>
      </c>
      <c r="E346" s="2" t="s">
        <v>280</v>
      </c>
      <c r="F346" s="2" t="s">
        <v>281</v>
      </c>
      <c r="G346" s="2" t="s">
        <v>21</v>
      </c>
      <c r="H346">
        <v>1</v>
      </c>
      <c r="I346" s="2" t="s">
        <v>526</v>
      </c>
      <c r="J346" s="505">
        <v>9.0832004774658653E-4</v>
      </c>
      <c r="K346" s="505">
        <v>0.9</v>
      </c>
      <c r="L346" s="3">
        <v>1</v>
      </c>
      <c r="M346" s="3">
        <v>5.2488000000000001</v>
      </c>
      <c r="N346" s="507">
        <v>119495333.20589256</v>
      </c>
      <c r="O346" s="507">
        <v>0</v>
      </c>
      <c r="P346" s="507">
        <v>119495333.20589256</v>
      </c>
      <c r="Q346" s="507">
        <v>1209484.9293676829</v>
      </c>
      <c r="R346" s="507">
        <v>97686.006086763533</v>
      </c>
      <c r="S346" s="507">
        <v>0</v>
      </c>
      <c r="T346" s="507">
        <v>97686.006086763533</v>
      </c>
      <c r="U346" s="507">
        <v>988.73946791282765</v>
      </c>
      <c r="V346" s="507">
        <f>Port[[#This Row],[EAD_Drawn (CNY)]]*Port[[#This Row],[CNY -&gt; FCY]]</f>
        <v>119495333.20589256</v>
      </c>
      <c r="W346" s="507">
        <f>Port[[#This Row],[EAD_Undrawn (CNY)]]*Port[[#This Row],[CNY -&gt; FCY]]</f>
        <v>0</v>
      </c>
      <c r="X346" s="507">
        <f>Port[[#This Row],[EAD (CNY)]]*Port[[#This Row],[CNY -&gt; FCY]]</f>
        <v>119495333.20589256</v>
      </c>
      <c r="Y346" s="507">
        <f>Port[[#This Row],[EAD_Interest (CNY)]]*Port[[#This Row],[CNY -&gt; FCY]]</f>
        <v>1209484.9293676829</v>
      </c>
      <c r="Z346" s="507">
        <f>Port[[#This Row],[ECL_Drawn (CNY)]]*Port[[#This Row],[CNY -&gt; FCY]]</f>
        <v>97686.006086763533</v>
      </c>
      <c r="AA346" s="507">
        <f>Port[[#This Row],[ECL_Undrawn (CNY)]]*Port[[#This Row],[CNY -&gt; FCY]]</f>
        <v>0</v>
      </c>
      <c r="AB346" s="507">
        <f>Port[[#This Row],[ECL (CNY)]]*Port[[#This Row],[CNY -&gt; FCY]]</f>
        <v>97686.006086763533</v>
      </c>
      <c r="AC346" s="507">
        <f>Port[[#This Row],[ECL_Interest (CNY)]]*Port[[#This Row],[CNY -&gt; FCY]]</f>
        <v>988.73946791282765</v>
      </c>
      <c r="AD346" s="507">
        <f>Port[[#This Row],[EAD_Drawn (CNY)]]*Port[[#This Row],[CNY -&gt; THB]]</f>
        <v>627207104.93108892</v>
      </c>
      <c r="AE346" s="507">
        <f>Port[[#This Row],[EAD_Undrawn (CNY)]]*Port[[#This Row],[CNY -&gt; THB]]</f>
        <v>0</v>
      </c>
      <c r="AF346" s="507">
        <f>Port[[#This Row],[EAD (CNY)]]*Port[[#This Row],[CNY -&gt; THB]]</f>
        <v>627207104.93108892</v>
      </c>
      <c r="AG346" s="507">
        <f>Port[[#This Row],[EAD_Interest (CNY)]]*Port[[#This Row],[CNY -&gt; THB]]</f>
        <v>6348344.497265094</v>
      </c>
      <c r="AH346" s="507">
        <f>Port[[#This Row],[ECL_Drawn (CNY)]]*Port[[#This Row],[CNY -&gt; THB]]</f>
        <v>512734.30874820444</v>
      </c>
      <c r="AI346" s="507">
        <f>Port[[#This Row],[ECL_Undrawn (CNY)]]*Port[[#This Row],[CNY -&gt; THB]]</f>
        <v>0</v>
      </c>
      <c r="AJ346" s="507">
        <f>Port[[#This Row],[ECL (CNY)]]*Port[[#This Row],[CNY -&gt; THB]]</f>
        <v>512734.30874820444</v>
      </c>
      <c r="AK346" s="507">
        <f>Port[[#This Row],[ECL_Interest (CNY)]]*Port[[#This Row],[CNY -&gt; THB]]</f>
        <v>5189.6957191808497</v>
      </c>
      <c r="AL346" s="507">
        <f>Port[[#This Row],[EAD (THB)]]*Port[[#This Row],[PD_avg]]</f>
        <v>569704.78749800497</v>
      </c>
      <c r="AM346" s="507">
        <f>Port[[#This Row],[EAD_Interest (THB)]]*Port[[#This Row],[PD_avg]]</f>
        <v>5766.3285768676096</v>
      </c>
      <c r="AN346" s="507">
        <f>Port[[#This Row],[EAD (THB)]]*Port[[#This Row],[LGD_avg]]</f>
        <v>564486394.43798006</v>
      </c>
      <c r="AO346" s="507">
        <f>Port[[#This Row],[EAD_Interest (THB)]]*Port[[#This Row],[LGD_avg]]</f>
        <v>5713510.047538585</v>
      </c>
      <c r="AP346" s="507">
        <f>Port[[#This Row],[EAD_Drawn (THB)]]+Port[[#This Row],[EAD_Interest (THB)]]</f>
        <v>633555449.42835402</v>
      </c>
      <c r="AQ3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517924.0044673853</v>
      </c>
      <c r="AR346" s="522">
        <f>MAX(Port[[#This Row],[ECL (THB)]]+Port[[#This Row],[ECL_Interest (THB)]], Port[[#This Row],[ECL CBIRC (THB)]])</f>
        <v>517924.0044673853</v>
      </c>
    </row>
    <row r="347" spans="1:44">
      <c r="A347" s="2" t="s">
        <v>1033</v>
      </c>
      <c r="B347" s="2" t="s">
        <v>288</v>
      </c>
      <c r="C347" s="2" t="s">
        <v>278</v>
      </c>
      <c r="D347" s="2" t="s">
        <v>25</v>
      </c>
      <c r="E347" s="2" t="s">
        <v>280</v>
      </c>
      <c r="F347" s="2" t="s">
        <v>281</v>
      </c>
      <c r="G347" s="2" t="s">
        <v>21</v>
      </c>
      <c r="H347">
        <v>1</v>
      </c>
      <c r="I347" s="2" t="s">
        <v>526</v>
      </c>
      <c r="J347" s="505">
        <v>9.0832004774658653E-4</v>
      </c>
      <c r="K347" s="505">
        <v>0.9</v>
      </c>
      <c r="L347" s="3">
        <v>1</v>
      </c>
      <c r="M347" s="3">
        <v>5.2488000000000001</v>
      </c>
      <c r="N347" s="507">
        <v>119495333.20589256</v>
      </c>
      <c r="O347" s="507">
        <v>0</v>
      </c>
      <c r="P347" s="507">
        <v>119495333.20589256</v>
      </c>
      <c r="Q347" s="507">
        <v>1209484.9293676829</v>
      </c>
      <c r="R347" s="507">
        <v>97686.006086763533</v>
      </c>
      <c r="S347" s="507">
        <v>0</v>
      </c>
      <c r="T347" s="507">
        <v>97686.006086763533</v>
      </c>
      <c r="U347" s="507">
        <v>988.73946791282765</v>
      </c>
      <c r="V347" s="507">
        <f>Port[[#This Row],[EAD_Drawn (CNY)]]*Port[[#This Row],[CNY -&gt; FCY]]</f>
        <v>119495333.20589256</v>
      </c>
      <c r="W347" s="507">
        <f>Port[[#This Row],[EAD_Undrawn (CNY)]]*Port[[#This Row],[CNY -&gt; FCY]]</f>
        <v>0</v>
      </c>
      <c r="X347" s="507">
        <f>Port[[#This Row],[EAD (CNY)]]*Port[[#This Row],[CNY -&gt; FCY]]</f>
        <v>119495333.20589256</v>
      </c>
      <c r="Y347" s="507">
        <f>Port[[#This Row],[EAD_Interest (CNY)]]*Port[[#This Row],[CNY -&gt; FCY]]</f>
        <v>1209484.9293676829</v>
      </c>
      <c r="Z347" s="507">
        <f>Port[[#This Row],[ECL_Drawn (CNY)]]*Port[[#This Row],[CNY -&gt; FCY]]</f>
        <v>97686.006086763533</v>
      </c>
      <c r="AA347" s="507">
        <f>Port[[#This Row],[ECL_Undrawn (CNY)]]*Port[[#This Row],[CNY -&gt; FCY]]</f>
        <v>0</v>
      </c>
      <c r="AB347" s="507">
        <f>Port[[#This Row],[ECL (CNY)]]*Port[[#This Row],[CNY -&gt; FCY]]</f>
        <v>97686.006086763533</v>
      </c>
      <c r="AC347" s="507">
        <f>Port[[#This Row],[ECL_Interest (CNY)]]*Port[[#This Row],[CNY -&gt; FCY]]</f>
        <v>988.73946791282765</v>
      </c>
      <c r="AD347" s="507">
        <f>Port[[#This Row],[EAD_Drawn (CNY)]]*Port[[#This Row],[CNY -&gt; THB]]</f>
        <v>627207104.93108892</v>
      </c>
      <c r="AE347" s="507">
        <f>Port[[#This Row],[EAD_Undrawn (CNY)]]*Port[[#This Row],[CNY -&gt; THB]]</f>
        <v>0</v>
      </c>
      <c r="AF347" s="507">
        <f>Port[[#This Row],[EAD (CNY)]]*Port[[#This Row],[CNY -&gt; THB]]</f>
        <v>627207104.93108892</v>
      </c>
      <c r="AG347" s="507">
        <f>Port[[#This Row],[EAD_Interest (CNY)]]*Port[[#This Row],[CNY -&gt; THB]]</f>
        <v>6348344.497265094</v>
      </c>
      <c r="AH347" s="507">
        <f>Port[[#This Row],[ECL_Drawn (CNY)]]*Port[[#This Row],[CNY -&gt; THB]]</f>
        <v>512734.30874820444</v>
      </c>
      <c r="AI347" s="507">
        <f>Port[[#This Row],[ECL_Undrawn (CNY)]]*Port[[#This Row],[CNY -&gt; THB]]</f>
        <v>0</v>
      </c>
      <c r="AJ347" s="507">
        <f>Port[[#This Row],[ECL (CNY)]]*Port[[#This Row],[CNY -&gt; THB]]</f>
        <v>512734.30874820444</v>
      </c>
      <c r="AK347" s="507">
        <f>Port[[#This Row],[ECL_Interest (CNY)]]*Port[[#This Row],[CNY -&gt; THB]]</f>
        <v>5189.6957191808497</v>
      </c>
      <c r="AL347" s="507">
        <f>Port[[#This Row],[EAD (THB)]]*Port[[#This Row],[PD_avg]]</f>
        <v>569704.78749800497</v>
      </c>
      <c r="AM347" s="507">
        <f>Port[[#This Row],[EAD_Interest (THB)]]*Port[[#This Row],[PD_avg]]</f>
        <v>5766.3285768676096</v>
      </c>
      <c r="AN347" s="507">
        <f>Port[[#This Row],[EAD (THB)]]*Port[[#This Row],[LGD_avg]]</f>
        <v>564486394.43798006</v>
      </c>
      <c r="AO347" s="507">
        <f>Port[[#This Row],[EAD_Interest (THB)]]*Port[[#This Row],[LGD_avg]]</f>
        <v>5713510.047538585</v>
      </c>
      <c r="AP347" s="507">
        <f>Port[[#This Row],[EAD_Drawn (THB)]]+Port[[#This Row],[EAD_Interest (THB)]]</f>
        <v>633555449.42835402</v>
      </c>
      <c r="AQ3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517924.0044673853</v>
      </c>
      <c r="AR347" s="522">
        <f>MAX(Port[[#This Row],[ECL (THB)]]+Port[[#This Row],[ECL_Interest (THB)]], Port[[#This Row],[ECL CBIRC (THB)]])</f>
        <v>517924.0044673853</v>
      </c>
    </row>
    <row r="348" spans="1:44">
      <c r="A348" s="2" t="s">
        <v>1034</v>
      </c>
      <c r="B348" s="2" t="s">
        <v>288</v>
      </c>
      <c r="C348" s="2" t="s">
        <v>278</v>
      </c>
      <c r="D348" s="2" t="s">
        <v>25</v>
      </c>
      <c r="E348" s="2" t="s">
        <v>280</v>
      </c>
      <c r="F348" s="2" t="s">
        <v>281</v>
      </c>
      <c r="G348" s="2" t="s">
        <v>21</v>
      </c>
      <c r="H348">
        <v>1</v>
      </c>
      <c r="I348" s="2" t="s">
        <v>526</v>
      </c>
      <c r="J348" s="505">
        <v>9.0832004774658653E-4</v>
      </c>
      <c r="K348" s="505">
        <v>0.89999999999999991</v>
      </c>
      <c r="L348" s="3">
        <v>1</v>
      </c>
      <c r="M348" s="3">
        <v>5.2488000000000001</v>
      </c>
      <c r="N348" s="507">
        <v>60001813.167451628</v>
      </c>
      <c r="O348" s="507">
        <v>0</v>
      </c>
      <c r="P348" s="507">
        <v>60001813.167451628</v>
      </c>
      <c r="Q348" s="507">
        <v>607314.83660308749</v>
      </c>
      <c r="R348" s="507">
        <v>49050.764821027289</v>
      </c>
      <c r="S348" s="507">
        <v>0</v>
      </c>
      <c r="T348" s="507">
        <v>49050.764821027289</v>
      </c>
      <c r="U348" s="507">
        <v>496.47261724247414</v>
      </c>
      <c r="V348" s="507">
        <f>Port[[#This Row],[EAD_Drawn (CNY)]]*Port[[#This Row],[CNY -&gt; FCY]]</f>
        <v>60001813.167451628</v>
      </c>
      <c r="W348" s="507">
        <f>Port[[#This Row],[EAD_Undrawn (CNY)]]*Port[[#This Row],[CNY -&gt; FCY]]</f>
        <v>0</v>
      </c>
      <c r="X348" s="507">
        <f>Port[[#This Row],[EAD (CNY)]]*Port[[#This Row],[CNY -&gt; FCY]]</f>
        <v>60001813.167451628</v>
      </c>
      <c r="Y348" s="507">
        <f>Port[[#This Row],[EAD_Interest (CNY)]]*Port[[#This Row],[CNY -&gt; FCY]]</f>
        <v>607314.83660308749</v>
      </c>
      <c r="Z348" s="507">
        <f>Port[[#This Row],[ECL_Drawn (CNY)]]*Port[[#This Row],[CNY -&gt; FCY]]</f>
        <v>49050.764821027289</v>
      </c>
      <c r="AA348" s="507">
        <f>Port[[#This Row],[ECL_Undrawn (CNY)]]*Port[[#This Row],[CNY -&gt; FCY]]</f>
        <v>0</v>
      </c>
      <c r="AB348" s="507">
        <f>Port[[#This Row],[ECL (CNY)]]*Port[[#This Row],[CNY -&gt; FCY]]</f>
        <v>49050.764821027289</v>
      </c>
      <c r="AC348" s="507">
        <f>Port[[#This Row],[ECL_Interest (CNY)]]*Port[[#This Row],[CNY -&gt; FCY]]</f>
        <v>496.47261724247414</v>
      </c>
      <c r="AD348" s="507">
        <f>Port[[#This Row],[EAD_Drawn (CNY)]]*Port[[#This Row],[CNY -&gt; THB]]</f>
        <v>314937516.95332009</v>
      </c>
      <c r="AE348" s="507">
        <f>Port[[#This Row],[EAD_Undrawn (CNY)]]*Port[[#This Row],[CNY -&gt; THB]]</f>
        <v>0</v>
      </c>
      <c r="AF348" s="507">
        <f>Port[[#This Row],[EAD (CNY)]]*Port[[#This Row],[CNY -&gt; THB]]</f>
        <v>314937516.95332009</v>
      </c>
      <c r="AG348" s="507">
        <f>Port[[#This Row],[EAD_Interest (CNY)]]*Port[[#This Row],[CNY -&gt; THB]]</f>
        <v>3187674.1143622855</v>
      </c>
      <c r="AH348" s="507">
        <f>Port[[#This Row],[ECL_Drawn (CNY)]]*Port[[#This Row],[CNY -&gt; THB]]</f>
        <v>257457.65439260803</v>
      </c>
      <c r="AI348" s="507">
        <f>Port[[#This Row],[ECL_Undrawn (CNY)]]*Port[[#This Row],[CNY -&gt; THB]]</f>
        <v>0</v>
      </c>
      <c r="AJ348" s="507">
        <f>Port[[#This Row],[ECL (CNY)]]*Port[[#This Row],[CNY -&gt; THB]]</f>
        <v>257457.65439260803</v>
      </c>
      <c r="AK348" s="507">
        <f>Port[[#This Row],[ECL_Interest (CNY)]]*Port[[#This Row],[CNY -&gt; THB]]</f>
        <v>2605.8854733822982</v>
      </c>
      <c r="AL348" s="507">
        <f>Port[[#This Row],[EAD (THB)]]*Port[[#This Row],[PD_avg]]</f>
        <v>286064.06043623108</v>
      </c>
      <c r="AM348" s="507">
        <f>Port[[#This Row],[EAD_Interest (THB)]]*Port[[#This Row],[PD_avg]]</f>
        <v>2895.428303758109</v>
      </c>
      <c r="AN348" s="507">
        <f>Port[[#This Row],[EAD (THB)]]*Port[[#This Row],[LGD_avg]]</f>
        <v>283443765.25798804</v>
      </c>
      <c r="AO348" s="507">
        <f>Port[[#This Row],[EAD_Interest (THB)]]*Port[[#This Row],[LGD_avg]]</f>
        <v>2868906.7029260565</v>
      </c>
      <c r="AP348" s="507">
        <f>Port[[#This Row],[EAD_Drawn (THB)]]+Port[[#This Row],[EAD_Interest (THB)]]</f>
        <v>318125191.06768239</v>
      </c>
      <c r="AQ3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260063.53986599034</v>
      </c>
      <c r="AR348" s="522">
        <f>MAX(Port[[#This Row],[ECL (THB)]]+Port[[#This Row],[ECL_Interest (THB)]], Port[[#This Row],[ECL CBIRC (THB)]])</f>
        <v>260063.53986599034</v>
      </c>
    </row>
    <row r="349" spans="1:44">
      <c r="A349" s="2" t="s">
        <v>1035</v>
      </c>
      <c r="B349" s="2" t="s">
        <v>288</v>
      </c>
      <c r="C349" s="2" t="s">
        <v>278</v>
      </c>
      <c r="D349" s="2" t="s">
        <v>25</v>
      </c>
      <c r="E349" s="2" t="s">
        <v>280</v>
      </c>
      <c r="F349" s="2" t="s">
        <v>281</v>
      </c>
      <c r="G349" s="2" t="s">
        <v>21</v>
      </c>
      <c r="H349">
        <v>1</v>
      </c>
      <c r="I349" s="2" t="s">
        <v>526</v>
      </c>
      <c r="J349" s="505">
        <v>9.0832004774658653E-4</v>
      </c>
      <c r="K349" s="505">
        <v>0.89999999999999991</v>
      </c>
      <c r="L349" s="3">
        <v>1</v>
      </c>
      <c r="M349" s="3">
        <v>5.2488000000000001</v>
      </c>
      <c r="N349" s="507">
        <v>120003626.33490326</v>
      </c>
      <c r="O349" s="507">
        <v>0</v>
      </c>
      <c r="P349" s="507">
        <v>120003626.33490326</v>
      </c>
      <c r="Q349" s="507">
        <v>1214629.673206175</v>
      </c>
      <c r="R349" s="507">
        <v>98101.529642054578</v>
      </c>
      <c r="S349" s="507">
        <v>0</v>
      </c>
      <c r="T349" s="507">
        <v>98101.529642054578</v>
      </c>
      <c r="U349" s="507">
        <v>992.94523448494829</v>
      </c>
      <c r="V349" s="507">
        <f>Port[[#This Row],[EAD_Drawn (CNY)]]*Port[[#This Row],[CNY -&gt; FCY]]</f>
        <v>120003626.33490326</v>
      </c>
      <c r="W349" s="507">
        <f>Port[[#This Row],[EAD_Undrawn (CNY)]]*Port[[#This Row],[CNY -&gt; FCY]]</f>
        <v>0</v>
      </c>
      <c r="X349" s="507">
        <f>Port[[#This Row],[EAD (CNY)]]*Port[[#This Row],[CNY -&gt; FCY]]</f>
        <v>120003626.33490326</v>
      </c>
      <c r="Y349" s="507">
        <f>Port[[#This Row],[EAD_Interest (CNY)]]*Port[[#This Row],[CNY -&gt; FCY]]</f>
        <v>1214629.673206175</v>
      </c>
      <c r="Z349" s="507">
        <f>Port[[#This Row],[ECL_Drawn (CNY)]]*Port[[#This Row],[CNY -&gt; FCY]]</f>
        <v>98101.529642054578</v>
      </c>
      <c r="AA349" s="507">
        <f>Port[[#This Row],[ECL_Undrawn (CNY)]]*Port[[#This Row],[CNY -&gt; FCY]]</f>
        <v>0</v>
      </c>
      <c r="AB349" s="507">
        <f>Port[[#This Row],[ECL (CNY)]]*Port[[#This Row],[CNY -&gt; FCY]]</f>
        <v>98101.529642054578</v>
      </c>
      <c r="AC349" s="507">
        <f>Port[[#This Row],[ECL_Interest (CNY)]]*Port[[#This Row],[CNY -&gt; FCY]]</f>
        <v>992.94523448494829</v>
      </c>
      <c r="AD349" s="507">
        <f>Port[[#This Row],[EAD_Drawn (CNY)]]*Port[[#This Row],[CNY -&gt; THB]]</f>
        <v>629875033.90664017</v>
      </c>
      <c r="AE349" s="507">
        <f>Port[[#This Row],[EAD_Undrawn (CNY)]]*Port[[#This Row],[CNY -&gt; THB]]</f>
        <v>0</v>
      </c>
      <c r="AF349" s="507">
        <f>Port[[#This Row],[EAD (CNY)]]*Port[[#This Row],[CNY -&gt; THB]]</f>
        <v>629875033.90664017</v>
      </c>
      <c r="AG349" s="507">
        <f>Port[[#This Row],[EAD_Interest (CNY)]]*Port[[#This Row],[CNY -&gt; THB]]</f>
        <v>6375348.2287245709</v>
      </c>
      <c r="AH349" s="507">
        <f>Port[[#This Row],[ECL_Drawn (CNY)]]*Port[[#This Row],[CNY -&gt; THB]]</f>
        <v>514915.30878521607</v>
      </c>
      <c r="AI349" s="507">
        <f>Port[[#This Row],[ECL_Undrawn (CNY)]]*Port[[#This Row],[CNY -&gt; THB]]</f>
        <v>0</v>
      </c>
      <c r="AJ349" s="507">
        <f>Port[[#This Row],[ECL (CNY)]]*Port[[#This Row],[CNY -&gt; THB]]</f>
        <v>514915.30878521607</v>
      </c>
      <c r="AK349" s="507">
        <f>Port[[#This Row],[ECL_Interest (CNY)]]*Port[[#This Row],[CNY -&gt; THB]]</f>
        <v>5211.7709467645964</v>
      </c>
      <c r="AL349" s="507">
        <f>Port[[#This Row],[EAD (THB)]]*Port[[#This Row],[PD_avg]]</f>
        <v>572128.12087246217</v>
      </c>
      <c r="AM349" s="507">
        <f>Port[[#This Row],[EAD_Interest (THB)]]*Port[[#This Row],[PD_avg]]</f>
        <v>5790.856607516218</v>
      </c>
      <c r="AN349" s="507">
        <f>Port[[#This Row],[EAD (THB)]]*Port[[#This Row],[LGD_avg]]</f>
        <v>566887530.51597607</v>
      </c>
      <c r="AO349" s="507">
        <f>Port[[#This Row],[EAD_Interest (THB)]]*Port[[#This Row],[LGD_avg]]</f>
        <v>5737813.4058521129</v>
      </c>
      <c r="AP349" s="507">
        <f>Port[[#This Row],[EAD_Drawn (THB)]]+Port[[#This Row],[EAD_Interest (THB)]]</f>
        <v>636250382.13536477</v>
      </c>
      <c r="AQ3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520127.07973198069</v>
      </c>
      <c r="AR349" s="522">
        <f>MAX(Port[[#This Row],[ECL (THB)]]+Port[[#This Row],[ECL_Interest (THB)]], Port[[#This Row],[ECL CBIRC (THB)]])</f>
        <v>520127.07973198069</v>
      </c>
    </row>
    <row r="350" spans="1:44">
      <c r="A350" s="2" t="s">
        <v>1036</v>
      </c>
      <c r="B350" s="2" t="s">
        <v>288</v>
      </c>
      <c r="C350" s="2" t="s">
        <v>278</v>
      </c>
      <c r="D350" s="2" t="s">
        <v>25</v>
      </c>
      <c r="E350" s="2" t="s">
        <v>280</v>
      </c>
      <c r="F350" s="2" t="s">
        <v>281</v>
      </c>
      <c r="G350" s="2" t="s">
        <v>21</v>
      </c>
      <c r="H350">
        <v>1</v>
      </c>
      <c r="I350" s="2" t="s">
        <v>526</v>
      </c>
      <c r="J350" s="505">
        <v>9.0832004774658653E-4</v>
      </c>
      <c r="K350" s="505">
        <v>0.89999999999999991</v>
      </c>
      <c r="L350" s="3">
        <v>1</v>
      </c>
      <c r="M350" s="3">
        <v>5.2488000000000001</v>
      </c>
      <c r="N350" s="507">
        <v>60001813.167451628</v>
      </c>
      <c r="O350" s="507">
        <v>0</v>
      </c>
      <c r="P350" s="507">
        <v>60001813.167451628</v>
      </c>
      <c r="Q350" s="507">
        <v>607314.83660308749</v>
      </c>
      <c r="R350" s="507">
        <v>49050.764821027289</v>
      </c>
      <c r="S350" s="507">
        <v>0</v>
      </c>
      <c r="T350" s="507">
        <v>49050.764821027289</v>
      </c>
      <c r="U350" s="507">
        <v>496.47261724247414</v>
      </c>
      <c r="V350" s="507">
        <f>Port[[#This Row],[EAD_Drawn (CNY)]]*Port[[#This Row],[CNY -&gt; FCY]]</f>
        <v>60001813.167451628</v>
      </c>
      <c r="W350" s="507">
        <f>Port[[#This Row],[EAD_Undrawn (CNY)]]*Port[[#This Row],[CNY -&gt; FCY]]</f>
        <v>0</v>
      </c>
      <c r="X350" s="507">
        <f>Port[[#This Row],[EAD (CNY)]]*Port[[#This Row],[CNY -&gt; FCY]]</f>
        <v>60001813.167451628</v>
      </c>
      <c r="Y350" s="507">
        <f>Port[[#This Row],[EAD_Interest (CNY)]]*Port[[#This Row],[CNY -&gt; FCY]]</f>
        <v>607314.83660308749</v>
      </c>
      <c r="Z350" s="507">
        <f>Port[[#This Row],[ECL_Drawn (CNY)]]*Port[[#This Row],[CNY -&gt; FCY]]</f>
        <v>49050.764821027289</v>
      </c>
      <c r="AA350" s="507">
        <f>Port[[#This Row],[ECL_Undrawn (CNY)]]*Port[[#This Row],[CNY -&gt; FCY]]</f>
        <v>0</v>
      </c>
      <c r="AB350" s="507">
        <f>Port[[#This Row],[ECL (CNY)]]*Port[[#This Row],[CNY -&gt; FCY]]</f>
        <v>49050.764821027289</v>
      </c>
      <c r="AC350" s="507">
        <f>Port[[#This Row],[ECL_Interest (CNY)]]*Port[[#This Row],[CNY -&gt; FCY]]</f>
        <v>496.47261724247414</v>
      </c>
      <c r="AD350" s="507">
        <f>Port[[#This Row],[EAD_Drawn (CNY)]]*Port[[#This Row],[CNY -&gt; THB]]</f>
        <v>314937516.95332009</v>
      </c>
      <c r="AE350" s="507">
        <f>Port[[#This Row],[EAD_Undrawn (CNY)]]*Port[[#This Row],[CNY -&gt; THB]]</f>
        <v>0</v>
      </c>
      <c r="AF350" s="507">
        <f>Port[[#This Row],[EAD (CNY)]]*Port[[#This Row],[CNY -&gt; THB]]</f>
        <v>314937516.95332009</v>
      </c>
      <c r="AG350" s="507">
        <f>Port[[#This Row],[EAD_Interest (CNY)]]*Port[[#This Row],[CNY -&gt; THB]]</f>
        <v>3187674.1143622855</v>
      </c>
      <c r="AH350" s="507">
        <f>Port[[#This Row],[ECL_Drawn (CNY)]]*Port[[#This Row],[CNY -&gt; THB]]</f>
        <v>257457.65439260803</v>
      </c>
      <c r="AI350" s="507">
        <f>Port[[#This Row],[ECL_Undrawn (CNY)]]*Port[[#This Row],[CNY -&gt; THB]]</f>
        <v>0</v>
      </c>
      <c r="AJ350" s="507">
        <f>Port[[#This Row],[ECL (CNY)]]*Port[[#This Row],[CNY -&gt; THB]]</f>
        <v>257457.65439260803</v>
      </c>
      <c r="AK350" s="507">
        <f>Port[[#This Row],[ECL_Interest (CNY)]]*Port[[#This Row],[CNY -&gt; THB]]</f>
        <v>2605.8854733822982</v>
      </c>
      <c r="AL350" s="507">
        <f>Port[[#This Row],[EAD (THB)]]*Port[[#This Row],[PD_avg]]</f>
        <v>286064.06043623108</v>
      </c>
      <c r="AM350" s="507">
        <f>Port[[#This Row],[EAD_Interest (THB)]]*Port[[#This Row],[PD_avg]]</f>
        <v>2895.428303758109</v>
      </c>
      <c r="AN350" s="507">
        <f>Port[[#This Row],[EAD (THB)]]*Port[[#This Row],[LGD_avg]]</f>
        <v>283443765.25798804</v>
      </c>
      <c r="AO350" s="507">
        <f>Port[[#This Row],[EAD_Interest (THB)]]*Port[[#This Row],[LGD_avg]]</f>
        <v>2868906.7029260565</v>
      </c>
      <c r="AP350" s="507">
        <f>Port[[#This Row],[EAD_Drawn (THB)]]+Port[[#This Row],[EAD_Interest (THB)]]</f>
        <v>318125191.06768239</v>
      </c>
      <c r="AQ3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260063.53986599034</v>
      </c>
      <c r="AR350" s="522">
        <f>MAX(Port[[#This Row],[ECL (THB)]]+Port[[#This Row],[ECL_Interest (THB)]], Port[[#This Row],[ECL CBIRC (THB)]])</f>
        <v>260063.53986599034</v>
      </c>
    </row>
    <row r="351" spans="1:44">
      <c r="A351" s="2" t="s">
        <v>1037</v>
      </c>
      <c r="B351" s="2" t="s">
        <v>288</v>
      </c>
      <c r="C351" s="2" t="s">
        <v>278</v>
      </c>
      <c r="D351" s="2" t="s">
        <v>25</v>
      </c>
      <c r="E351" s="2" t="s">
        <v>280</v>
      </c>
      <c r="F351" s="2" t="s">
        <v>281</v>
      </c>
      <c r="G351" s="2" t="s">
        <v>21</v>
      </c>
      <c r="H351">
        <v>1</v>
      </c>
      <c r="I351" s="2" t="s">
        <v>526</v>
      </c>
      <c r="J351" s="505">
        <v>9.0832004774658653E-4</v>
      </c>
      <c r="K351" s="505">
        <v>0.89999999999999991</v>
      </c>
      <c r="L351" s="3">
        <v>1</v>
      </c>
      <c r="M351" s="3">
        <v>5.2488000000000001</v>
      </c>
      <c r="N351" s="507">
        <v>59997443.71403455</v>
      </c>
      <c r="O351" s="507">
        <v>0</v>
      </c>
      <c r="P351" s="507">
        <v>59997443.71403455</v>
      </c>
      <c r="Q351" s="507">
        <v>607270.6107081027</v>
      </c>
      <c r="R351" s="507">
        <v>49047.192845104502</v>
      </c>
      <c r="S351" s="507">
        <v>0</v>
      </c>
      <c r="T351" s="507">
        <v>49047.192845104502</v>
      </c>
      <c r="U351" s="507">
        <v>496.43646310213433</v>
      </c>
      <c r="V351" s="507">
        <f>Port[[#This Row],[EAD_Drawn (CNY)]]*Port[[#This Row],[CNY -&gt; FCY]]</f>
        <v>59997443.71403455</v>
      </c>
      <c r="W351" s="507">
        <f>Port[[#This Row],[EAD_Undrawn (CNY)]]*Port[[#This Row],[CNY -&gt; FCY]]</f>
        <v>0</v>
      </c>
      <c r="X351" s="507">
        <f>Port[[#This Row],[EAD (CNY)]]*Port[[#This Row],[CNY -&gt; FCY]]</f>
        <v>59997443.71403455</v>
      </c>
      <c r="Y351" s="507">
        <f>Port[[#This Row],[EAD_Interest (CNY)]]*Port[[#This Row],[CNY -&gt; FCY]]</f>
        <v>607270.6107081027</v>
      </c>
      <c r="Z351" s="507">
        <f>Port[[#This Row],[ECL_Drawn (CNY)]]*Port[[#This Row],[CNY -&gt; FCY]]</f>
        <v>49047.192845104502</v>
      </c>
      <c r="AA351" s="507">
        <f>Port[[#This Row],[ECL_Undrawn (CNY)]]*Port[[#This Row],[CNY -&gt; FCY]]</f>
        <v>0</v>
      </c>
      <c r="AB351" s="507">
        <f>Port[[#This Row],[ECL (CNY)]]*Port[[#This Row],[CNY -&gt; FCY]]</f>
        <v>49047.192845104502</v>
      </c>
      <c r="AC351" s="507">
        <f>Port[[#This Row],[ECL_Interest (CNY)]]*Port[[#This Row],[CNY -&gt; FCY]]</f>
        <v>496.43646310213433</v>
      </c>
      <c r="AD351" s="507">
        <f>Port[[#This Row],[EAD_Drawn (CNY)]]*Port[[#This Row],[CNY -&gt; THB]]</f>
        <v>314914582.56622458</v>
      </c>
      <c r="AE351" s="507">
        <f>Port[[#This Row],[EAD_Undrawn (CNY)]]*Port[[#This Row],[CNY -&gt; THB]]</f>
        <v>0</v>
      </c>
      <c r="AF351" s="507">
        <f>Port[[#This Row],[EAD (CNY)]]*Port[[#This Row],[CNY -&gt; THB]]</f>
        <v>314914582.56622458</v>
      </c>
      <c r="AG351" s="507">
        <f>Port[[#This Row],[EAD_Interest (CNY)]]*Port[[#This Row],[CNY -&gt; THB]]</f>
        <v>3187441.9814846897</v>
      </c>
      <c r="AH351" s="507">
        <f>Port[[#This Row],[ECL_Drawn (CNY)]]*Port[[#This Row],[CNY -&gt; THB]]</f>
        <v>257438.90580538451</v>
      </c>
      <c r="AI351" s="507">
        <f>Port[[#This Row],[ECL_Undrawn (CNY)]]*Port[[#This Row],[CNY -&gt; THB]]</f>
        <v>0</v>
      </c>
      <c r="AJ351" s="507">
        <f>Port[[#This Row],[ECL (CNY)]]*Port[[#This Row],[CNY -&gt; THB]]</f>
        <v>257438.90580538451</v>
      </c>
      <c r="AK351" s="507">
        <f>Port[[#This Row],[ECL_Interest (CNY)]]*Port[[#This Row],[CNY -&gt; THB]]</f>
        <v>2605.6957075304827</v>
      </c>
      <c r="AL351" s="507">
        <f>Port[[#This Row],[EAD (THB)]]*Port[[#This Row],[PD_avg]]</f>
        <v>286043.22867264948</v>
      </c>
      <c r="AM351" s="507">
        <f>Port[[#This Row],[EAD_Interest (THB)]]*Port[[#This Row],[PD_avg]]</f>
        <v>2895.2174528116479</v>
      </c>
      <c r="AN351" s="507">
        <f>Port[[#This Row],[EAD (THB)]]*Port[[#This Row],[LGD_avg]]</f>
        <v>283423124.30960208</v>
      </c>
      <c r="AO351" s="507">
        <f>Port[[#This Row],[EAD_Interest (THB)]]*Port[[#This Row],[LGD_avg]]</f>
        <v>2868697.7833362203</v>
      </c>
      <c r="AP351" s="507">
        <f>Port[[#This Row],[EAD_Drawn (THB)]]+Port[[#This Row],[EAD_Interest (THB)]]</f>
        <v>318102024.54770929</v>
      </c>
      <c r="AQ3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260044.60151291499</v>
      </c>
      <c r="AR351" s="522">
        <f>MAX(Port[[#This Row],[ECL (THB)]]+Port[[#This Row],[ECL_Interest (THB)]], Port[[#This Row],[ECL CBIRC (THB)]])</f>
        <v>260044.60151291499</v>
      </c>
    </row>
    <row r="352" spans="1:44">
      <c r="A352" s="2" t="s">
        <v>1038</v>
      </c>
      <c r="B352" s="2" t="s">
        <v>288</v>
      </c>
      <c r="C352" s="2" t="s">
        <v>278</v>
      </c>
      <c r="D352" s="2" t="s">
        <v>25</v>
      </c>
      <c r="E352" s="2" t="s">
        <v>280</v>
      </c>
      <c r="F352" s="2" t="s">
        <v>281</v>
      </c>
      <c r="G352" s="2" t="s">
        <v>21</v>
      </c>
      <c r="H352">
        <v>1</v>
      </c>
      <c r="I352" s="2" t="s">
        <v>526</v>
      </c>
      <c r="J352" s="505">
        <v>9.0832004774658653E-4</v>
      </c>
      <c r="K352" s="505">
        <v>0.90000000000000013</v>
      </c>
      <c r="L352" s="3">
        <v>1</v>
      </c>
      <c r="M352" s="3">
        <v>5.2488000000000001</v>
      </c>
      <c r="N352" s="507">
        <v>11996795.244125154</v>
      </c>
      <c r="O352" s="507">
        <v>0</v>
      </c>
      <c r="P352" s="507">
        <v>11996795.244125154</v>
      </c>
      <c r="Q352" s="507">
        <v>121426.85960361629</v>
      </c>
      <c r="R352" s="507">
        <v>9807.2366660548032</v>
      </c>
      <c r="S352" s="507">
        <v>0</v>
      </c>
      <c r="T352" s="507">
        <v>9807.2366660548032</v>
      </c>
      <c r="U352" s="507">
        <v>99.265005821587351</v>
      </c>
      <c r="V352" s="507">
        <f>Port[[#This Row],[EAD_Drawn (CNY)]]*Port[[#This Row],[CNY -&gt; FCY]]</f>
        <v>11996795.244125154</v>
      </c>
      <c r="W352" s="507">
        <f>Port[[#This Row],[EAD_Undrawn (CNY)]]*Port[[#This Row],[CNY -&gt; FCY]]</f>
        <v>0</v>
      </c>
      <c r="X352" s="507">
        <f>Port[[#This Row],[EAD (CNY)]]*Port[[#This Row],[CNY -&gt; FCY]]</f>
        <v>11996795.244125154</v>
      </c>
      <c r="Y352" s="507">
        <f>Port[[#This Row],[EAD_Interest (CNY)]]*Port[[#This Row],[CNY -&gt; FCY]]</f>
        <v>121426.85960361629</v>
      </c>
      <c r="Z352" s="507">
        <f>Port[[#This Row],[ECL_Drawn (CNY)]]*Port[[#This Row],[CNY -&gt; FCY]]</f>
        <v>9807.2366660548032</v>
      </c>
      <c r="AA352" s="507">
        <f>Port[[#This Row],[ECL_Undrawn (CNY)]]*Port[[#This Row],[CNY -&gt; FCY]]</f>
        <v>0</v>
      </c>
      <c r="AB352" s="507">
        <f>Port[[#This Row],[ECL (CNY)]]*Port[[#This Row],[CNY -&gt; FCY]]</f>
        <v>9807.2366660548032</v>
      </c>
      <c r="AC352" s="507">
        <f>Port[[#This Row],[ECL_Interest (CNY)]]*Port[[#This Row],[CNY -&gt; FCY]]</f>
        <v>99.265005821587351</v>
      </c>
      <c r="AD352" s="507">
        <f>Port[[#This Row],[EAD_Drawn (CNY)]]*Port[[#This Row],[CNY -&gt; THB]]</f>
        <v>62968778.877364106</v>
      </c>
      <c r="AE352" s="507">
        <f>Port[[#This Row],[EAD_Undrawn (CNY)]]*Port[[#This Row],[CNY -&gt; THB]]</f>
        <v>0</v>
      </c>
      <c r="AF352" s="507">
        <f>Port[[#This Row],[EAD (CNY)]]*Port[[#This Row],[CNY -&gt; THB]]</f>
        <v>62968778.877364106</v>
      </c>
      <c r="AG352" s="507">
        <f>Port[[#This Row],[EAD_Interest (CNY)]]*Port[[#This Row],[CNY -&gt; THB]]</f>
        <v>637345.30068746116</v>
      </c>
      <c r="AH352" s="507">
        <f>Port[[#This Row],[ECL_Drawn (CNY)]]*Port[[#This Row],[CNY -&gt; THB]]</f>
        <v>51476.223812788456</v>
      </c>
      <c r="AI352" s="507">
        <f>Port[[#This Row],[ECL_Undrawn (CNY)]]*Port[[#This Row],[CNY -&gt; THB]]</f>
        <v>0</v>
      </c>
      <c r="AJ352" s="507">
        <f>Port[[#This Row],[ECL (CNY)]]*Port[[#This Row],[CNY -&gt; THB]]</f>
        <v>51476.223812788456</v>
      </c>
      <c r="AK352" s="507">
        <f>Port[[#This Row],[ECL_Interest (CNY)]]*Port[[#This Row],[CNY -&gt; THB]]</f>
        <v>521.02216255634767</v>
      </c>
      <c r="AL352" s="507">
        <f>Port[[#This Row],[EAD (THB)]]*Port[[#This Row],[PD_avg]]</f>
        <v>57195.804236431613</v>
      </c>
      <c r="AM352" s="507">
        <f>Port[[#This Row],[EAD_Interest (THB)]]*Port[[#This Row],[PD_avg]]</f>
        <v>578.91351395149729</v>
      </c>
      <c r="AN352" s="507">
        <f>Port[[#This Row],[EAD (THB)]]*Port[[#This Row],[LGD_avg]]</f>
        <v>56671900.989627704</v>
      </c>
      <c r="AO352" s="507">
        <f>Port[[#This Row],[EAD_Interest (THB)]]*Port[[#This Row],[LGD_avg]]</f>
        <v>573610.77061871509</v>
      </c>
      <c r="AP352" s="507">
        <f>Port[[#This Row],[EAD_Drawn (THB)]]+Port[[#This Row],[EAD_Interest (THB)]]</f>
        <v>63606124.178051569</v>
      </c>
      <c r="AQ3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51997.245975344806</v>
      </c>
      <c r="AR352" s="522">
        <f>MAX(Port[[#This Row],[ECL (THB)]]+Port[[#This Row],[ECL_Interest (THB)]], Port[[#This Row],[ECL CBIRC (THB)]])</f>
        <v>51997.245975344806</v>
      </c>
    </row>
    <row r="353" spans="1:44">
      <c r="A353" s="2" t="s">
        <v>1039</v>
      </c>
      <c r="B353" s="2" t="s">
        <v>288</v>
      </c>
      <c r="C353" s="2" t="s">
        <v>278</v>
      </c>
      <c r="D353" s="2" t="s">
        <v>25</v>
      </c>
      <c r="E353" s="2" t="s">
        <v>280</v>
      </c>
      <c r="F353" s="2" t="s">
        <v>281</v>
      </c>
      <c r="G353" s="2" t="s">
        <v>21</v>
      </c>
      <c r="H353">
        <v>1</v>
      </c>
      <c r="I353" s="2" t="s">
        <v>526</v>
      </c>
      <c r="J353" s="505">
        <v>9.0832004774658653E-4</v>
      </c>
      <c r="K353" s="505">
        <v>0.8999999999999998</v>
      </c>
      <c r="L353" s="3">
        <v>1</v>
      </c>
      <c r="M353" s="3">
        <v>5.2488000000000001</v>
      </c>
      <c r="N353" s="507">
        <v>47532044.146466695</v>
      </c>
      <c r="O353" s="507">
        <v>0</v>
      </c>
      <c r="P353" s="507">
        <v>47532044.146466695</v>
      </c>
      <c r="Q353" s="507">
        <v>481100.72180087393</v>
      </c>
      <c r="R353" s="507">
        <v>38856.877747750332</v>
      </c>
      <c r="S353" s="507">
        <v>0</v>
      </c>
      <c r="T353" s="507">
        <v>38856.877747750332</v>
      </c>
      <c r="U353" s="507">
        <v>393.29408753737835</v>
      </c>
      <c r="V353" s="507">
        <f>Port[[#This Row],[EAD_Drawn (CNY)]]*Port[[#This Row],[CNY -&gt; FCY]]</f>
        <v>47532044.146466695</v>
      </c>
      <c r="W353" s="507">
        <f>Port[[#This Row],[EAD_Undrawn (CNY)]]*Port[[#This Row],[CNY -&gt; FCY]]</f>
        <v>0</v>
      </c>
      <c r="X353" s="507">
        <f>Port[[#This Row],[EAD (CNY)]]*Port[[#This Row],[CNY -&gt; FCY]]</f>
        <v>47532044.146466695</v>
      </c>
      <c r="Y353" s="507">
        <f>Port[[#This Row],[EAD_Interest (CNY)]]*Port[[#This Row],[CNY -&gt; FCY]]</f>
        <v>481100.72180087393</v>
      </c>
      <c r="Z353" s="507">
        <f>Port[[#This Row],[ECL_Drawn (CNY)]]*Port[[#This Row],[CNY -&gt; FCY]]</f>
        <v>38856.877747750332</v>
      </c>
      <c r="AA353" s="507">
        <f>Port[[#This Row],[ECL_Undrawn (CNY)]]*Port[[#This Row],[CNY -&gt; FCY]]</f>
        <v>0</v>
      </c>
      <c r="AB353" s="507">
        <f>Port[[#This Row],[ECL (CNY)]]*Port[[#This Row],[CNY -&gt; FCY]]</f>
        <v>38856.877747750332</v>
      </c>
      <c r="AC353" s="507">
        <f>Port[[#This Row],[ECL_Interest (CNY)]]*Port[[#This Row],[CNY -&gt; FCY]]</f>
        <v>393.29408753737835</v>
      </c>
      <c r="AD353" s="507">
        <f>Port[[#This Row],[EAD_Drawn (CNY)]]*Port[[#This Row],[CNY -&gt; THB]]</f>
        <v>249486193.31597438</v>
      </c>
      <c r="AE353" s="507">
        <f>Port[[#This Row],[EAD_Undrawn (CNY)]]*Port[[#This Row],[CNY -&gt; THB]]</f>
        <v>0</v>
      </c>
      <c r="AF353" s="507">
        <f>Port[[#This Row],[EAD (CNY)]]*Port[[#This Row],[CNY -&gt; THB]]</f>
        <v>249486193.31597438</v>
      </c>
      <c r="AG353" s="507">
        <f>Port[[#This Row],[EAD_Interest (CNY)]]*Port[[#This Row],[CNY -&gt; THB]]</f>
        <v>2525201.4685884272</v>
      </c>
      <c r="AH353" s="507">
        <f>Port[[#This Row],[ECL_Drawn (CNY)]]*Port[[#This Row],[CNY -&gt; THB]]</f>
        <v>203951.97992239194</v>
      </c>
      <c r="AI353" s="507">
        <f>Port[[#This Row],[ECL_Undrawn (CNY)]]*Port[[#This Row],[CNY -&gt; THB]]</f>
        <v>0</v>
      </c>
      <c r="AJ353" s="507">
        <f>Port[[#This Row],[ECL (CNY)]]*Port[[#This Row],[CNY -&gt; THB]]</f>
        <v>203951.97992239194</v>
      </c>
      <c r="AK353" s="507">
        <f>Port[[#This Row],[ECL_Interest (CNY)]]*Port[[#This Row],[CNY -&gt; THB]]</f>
        <v>2064.3220066661916</v>
      </c>
      <c r="AL353" s="507">
        <f>Port[[#This Row],[EAD (THB)]]*Port[[#This Row],[PD_avg]]</f>
        <v>226613.31102487998</v>
      </c>
      <c r="AM353" s="507">
        <f>Port[[#This Row],[EAD_Interest (THB)]]*Port[[#This Row],[PD_avg]]</f>
        <v>2293.6911185179906</v>
      </c>
      <c r="AN353" s="507">
        <f>Port[[#This Row],[EAD (THB)]]*Port[[#This Row],[LGD_avg]]</f>
        <v>224537573.98437691</v>
      </c>
      <c r="AO353" s="507">
        <f>Port[[#This Row],[EAD_Interest (THB)]]*Port[[#This Row],[LGD_avg]]</f>
        <v>2272681.3217295841</v>
      </c>
      <c r="AP353" s="507">
        <f>Port[[#This Row],[EAD_Drawn (THB)]]+Port[[#This Row],[EAD_Interest (THB)]]</f>
        <v>252011394.78456283</v>
      </c>
      <c r="AQ3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206016.30192905813</v>
      </c>
      <c r="AR353" s="522">
        <f>MAX(Port[[#This Row],[ECL (THB)]]+Port[[#This Row],[ECL_Interest (THB)]], Port[[#This Row],[ECL CBIRC (THB)]])</f>
        <v>206016.30192905813</v>
      </c>
    </row>
    <row r="354" spans="1:44">
      <c r="A354" s="2" t="s">
        <v>1040</v>
      </c>
      <c r="B354" s="2" t="s">
        <v>288</v>
      </c>
      <c r="C354" s="2" t="s">
        <v>278</v>
      </c>
      <c r="D354" s="2" t="s">
        <v>25</v>
      </c>
      <c r="E354" s="2" t="s">
        <v>280</v>
      </c>
      <c r="F354" s="2" t="s">
        <v>281</v>
      </c>
      <c r="G354" s="2" t="s">
        <v>21</v>
      </c>
      <c r="H354">
        <v>1</v>
      </c>
      <c r="I354" s="2" t="s">
        <v>526</v>
      </c>
      <c r="J354" s="505">
        <v>9.0832004774658653E-4</v>
      </c>
      <c r="K354" s="505">
        <v>0.89999999999999991</v>
      </c>
      <c r="L354" s="3">
        <v>1</v>
      </c>
      <c r="M354" s="3">
        <v>5.2488000000000001</v>
      </c>
      <c r="N354" s="507">
        <v>99831599.798883229</v>
      </c>
      <c r="O354" s="507">
        <v>0</v>
      </c>
      <c r="P354" s="507">
        <v>99831599.798883229</v>
      </c>
      <c r="Q354" s="507">
        <v>0</v>
      </c>
      <c r="R354" s="507">
        <v>81611.139146345755</v>
      </c>
      <c r="S354" s="507">
        <v>0</v>
      </c>
      <c r="T354" s="507">
        <v>81611.139146345755</v>
      </c>
      <c r="U354" s="507">
        <v>0</v>
      </c>
      <c r="V354" s="507">
        <f>Port[[#This Row],[EAD_Drawn (CNY)]]*Port[[#This Row],[CNY -&gt; FCY]]</f>
        <v>99831599.798883229</v>
      </c>
      <c r="W354" s="507">
        <f>Port[[#This Row],[EAD_Undrawn (CNY)]]*Port[[#This Row],[CNY -&gt; FCY]]</f>
        <v>0</v>
      </c>
      <c r="X354" s="507">
        <f>Port[[#This Row],[EAD (CNY)]]*Port[[#This Row],[CNY -&gt; FCY]]</f>
        <v>99831599.798883229</v>
      </c>
      <c r="Y354" s="507">
        <f>Port[[#This Row],[EAD_Interest (CNY)]]*Port[[#This Row],[CNY -&gt; FCY]]</f>
        <v>0</v>
      </c>
      <c r="Z354" s="507">
        <f>Port[[#This Row],[ECL_Drawn (CNY)]]*Port[[#This Row],[CNY -&gt; FCY]]</f>
        <v>81611.139146345755</v>
      </c>
      <c r="AA354" s="507">
        <f>Port[[#This Row],[ECL_Undrawn (CNY)]]*Port[[#This Row],[CNY -&gt; FCY]]</f>
        <v>0</v>
      </c>
      <c r="AB354" s="507">
        <f>Port[[#This Row],[ECL (CNY)]]*Port[[#This Row],[CNY -&gt; FCY]]</f>
        <v>81611.139146345755</v>
      </c>
      <c r="AC354" s="507">
        <f>Port[[#This Row],[ECL_Interest (CNY)]]*Port[[#This Row],[CNY -&gt; FCY]]</f>
        <v>0</v>
      </c>
      <c r="AD354" s="507">
        <f>Port[[#This Row],[EAD_Drawn (CNY)]]*Port[[#This Row],[CNY -&gt; THB]]</f>
        <v>523996101.0243783</v>
      </c>
      <c r="AE354" s="507">
        <f>Port[[#This Row],[EAD_Undrawn (CNY)]]*Port[[#This Row],[CNY -&gt; THB]]</f>
        <v>0</v>
      </c>
      <c r="AF354" s="507">
        <f>Port[[#This Row],[EAD (CNY)]]*Port[[#This Row],[CNY -&gt; THB]]</f>
        <v>523996101.0243783</v>
      </c>
      <c r="AG354" s="507">
        <f>Port[[#This Row],[EAD_Interest (CNY)]]*Port[[#This Row],[CNY -&gt; THB]]</f>
        <v>0</v>
      </c>
      <c r="AH354" s="507">
        <f>Port[[#This Row],[ECL_Drawn (CNY)]]*Port[[#This Row],[CNY -&gt; THB]]</f>
        <v>428360.54715133959</v>
      </c>
      <c r="AI354" s="507">
        <f>Port[[#This Row],[ECL_Undrawn (CNY)]]*Port[[#This Row],[CNY -&gt; THB]]</f>
        <v>0</v>
      </c>
      <c r="AJ354" s="507">
        <f>Port[[#This Row],[ECL (CNY)]]*Port[[#This Row],[CNY -&gt; THB]]</f>
        <v>428360.54715133959</v>
      </c>
      <c r="AK354" s="507">
        <f>Port[[#This Row],[ECL_Interest (CNY)]]*Port[[#This Row],[CNY -&gt; THB]]</f>
        <v>0</v>
      </c>
      <c r="AL354" s="507">
        <f>Port[[#This Row],[EAD (THB)]]*Port[[#This Row],[PD_avg]]</f>
        <v>475956.16350148845</v>
      </c>
      <c r="AM354" s="507">
        <f>Port[[#This Row],[EAD_Interest (THB)]]*Port[[#This Row],[PD_avg]]</f>
        <v>0</v>
      </c>
      <c r="AN354" s="507">
        <f>Port[[#This Row],[EAD (THB)]]*Port[[#This Row],[LGD_avg]]</f>
        <v>471596490.92194045</v>
      </c>
      <c r="AO354" s="507">
        <f>Port[[#This Row],[EAD_Interest (THB)]]*Port[[#This Row],[LGD_avg]]</f>
        <v>0</v>
      </c>
      <c r="AP354" s="507">
        <f>Port[[#This Row],[EAD_Drawn (THB)]]+Port[[#This Row],[EAD_Interest (THB)]]</f>
        <v>523996101.0243783</v>
      </c>
      <c r="AQ3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428360.54715133959</v>
      </c>
      <c r="AR354" s="522">
        <f>MAX(Port[[#This Row],[ECL (THB)]]+Port[[#This Row],[ECL_Interest (THB)]], Port[[#This Row],[ECL CBIRC (THB)]])</f>
        <v>428360.54715133959</v>
      </c>
    </row>
    <row r="355" spans="1:44">
      <c r="A355" s="2" t="s">
        <v>1041</v>
      </c>
      <c r="B355" s="2" t="s">
        <v>288</v>
      </c>
      <c r="C355" s="2" t="s">
        <v>278</v>
      </c>
      <c r="D355" s="2" t="s">
        <v>25</v>
      </c>
      <c r="E355" s="2" t="s">
        <v>280</v>
      </c>
      <c r="F355" s="2" t="s">
        <v>281</v>
      </c>
      <c r="G355" s="2" t="s">
        <v>21</v>
      </c>
      <c r="H355">
        <v>1</v>
      </c>
      <c r="I355" s="2" t="s">
        <v>526</v>
      </c>
      <c r="J355" s="505">
        <v>9.0832004774658653E-4</v>
      </c>
      <c r="K355" s="505">
        <v>0.9</v>
      </c>
      <c r="L355" s="3">
        <v>1</v>
      </c>
      <c r="M355" s="3">
        <v>5.2488000000000001</v>
      </c>
      <c r="N355" s="507">
        <v>59923166.488104001</v>
      </c>
      <c r="O355" s="507">
        <v>0</v>
      </c>
      <c r="P355" s="507">
        <v>59923166.488104001</v>
      </c>
      <c r="Q355" s="507">
        <v>0</v>
      </c>
      <c r="R355" s="507">
        <v>48986.472101041152</v>
      </c>
      <c r="S355" s="507">
        <v>0</v>
      </c>
      <c r="T355" s="507">
        <v>48986.472101041152</v>
      </c>
      <c r="U355" s="507">
        <v>0</v>
      </c>
      <c r="V355" s="507">
        <f>Port[[#This Row],[EAD_Drawn (CNY)]]*Port[[#This Row],[CNY -&gt; FCY]]</f>
        <v>59923166.488104001</v>
      </c>
      <c r="W355" s="507">
        <f>Port[[#This Row],[EAD_Undrawn (CNY)]]*Port[[#This Row],[CNY -&gt; FCY]]</f>
        <v>0</v>
      </c>
      <c r="X355" s="507">
        <f>Port[[#This Row],[EAD (CNY)]]*Port[[#This Row],[CNY -&gt; FCY]]</f>
        <v>59923166.488104001</v>
      </c>
      <c r="Y355" s="507">
        <f>Port[[#This Row],[EAD_Interest (CNY)]]*Port[[#This Row],[CNY -&gt; FCY]]</f>
        <v>0</v>
      </c>
      <c r="Z355" s="507">
        <f>Port[[#This Row],[ECL_Drawn (CNY)]]*Port[[#This Row],[CNY -&gt; FCY]]</f>
        <v>48986.472101041152</v>
      </c>
      <c r="AA355" s="507">
        <f>Port[[#This Row],[ECL_Undrawn (CNY)]]*Port[[#This Row],[CNY -&gt; FCY]]</f>
        <v>0</v>
      </c>
      <c r="AB355" s="507">
        <f>Port[[#This Row],[ECL (CNY)]]*Port[[#This Row],[CNY -&gt; FCY]]</f>
        <v>48986.472101041152</v>
      </c>
      <c r="AC355" s="507">
        <f>Port[[#This Row],[ECL_Interest (CNY)]]*Port[[#This Row],[CNY -&gt; FCY]]</f>
        <v>0</v>
      </c>
      <c r="AD355" s="507">
        <f>Port[[#This Row],[EAD_Drawn (CNY)]]*Port[[#This Row],[CNY -&gt; THB]]</f>
        <v>314524716.26276028</v>
      </c>
      <c r="AE355" s="507">
        <f>Port[[#This Row],[EAD_Undrawn (CNY)]]*Port[[#This Row],[CNY -&gt; THB]]</f>
        <v>0</v>
      </c>
      <c r="AF355" s="507">
        <f>Port[[#This Row],[EAD (CNY)]]*Port[[#This Row],[CNY -&gt; THB]]</f>
        <v>314524716.26276028</v>
      </c>
      <c r="AG355" s="507">
        <f>Port[[#This Row],[EAD_Interest (CNY)]]*Port[[#This Row],[CNY -&gt; THB]]</f>
        <v>0</v>
      </c>
      <c r="AH355" s="507">
        <f>Port[[#This Row],[ECL_Drawn (CNY)]]*Port[[#This Row],[CNY -&gt; THB]]</f>
        <v>257120.1947639448</v>
      </c>
      <c r="AI355" s="507">
        <f>Port[[#This Row],[ECL_Undrawn (CNY)]]*Port[[#This Row],[CNY -&gt; THB]]</f>
        <v>0</v>
      </c>
      <c r="AJ355" s="507">
        <f>Port[[#This Row],[ECL (CNY)]]*Port[[#This Row],[CNY -&gt; THB]]</f>
        <v>257120.1947639448</v>
      </c>
      <c r="AK355" s="507">
        <f>Port[[#This Row],[ECL_Interest (CNY)]]*Port[[#This Row],[CNY -&gt; THB]]</f>
        <v>0</v>
      </c>
      <c r="AL355" s="507">
        <f>Port[[#This Row],[EAD (THB)]]*Port[[#This Row],[PD_avg]]</f>
        <v>285689.105293272</v>
      </c>
      <c r="AM355" s="507">
        <f>Port[[#This Row],[EAD_Interest (THB)]]*Port[[#This Row],[PD_avg]]</f>
        <v>0</v>
      </c>
      <c r="AN355" s="507">
        <f>Port[[#This Row],[EAD (THB)]]*Port[[#This Row],[LGD_avg]]</f>
        <v>283072244.63648427</v>
      </c>
      <c r="AO355" s="507">
        <f>Port[[#This Row],[EAD_Interest (THB)]]*Port[[#This Row],[LGD_avg]]</f>
        <v>0</v>
      </c>
      <c r="AP355" s="507">
        <f>Port[[#This Row],[EAD_Drawn (THB)]]+Port[[#This Row],[EAD_Interest (THB)]]</f>
        <v>314524716.26276028</v>
      </c>
      <c r="AQ3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257120.1947639448</v>
      </c>
      <c r="AR355" s="522">
        <f>MAX(Port[[#This Row],[ECL (THB)]]+Port[[#This Row],[ECL_Interest (THB)]], Port[[#This Row],[ECL CBIRC (THB)]])</f>
        <v>257120.1947639448</v>
      </c>
    </row>
    <row r="356" spans="1:44">
      <c r="A356" s="2" t="s">
        <v>1042</v>
      </c>
      <c r="B356" s="2" t="s">
        <v>288</v>
      </c>
      <c r="C356" s="2" t="s">
        <v>278</v>
      </c>
      <c r="D356" s="2" t="s">
        <v>25</v>
      </c>
      <c r="E356" s="2" t="s">
        <v>280</v>
      </c>
      <c r="F356" s="2" t="s">
        <v>281</v>
      </c>
      <c r="G356" s="2" t="s">
        <v>21</v>
      </c>
      <c r="H356">
        <v>1</v>
      </c>
      <c r="I356" s="2" t="s">
        <v>526</v>
      </c>
      <c r="J356" s="505">
        <v>9.0832004774658653E-4</v>
      </c>
      <c r="K356" s="505">
        <v>0.8999999999999998</v>
      </c>
      <c r="L356" s="3">
        <v>1</v>
      </c>
      <c r="M356" s="3">
        <v>5.2488000000000001</v>
      </c>
      <c r="N356" s="507">
        <v>99736129.66006884</v>
      </c>
      <c r="O356" s="507">
        <v>0</v>
      </c>
      <c r="P356" s="507">
        <v>99736129.66006884</v>
      </c>
      <c r="Q356" s="507">
        <v>0</v>
      </c>
      <c r="R356" s="507">
        <v>81533.093449404114</v>
      </c>
      <c r="S356" s="507">
        <v>0</v>
      </c>
      <c r="T356" s="507">
        <v>81533.093449404114</v>
      </c>
      <c r="U356" s="507">
        <v>0</v>
      </c>
      <c r="V356" s="507">
        <f>Port[[#This Row],[EAD_Drawn (CNY)]]*Port[[#This Row],[CNY -&gt; FCY]]</f>
        <v>99736129.66006884</v>
      </c>
      <c r="W356" s="507">
        <f>Port[[#This Row],[EAD_Undrawn (CNY)]]*Port[[#This Row],[CNY -&gt; FCY]]</f>
        <v>0</v>
      </c>
      <c r="X356" s="507">
        <f>Port[[#This Row],[EAD (CNY)]]*Port[[#This Row],[CNY -&gt; FCY]]</f>
        <v>99736129.66006884</v>
      </c>
      <c r="Y356" s="507">
        <f>Port[[#This Row],[EAD_Interest (CNY)]]*Port[[#This Row],[CNY -&gt; FCY]]</f>
        <v>0</v>
      </c>
      <c r="Z356" s="507">
        <f>Port[[#This Row],[ECL_Drawn (CNY)]]*Port[[#This Row],[CNY -&gt; FCY]]</f>
        <v>81533.093449404114</v>
      </c>
      <c r="AA356" s="507">
        <f>Port[[#This Row],[ECL_Undrawn (CNY)]]*Port[[#This Row],[CNY -&gt; FCY]]</f>
        <v>0</v>
      </c>
      <c r="AB356" s="507">
        <f>Port[[#This Row],[ECL (CNY)]]*Port[[#This Row],[CNY -&gt; FCY]]</f>
        <v>81533.093449404114</v>
      </c>
      <c r="AC356" s="507">
        <f>Port[[#This Row],[ECL_Interest (CNY)]]*Port[[#This Row],[CNY -&gt; FCY]]</f>
        <v>0</v>
      </c>
      <c r="AD356" s="507">
        <f>Port[[#This Row],[EAD_Drawn (CNY)]]*Port[[#This Row],[CNY -&gt; THB]]</f>
        <v>523494997.35976934</v>
      </c>
      <c r="AE356" s="507">
        <f>Port[[#This Row],[EAD_Undrawn (CNY)]]*Port[[#This Row],[CNY -&gt; THB]]</f>
        <v>0</v>
      </c>
      <c r="AF356" s="507">
        <f>Port[[#This Row],[EAD (CNY)]]*Port[[#This Row],[CNY -&gt; THB]]</f>
        <v>523494997.35976934</v>
      </c>
      <c r="AG356" s="507">
        <f>Port[[#This Row],[EAD_Interest (CNY)]]*Port[[#This Row],[CNY -&gt; THB]]</f>
        <v>0</v>
      </c>
      <c r="AH356" s="507">
        <f>Port[[#This Row],[ECL_Drawn (CNY)]]*Port[[#This Row],[CNY -&gt; THB]]</f>
        <v>427950.90089723235</v>
      </c>
      <c r="AI356" s="507">
        <f>Port[[#This Row],[ECL_Undrawn (CNY)]]*Port[[#This Row],[CNY -&gt; THB]]</f>
        <v>0</v>
      </c>
      <c r="AJ356" s="507">
        <f>Port[[#This Row],[ECL (CNY)]]*Port[[#This Row],[CNY -&gt; THB]]</f>
        <v>427950.90089723235</v>
      </c>
      <c r="AK356" s="507">
        <f>Port[[#This Row],[ECL_Interest (CNY)]]*Port[[#This Row],[CNY -&gt; THB]]</f>
        <v>0</v>
      </c>
      <c r="AL356" s="507">
        <f>Port[[#This Row],[EAD (THB)]]*Port[[#This Row],[PD_avg]]</f>
        <v>475501.00099692488</v>
      </c>
      <c r="AM356" s="507">
        <f>Port[[#This Row],[EAD_Interest (THB)]]*Port[[#This Row],[PD_avg]]</f>
        <v>0</v>
      </c>
      <c r="AN356" s="507">
        <f>Port[[#This Row],[EAD (THB)]]*Port[[#This Row],[LGD_avg]]</f>
        <v>471145497.62379229</v>
      </c>
      <c r="AO356" s="507">
        <f>Port[[#This Row],[EAD_Interest (THB)]]*Port[[#This Row],[LGD_avg]]</f>
        <v>0</v>
      </c>
      <c r="AP356" s="507">
        <f>Port[[#This Row],[EAD_Drawn (THB)]]+Port[[#This Row],[EAD_Interest (THB)]]</f>
        <v>523494997.35976934</v>
      </c>
      <c r="AQ3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427950.90089723235</v>
      </c>
      <c r="AR356" s="522">
        <f>MAX(Port[[#This Row],[ECL (THB)]]+Port[[#This Row],[ECL_Interest (THB)]], Port[[#This Row],[ECL CBIRC (THB)]])</f>
        <v>427950.90089723235</v>
      </c>
    </row>
    <row r="357" spans="1:44">
      <c r="A357" s="2" t="s">
        <v>322</v>
      </c>
      <c r="B357" s="2" t="s">
        <v>323</v>
      </c>
      <c r="C357" s="2" t="s">
        <v>278</v>
      </c>
      <c r="D357" s="2" t="s">
        <v>25</v>
      </c>
      <c r="E357" s="2" t="s">
        <v>280</v>
      </c>
      <c r="F357" s="2" t="s">
        <v>281</v>
      </c>
      <c r="G357" s="2" t="s">
        <v>21</v>
      </c>
      <c r="H357">
        <v>1</v>
      </c>
      <c r="I357" s="2" t="s">
        <v>526</v>
      </c>
      <c r="J357" s="505">
        <v>9.0832004774658653E-4</v>
      </c>
      <c r="K357" s="505">
        <v>0.9</v>
      </c>
      <c r="L357" s="3">
        <v>1</v>
      </c>
      <c r="M357" s="3">
        <v>5.2488000000000001</v>
      </c>
      <c r="N357" s="507">
        <v>100000000</v>
      </c>
      <c r="O357" s="507">
        <v>0</v>
      </c>
      <c r="P357" s="507">
        <v>100000000</v>
      </c>
      <c r="Q357" s="507">
        <v>1770958.9041095823</v>
      </c>
      <c r="R357" s="507">
        <v>81748.804297192793</v>
      </c>
      <c r="S357" s="507">
        <v>0</v>
      </c>
      <c r="T357" s="507">
        <v>81748.804297192793</v>
      </c>
      <c r="U357" s="507">
        <v>1447.7377287042523</v>
      </c>
      <c r="V357" s="507">
        <f>Port[[#This Row],[EAD_Drawn (CNY)]]*Port[[#This Row],[CNY -&gt; FCY]]</f>
        <v>100000000</v>
      </c>
      <c r="W357" s="507">
        <f>Port[[#This Row],[EAD_Undrawn (CNY)]]*Port[[#This Row],[CNY -&gt; FCY]]</f>
        <v>0</v>
      </c>
      <c r="X357" s="507">
        <f>Port[[#This Row],[EAD (CNY)]]*Port[[#This Row],[CNY -&gt; FCY]]</f>
        <v>100000000</v>
      </c>
      <c r="Y357" s="507">
        <f>Port[[#This Row],[EAD_Interest (CNY)]]*Port[[#This Row],[CNY -&gt; FCY]]</f>
        <v>1770958.9041095823</v>
      </c>
      <c r="Z357" s="507">
        <f>Port[[#This Row],[ECL_Drawn (CNY)]]*Port[[#This Row],[CNY -&gt; FCY]]</f>
        <v>81748.804297192793</v>
      </c>
      <c r="AA357" s="507">
        <f>Port[[#This Row],[ECL_Undrawn (CNY)]]*Port[[#This Row],[CNY -&gt; FCY]]</f>
        <v>0</v>
      </c>
      <c r="AB357" s="507">
        <f>Port[[#This Row],[ECL (CNY)]]*Port[[#This Row],[CNY -&gt; FCY]]</f>
        <v>81748.804297192793</v>
      </c>
      <c r="AC357" s="507">
        <f>Port[[#This Row],[ECL_Interest (CNY)]]*Port[[#This Row],[CNY -&gt; FCY]]</f>
        <v>1447.7377287042523</v>
      </c>
      <c r="AD357" s="507">
        <f>Port[[#This Row],[EAD_Drawn (CNY)]]*Port[[#This Row],[CNY -&gt; THB]]</f>
        <v>524880000</v>
      </c>
      <c r="AE357" s="507">
        <f>Port[[#This Row],[EAD_Undrawn (CNY)]]*Port[[#This Row],[CNY -&gt; THB]]</f>
        <v>0</v>
      </c>
      <c r="AF357" s="507">
        <f>Port[[#This Row],[EAD (CNY)]]*Port[[#This Row],[CNY -&gt; THB]]</f>
        <v>524880000</v>
      </c>
      <c r="AG357" s="507">
        <f>Port[[#This Row],[EAD_Interest (CNY)]]*Port[[#This Row],[CNY -&gt; THB]]</f>
        <v>9295409.0958903767</v>
      </c>
      <c r="AH357" s="507">
        <f>Port[[#This Row],[ECL_Drawn (CNY)]]*Port[[#This Row],[CNY -&gt; THB]]</f>
        <v>429083.12399510556</v>
      </c>
      <c r="AI357" s="507">
        <f>Port[[#This Row],[ECL_Undrawn (CNY)]]*Port[[#This Row],[CNY -&gt; THB]]</f>
        <v>0</v>
      </c>
      <c r="AJ357" s="507">
        <f>Port[[#This Row],[ECL (CNY)]]*Port[[#This Row],[CNY -&gt; THB]]</f>
        <v>429083.12399510556</v>
      </c>
      <c r="AK357" s="507">
        <f>Port[[#This Row],[ECL_Interest (CNY)]]*Port[[#This Row],[CNY -&gt; THB]]</f>
        <v>7598.8857904228798</v>
      </c>
      <c r="AL357" s="507">
        <f>Port[[#This Row],[EAD (THB)]]*Port[[#This Row],[PD_avg]]</f>
        <v>476759.02666122833</v>
      </c>
      <c r="AM357" s="507">
        <f>Port[[#This Row],[EAD_Interest (THB)]]*Port[[#This Row],[PD_avg]]</f>
        <v>8443.2064338032014</v>
      </c>
      <c r="AN357" s="507">
        <f>Port[[#This Row],[EAD (THB)]]*Port[[#This Row],[LGD_avg]]</f>
        <v>472392000</v>
      </c>
      <c r="AO357" s="507">
        <f>Port[[#This Row],[EAD_Interest (THB)]]*Port[[#This Row],[LGD_avg]]</f>
        <v>8365868.1863013394</v>
      </c>
      <c r="AP357" s="507">
        <f>Port[[#This Row],[EAD_Drawn (THB)]]+Port[[#This Row],[EAD_Interest (THB)]]</f>
        <v>534175409.0958904</v>
      </c>
      <c r="AQ3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436682.00978552847</v>
      </c>
      <c r="AR357" s="522">
        <f>MAX(Port[[#This Row],[ECL (THB)]]+Port[[#This Row],[ECL_Interest (THB)]], Port[[#This Row],[ECL CBIRC (THB)]])</f>
        <v>436682.00978552847</v>
      </c>
    </row>
    <row r="358" spans="1:44">
      <c r="A358" s="2" t="s">
        <v>324</v>
      </c>
      <c r="B358" s="2" t="s">
        <v>325</v>
      </c>
      <c r="C358" s="2" t="s">
        <v>278</v>
      </c>
      <c r="D358" s="2" t="s">
        <v>25</v>
      </c>
      <c r="E358" s="2" t="s">
        <v>595</v>
      </c>
      <c r="F358" s="2" t="s">
        <v>281</v>
      </c>
      <c r="G358" s="2" t="s">
        <v>21</v>
      </c>
      <c r="H358">
        <v>1</v>
      </c>
      <c r="I358" s="2" t="s">
        <v>526</v>
      </c>
      <c r="J358" s="505">
        <v>3.0745295499522811E-2</v>
      </c>
      <c r="K358" s="505">
        <v>0.89999999999999991</v>
      </c>
      <c r="L358" s="3">
        <v>1</v>
      </c>
      <c r="M358" s="3">
        <v>5.2488000000000001</v>
      </c>
      <c r="N358" s="507">
        <v>19691107.380181398</v>
      </c>
      <c r="O358" s="507">
        <v>0</v>
      </c>
      <c r="P358" s="507">
        <v>19691107.380181398</v>
      </c>
      <c r="Q358" s="507">
        <v>516756.16438356414</v>
      </c>
      <c r="R358" s="507">
        <v>544868.0236048603</v>
      </c>
      <c r="S358" s="507">
        <v>0</v>
      </c>
      <c r="T358" s="507">
        <v>544868.0236048603</v>
      </c>
      <c r="U358" s="507">
        <v>14299.038877655399</v>
      </c>
      <c r="V358" s="507">
        <f>Port[[#This Row],[EAD_Drawn (CNY)]]*Port[[#This Row],[CNY -&gt; FCY]]</f>
        <v>19691107.380181398</v>
      </c>
      <c r="W358" s="507">
        <f>Port[[#This Row],[EAD_Undrawn (CNY)]]*Port[[#This Row],[CNY -&gt; FCY]]</f>
        <v>0</v>
      </c>
      <c r="X358" s="507">
        <f>Port[[#This Row],[EAD (CNY)]]*Port[[#This Row],[CNY -&gt; FCY]]</f>
        <v>19691107.380181398</v>
      </c>
      <c r="Y358" s="507">
        <f>Port[[#This Row],[EAD_Interest (CNY)]]*Port[[#This Row],[CNY -&gt; FCY]]</f>
        <v>516756.16438356414</v>
      </c>
      <c r="Z358" s="507">
        <f>Port[[#This Row],[ECL_Drawn (CNY)]]*Port[[#This Row],[CNY -&gt; FCY]]</f>
        <v>544868.0236048603</v>
      </c>
      <c r="AA358" s="507">
        <f>Port[[#This Row],[ECL_Undrawn (CNY)]]*Port[[#This Row],[CNY -&gt; FCY]]</f>
        <v>0</v>
      </c>
      <c r="AB358" s="507">
        <f>Port[[#This Row],[ECL (CNY)]]*Port[[#This Row],[CNY -&gt; FCY]]</f>
        <v>544868.0236048603</v>
      </c>
      <c r="AC358" s="507">
        <f>Port[[#This Row],[ECL_Interest (CNY)]]*Port[[#This Row],[CNY -&gt; FCY]]</f>
        <v>14299.038877655399</v>
      </c>
      <c r="AD358" s="507">
        <f>Port[[#This Row],[EAD_Drawn (CNY)]]*Port[[#This Row],[CNY -&gt; THB]]</f>
        <v>103354684.41709612</v>
      </c>
      <c r="AE358" s="507">
        <f>Port[[#This Row],[EAD_Undrawn (CNY)]]*Port[[#This Row],[CNY -&gt; THB]]</f>
        <v>0</v>
      </c>
      <c r="AF358" s="507">
        <f>Port[[#This Row],[EAD (CNY)]]*Port[[#This Row],[CNY -&gt; THB]]</f>
        <v>103354684.41709612</v>
      </c>
      <c r="AG358" s="507">
        <f>Port[[#This Row],[EAD_Interest (CNY)]]*Port[[#This Row],[CNY -&gt; THB]]</f>
        <v>2712349.7556164516</v>
      </c>
      <c r="AH358" s="507">
        <f>Port[[#This Row],[ECL_Drawn (CNY)]]*Port[[#This Row],[CNY -&gt; THB]]</f>
        <v>2859903.2822971907</v>
      </c>
      <c r="AI358" s="507">
        <f>Port[[#This Row],[ECL_Undrawn (CNY)]]*Port[[#This Row],[CNY -&gt; THB]]</f>
        <v>0</v>
      </c>
      <c r="AJ358" s="507">
        <f>Port[[#This Row],[ECL (CNY)]]*Port[[#This Row],[CNY -&gt; THB]]</f>
        <v>2859903.2822971907</v>
      </c>
      <c r="AK358" s="507">
        <f>Port[[#This Row],[ECL_Interest (CNY)]]*Port[[#This Row],[CNY -&gt; THB]]</f>
        <v>75052.795261037667</v>
      </c>
      <c r="AL358" s="507">
        <f>Port[[#This Row],[EAD (THB)]]*Port[[#This Row],[PD_avg]]</f>
        <v>3177670.313663546</v>
      </c>
      <c r="AM358" s="507">
        <f>Port[[#This Row],[EAD_Interest (THB)]]*Port[[#This Row],[PD_avg]]</f>
        <v>83391.994734486289</v>
      </c>
      <c r="AN358" s="507">
        <f>Port[[#This Row],[EAD (THB)]]*Port[[#This Row],[LGD_avg]]</f>
        <v>93019215.9753865</v>
      </c>
      <c r="AO358" s="507">
        <f>Port[[#This Row],[EAD_Interest (THB)]]*Port[[#This Row],[LGD_avg]]</f>
        <v>2441114.7800548063</v>
      </c>
      <c r="AP358" s="507">
        <f>Port[[#This Row],[EAD_Drawn (THB)]]+Port[[#This Row],[EAD_Interest (THB)]]</f>
        <v>106067034.17271258</v>
      </c>
      <c r="AQ3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2934956.0775582283</v>
      </c>
      <c r="AR358" s="522">
        <f>MAX(Port[[#This Row],[ECL (THB)]]+Port[[#This Row],[ECL_Interest (THB)]], Port[[#This Row],[ECL CBIRC (THB)]])</f>
        <v>2934956.0775582283</v>
      </c>
    </row>
    <row r="359" spans="1:44">
      <c r="A359" s="2" t="s">
        <v>326</v>
      </c>
      <c r="B359" s="2" t="s">
        <v>327</v>
      </c>
      <c r="C359" s="2" t="s">
        <v>278</v>
      </c>
      <c r="D359" s="2" t="s">
        <v>25</v>
      </c>
      <c r="E359" s="2" t="s">
        <v>595</v>
      </c>
      <c r="F359" s="2" t="s">
        <v>281</v>
      </c>
      <c r="G359" s="2" t="s">
        <v>21</v>
      </c>
      <c r="H359">
        <v>1</v>
      </c>
      <c r="I359" s="2" t="s">
        <v>526</v>
      </c>
      <c r="J359" s="505">
        <v>5.2260409683794924E-3</v>
      </c>
      <c r="K359" s="505">
        <v>0.9</v>
      </c>
      <c r="L359" s="3">
        <v>1</v>
      </c>
      <c r="M359" s="3">
        <v>5.2488000000000001</v>
      </c>
      <c r="N359" s="507">
        <v>49387436.618791997</v>
      </c>
      <c r="O359" s="507">
        <v>0</v>
      </c>
      <c r="P359" s="507">
        <v>49387436.618791997</v>
      </c>
      <c r="Q359" s="507">
        <v>1313753.4246575385</v>
      </c>
      <c r="R359" s="507">
        <v>232290.69038374728</v>
      </c>
      <c r="S359" s="507">
        <v>0</v>
      </c>
      <c r="T359" s="507">
        <v>232290.69038374728</v>
      </c>
      <c r="U359" s="507">
        <v>6179.156297648241</v>
      </c>
      <c r="V359" s="507">
        <f>Port[[#This Row],[EAD_Drawn (CNY)]]*Port[[#This Row],[CNY -&gt; FCY]]</f>
        <v>49387436.618791997</v>
      </c>
      <c r="W359" s="507">
        <f>Port[[#This Row],[EAD_Undrawn (CNY)]]*Port[[#This Row],[CNY -&gt; FCY]]</f>
        <v>0</v>
      </c>
      <c r="X359" s="507">
        <f>Port[[#This Row],[EAD (CNY)]]*Port[[#This Row],[CNY -&gt; FCY]]</f>
        <v>49387436.618791997</v>
      </c>
      <c r="Y359" s="507">
        <f>Port[[#This Row],[EAD_Interest (CNY)]]*Port[[#This Row],[CNY -&gt; FCY]]</f>
        <v>1313753.4246575385</v>
      </c>
      <c r="Z359" s="507">
        <f>Port[[#This Row],[ECL_Drawn (CNY)]]*Port[[#This Row],[CNY -&gt; FCY]]</f>
        <v>232290.69038374728</v>
      </c>
      <c r="AA359" s="507">
        <f>Port[[#This Row],[ECL_Undrawn (CNY)]]*Port[[#This Row],[CNY -&gt; FCY]]</f>
        <v>0</v>
      </c>
      <c r="AB359" s="507">
        <f>Port[[#This Row],[ECL (CNY)]]*Port[[#This Row],[CNY -&gt; FCY]]</f>
        <v>232290.69038374728</v>
      </c>
      <c r="AC359" s="507">
        <f>Port[[#This Row],[ECL_Interest (CNY)]]*Port[[#This Row],[CNY -&gt; FCY]]</f>
        <v>6179.156297648241</v>
      </c>
      <c r="AD359" s="507">
        <f>Port[[#This Row],[EAD_Drawn (CNY)]]*Port[[#This Row],[CNY -&gt; THB]]</f>
        <v>259224777.32471544</v>
      </c>
      <c r="AE359" s="507">
        <f>Port[[#This Row],[EAD_Undrawn (CNY)]]*Port[[#This Row],[CNY -&gt; THB]]</f>
        <v>0</v>
      </c>
      <c r="AF359" s="507">
        <f>Port[[#This Row],[EAD (CNY)]]*Port[[#This Row],[CNY -&gt; THB]]</f>
        <v>259224777.32471544</v>
      </c>
      <c r="AG359" s="507">
        <f>Port[[#This Row],[EAD_Interest (CNY)]]*Port[[#This Row],[CNY -&gt; THB]]</f>
        <v>6895628.9753424888</v>
      </c>
      <c r="AH359" s="507">
        <f>Port[[#This Row],[ECL_Drawn (CNY)]]*Port[[#This Row],[CNY -&gt; THB]]</f>
        <v>1219247.3756862127</v>
      </c>
      <c r="AI359" s="507">
        <f>Port[[#This Row],[ECL_Undrawn (CNY)]]*Port[[#This Row],[CNY -&gt; THB]]</f>
        <v>0</v>
      </c>
      <c r="AJ359" s="507">
        <f>Port[[#This Row],[ECL (CNY)]]*Port[[#This Row],[CNY -&gt; THB]]</f>
        <v>1219247.3756862127</v>
      </c>
      <c r="AK359" s="507">
        <f>Port[[#This Row],[ECL_Interest (CNY)]]*Port[[#This Row],[CNY -&gt; THB]]</f>
        <v>32433.155575096087</v>
      </c>
      <c r="AL359" s="507">
        <f>Port[[#This Row],[EAD (THB)]]*Port[[#This Row],[PD_avg]]</f>
        <v>1354719.3063180142</v>
      </c>
      <c r="AM359" s="507">
        <f>Port[[#This Row],[EAD_Interest (THB)]]*Port[[#This Row],[PD_avg]]</f>
        <v>36036.839527884549</v>
      </c>
      <c r="AN359" s="507">
        <f>Port[[#This Row],[EAD (THB)]]*Port[[#This Row],[LGD_avg]]</f>
        <v>233302299.59224391</v>
      </c>
      <c r="AO359" s="507">
        <f>Port[[#This Row],[EAD_Interest (THB)]]*Port[[#This Row],[LGD_avg]]</f>
        <v>6206066.0778082404</v>
      </c>
      <c r="AP359" s="507">
        <f>Port[[#This Row],[EAD_Drawn (THB)]]+Port[[#This Row],[EAD_Interest (THB)]]</f>
        <v>266120406.30005792</v>
      </c>
      <c r="AQ3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1251680.5312613088</v>
      </c>
      <c r="AR359" s="522">
        <f>MAX(Port[[#This Row],[ECL (THB)]]+Port[[#This Row],[ECL_Interest (THB)]], Port[[#This Row],[ECL CBIRC (THB)]])</f>
        <v>1251680.5312613088</v>
      </c>
    </row>
    <row r="360" spans="1:44">
      <c r="A360" s="2" t="s">
        <v>336</v>
      </c>
      <c r="B360" s="2" t="s">
        <v>333</v>
      </c>
      <c r="C360" s="2" t="s">
        <v>328</v>
      </c>
      <c r="D360" s="2" t="s">
        <v>30</v>
      </c>
      <c r="E360" s="2" t="s">
        <v>19</v>
      </c>
      <c r="F360" s="2" t="s">
        <v>20</v>
      </c>
      <c r="G360" s="2" t="s">
        <v>21</v>
      </c>
      <c r="H360">
        <v>1</v>
      </c>
      <c r="I360" s="2" t="s">
        <v>526</v>
      </c>
      <c r="J360" s="505">
        <v>5.2260409683794924E-3</v>
      </c>
      <c r="K360" s="505">
        <v>0.8999999999999998</v>
      </c>
      <c r="L360" s="3">
        <v>1</v>
      </c>
      <c r="M360" s="3">
        <v>5.2488000000000001</v>
      </c>
      <c r="N360" s="507">
        <v>290700</v>
      </c>
      <c r="O360" s="507">
        <v>0</v>
      </c>
      <c r="P360" s="507">
        <v>290700</v>
      </c>
      <c r="Q360" s="507">
        <v>6944.5</v>
      </c>
      <c r="R360" s="507">
        <v>1367.2890985571264</v>
      </c>
      <c r="S360" s="507">
        <v>0</v>
      </c>
      <c r="T360" s="507">
        <v>1367.2890985571264</v>
      </c>
      <c r="U360" s="507">
        <v>32.663017354420248</v>
      </c>
      <c r="V360" s="507">
        <f>Port[[#This Row],[EAD_Drawn (CNY)]]*Port[[#This Row],[CNY -&gt; FCY]]</f>
        <v>290700</v>
      </c>
      <c r="W360" s="507">
        <f>Port[[#This Row],[EAD_Undrawn (CNY)]]*Port[[#This Row],[CNY -&gt; FCY]]</f>
        <v>0</v>
      </c>
      <c r="X360" s="507">
        <f>Port[[#This Row],[EAD (CNY)]]*Port[[#This Row],[CNY -&gt; FCY]]</f>
        <v>290700</v>
      </c>
      <c r="Y360" s="507">
        <f>Port[[#This Row],[EAD_Interest (CNY)]]*Port[[#This Row],[CNY -&gt; FCY]]</f>
        <v>6944.5</v>
      </c>
      <c r="Z360" s="507">
        <f>Port[[#This Row],[ECL_Drawn (CNY)]]*Port[[#This Row],[CNY -&gt; FCY]]</f>
        <v>1367.2890985571264</v>
      </c>
      <c r="AA360" s="507">
        <f>Port[[#This Row],[ECL_Undrawn (CNY)]]*Port[[#This Row],[CNY -&gt; FCY]]</f>
        <v>0</v>
      </c>
      <c r="AB360" s="507">
        <f>Port[[#This Row],[ECL (CNY)]]*Port[[#This Row],[CNY -&gt; FCY]]</f>
        <v>1367.2890985571264</v>
      </c>
      <c r="AC360" s="507">
        <f>Port[[#This Row],[ECL_Interest (CNY)]]*Port[[#This Row],[CNY -&gt; FCY]]</f>
        <v>32.663017354420248</v>
      </c>
      <c r="AD360" s="507">
        <f>Port[[#This Row],[EAD_Drawn (CNY)]]*Port[[#This Row],[CNY -&gt; THB]]</f>
        <v>1525826.1600000001</v>
      </c>
      <c r="AE360" s="507">
        <f>Port[[#This Row],[EAD_Undrawn (CNY)]]*Port[[#This Row],[CNY -&gt; THB]]</f>
        <v>0</v>
      </c>
      <c r="AF360" s="507">
        <f>Port[[#This Row],[EAD (CNY)]]*Port[[#This Row],[CNY -&gt; THB]]</f>
        <v>1525826.1600000001</v>
      </c>
      <c r="AG360" s="507">
        <f>Port[[#This Row],[EAD_Interest (CNY)]]*Port[[#This Row],[CNY -&gt; THB]]</f>
        <v>36450.291600000004</v>
      </c>
      <c r="AH360" s="507">
        <f>Port[[#This Row],[ECL_Drawn (CNY)]]*Port[[#This Row],[CNY -&gt; THB]]</f>
        <v>7176.6270205066448</v>
      </c>
      <c r="AI360" s="507">
        <f>Port[[#This Row],[ECL_Undrawn (CNY)]]*Port[[#This Row],[CNY -&gt; THB]]</f>
        <v>0</v>
      </c>
      <c r="AJ360" s="507">
        <f>Port[[#This Row],[ECL (CNY)]]*Port[[#This Row],[CNY -&gt; THB]]</f>
        <v>7176.6270205066448</v>
      </c>
      <c r="AK360" s="507">
        <f>Port[[#This Row],[ECL_Interest (CNY)]]*Port[[#This Row],[CNY -&gt; THB]]</f>
        <v>171.44164548988101</v>
      </c>
      <c r="AL360" s="507">
        <f>Port[[#This Row],[EAD (THB)]]*Port[[#This Row],[PD_avg]]</f>
        <v>7974.0300227851631</v>
      </c>
      <c r="AM360" s="507">
        <f>Port[[#This Row],[EAD_Interest (THB)]]*Port[[#This Row],[PD_avg]]</f>
        <v>190.49071721097889</v>
      </c>
      <c r="AN360" s="507">
        <f>Port[[#This Row],[EAD (THB)]]*Port[[#This Row],[LGD_avg]]</f>
        <v>1373243.5439999998</v>
      </c>
      <c r="AO360" s="507">
        <f>Port[[#This Row],[EAD_Interest (THB)]]*Port[[#This Row],[LGD_avg]]</f>
        <v>32805.262439999999</v>
      </c>
      <c r="AP360" s="507">
        <f>Port[[#This Row],[EAD_Drawn (THB)]]+Port[[#This Row],[EAD_Interest (THB)]]</f>
        <v>1562276.4516000003</v>
      </c>
      <c r="AQ36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22887.392400000001</v>
      </c>
      <c r="AR360" s="522">
        <f>MAX(Port[[#This Row],[ECL (THB)]]+Port[[#This Row],[ECL_Interest (THB)]], Port[[#This Row],[ECL CBIRC (THB)]])</f>
        <v>22887.392400000001</v>
      </c>
    </row>
    <row r="361" spans="1:44">
      <c r="A361" s="2" t="s">
        <v>1043</v>
      </c>
      <c r="B361" s="2" t="s">
        <v>329</v>
      </c>
      <c r="C361" s="2" t="s">
        <v>328</v>
      </c>
      <c r="D361" s="2" t="s">
        <v>30</v>
      </c>
      <c r="E361" s="2" t="s">
        <v>19</v>
      </c>
      <c r="F361" s="2" t="s">
        <v>20</v>
      </c>
      <c r="G361" s="2" t="s">
        <v>21</v>
      </c>
      <c r="H361">
        <v>1</v>
      </c>
      <c r="I361" s="2" t="s">
        <v>526</v>
      </c>
      <c r="J361" s="505">
        <v>5.2260409683794924E-3</v>
      </c>
      <c r="K361" s="505">
        <v>0.89999999999999969</v>
      </c>
      <c r="L361" s="3">
        <v>1</v>
      </c>
      <c r="M361" s="3">
        <v>5.2488000000000001</v>
      </c>
      <c r="N361" s="507">
        <v>1176000</v>
      </c>
      <c r="O361" s="507">
        <v>0</v>
      </c>
      <c r="P361" s="507">
        <v>1176000</v>
      </c>
      <c r="Q361" s="507">
        <v>27113.33</v>
      </c>
      <c r="R361" s="507">
        <v>5531.241760932854</v>
      </c>
      <c r="S361" s="507">
        <v>0</v>
      </c>
      <c r="T361" s="507">
        <v>5531.241760932854</v>
      </c>
      <c r="U361" s="507">
        <v>127.52583603227347</v>
      </c>
      <c r="V361" s="507">
        <f>Port[[#This Row],[EAD_Drawn (CNY)]]*Port[[#This Row],[CNY -&gt; FCY]]</f>
        <v>1176000</v>
      </c>
      <c r="W361" s="507">
        <f>Port[[#This Row],[EAD_Undrawn (CNY)]]*Port[[#This Row],[CNY -&gt; FCY]]</f>
        <v>0</v>
      </c>
      <c r="X361" s="507">
        <f>Port[[#This Row],[EAD (CNY)]]*Port[[#This Row],[CNY -&gt; FCY]]</f>
        <v>1176000</v>
      </c>
      <c r="Y361" s="507">
        <f>Port[[#This Row],[EAD_Interest (CNY)]]*Port[[#This Row],[CNY -&gt; FCY]]</f>
        <v>27113.33</v>
      </c>
      <c r="Z361" s="507">
        <f>Port[[#This Row],[ECL_Drawn (CNY)]]*Port[[#This Row],[CNY -&gt; FCY]]</f>
        <v>5531.241760932854</v>
      </c>
      <c r="AA361" s="507">
        <f>Port[[#This Row],[ECL_Undrawn (CNY)]]*Port[[#This Row],[CNY -&gt; FCY]]</f>
        <v>0</v>
      </c>
      <c r="AB361" s="507">
        <f>Port[[#This Row],[ECL (CNY)]]*Port[[#This Row],[CNY -&gt; FCY]]</f>
        <v>5531.241760932854</v>
      </c>
      <c r="AC361" s="507">
        <f>Port[[#This Row],[ECL_Interest (CNY)]]*Port[[#This Row],[CNY -&gt; FCY]]</f>
        <v>127.52583603227347</v>
      </c>
      <c r="AD361" s="507">
        <f>Port[[#This Row],[EAD_Drawn (CNY)]]*Port[[#This Row],[CNY -&gt; THB]]</f>
        <v>6172588.7999999998</v>
      </c>
      <c r="AE361" s="507">
        <f>Port[[#This Row],[EAD_Undrawn (CNY)]]*Port[[#This Row],[CNY -&gt; THB]]</f>
        <v>0</v>
      </c>
      <c r="AF361" s="507">
        <f>Port[[#This Row],[EAD (CNY)]]*Port[[#This Row],[CNY -&gt; THB]]</f>
        <v>6172588.7999999998</v>
      </c>
      <c r="AG361" s="507">
        <f>Port[[#This Row],[EAD_Interest (CNY)]]*Port[[#This Row],[CNY -&gt; THB]]</f>
        <v>142312.44650400002</v>
      </c>
      <c r="AH361" s="507">
        <f>Port[[#This Row],[ECL_Drawn (CNY)]]*Port[[#This Row],[CNY -&gt; THB]]</f>
        <v>29032.381754784365</v>
      </c>
      <c r="AI361" s="507">
        <f>Port[[#This Row],[ECL_Undrawn (CNY)]]*Port[[#This Row],[CNY -&gt; THB]]</f>
        <v>0</v>
      </c>
      <c r="AJ361" s="507">
        <f>Port[[#This Row],[ECL (CNY)]]*Port[[#This Row],[CNY -&gt; THB]]</f>
        <v>29032.381754784365</v>
      </c>
      <c r="AK361" s="507">
        <f>Port[[#This Row],[ECL_Interest (CNY)]]*Port[[#This Row],[CNY -&gt; THB]]</f>
        <v>669.357608166197</v>
      </c>
      <c r="AL361" s="507">
        <f>Port[[#This Row],[EAD (THB)]]*Port[[#This Row],[PD_avg]]</f>
        <v>32258.201949760409</v>
      </c>
      <c r="AM361" s="507">
        <f>Port[[#This Row],[EAD_Interest (THB)]]*Port[[#This Row],[PD_avg]]</f>
        <v>743.730675740219</v>
      </c>
      <c r="AN361" s="507">
        <f>Port[[#This Row],[EAD (THB)]]*Port[[#This Row],[LGD_avg]]</f>
        <v>5555329.9199999981</v>
      </c>
      <c r="AO361" s="507">
        <f>Port[[#This Row],[EAD_Interest (THB)]]*Port[[#This Row],[LGD_avg]]</f>
        <v>128081.20185359998</v>
      </c>
      <c r="AP361" s="507">
        <f>Port[[#This Row],[EAD_Drawn (THB)]]+Port[[#This Row],[EAD_Interest (THB)]]</f>
        <v>6314901.2465039995</v>
      </c>
      <c r="AQ36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92588.831999999995</v>
      </c>
      <c r="AR361" s="522">
        <f>MAX(Port[[#This Row],[ECL (THB)]]+Port[[#This Row],[ECL_Interest (THB)]], Port[[#This Row],[ECL CBIRC (THB)]])</f>
        <v>92588.831999999995</v>
      </c>
    </row>
    <row r="362" spans="1:44">
      <c r="A362" s="2" t="s">
        <v>1044</v>
      </c>
      <c r="B362" s="2" t="s">
        <v>329</v>
      </c>
      <c r="C362" s="2" t="s">
        <v>328</v>
      </c>
      <c r="D362" s="2" t="s">
        <v>30</v>
      </c>
      <c r="E362" s="2" t="s">
        <v>19</v>
      </c>
      <c r="F362" s="2" t="s">
        <v>20</v>
      </c>
      <c r="G362" s="2" t="s">
        <v>21</v>
      </c>
      <c r="H362">
        <v>1</v>
      </c>
      <c r="I362" s="2" t="s">
        <v>526</v>
      </c>
      <c r="J362" s="505">
        <v>5.2260409683794924E-3</v>
      </c>
      <c r="K362" s="505">
        <v>0.89999999999999991</v>
      </c>
      <c r="L362" s="3">
        <v>1</v>
      </c>
      <c r="M362" s="3">
        <v>5.2488000000000001</v>
      </c>
      <c r="N362" s="507">
        <v>571200</v>
      </c>
      <c r="O362" s="507">
        <v>0</v>
      </c>
      <c r="P362" s="507">
        <v>571200</v>
      </c>
      <c r="Q362" s="507">
        <v>13169.33</v>
      </c>
      <c r="R362" s="507">
        <v>2686.6031410245291</v>
      </c>
      <c r="S362" s="507">
        <v>0</v>
      </c>
      <c r="T362" s="507">
        <v>2686.6031410245291</v>
      </c>
      <c r="U362" s="507">
        <v>61.941112295498179</v>
      </c>
      <c r="V362" s="507">
        <f>Port[[#This Row],[EAD_Drawn (CNY)]]*Port[[#This Row],[CNY -&gt; FCY]]</f>
        <v>571200</v>
      </c>
      <c r="W362" s="507">
        <f>Port[[#This Row],[EAD_Undrawn (CNY)]]*Port[[#This Row],[CNY -&gt; FCY]]</f>
        <v>0</v>
      </c>
      <c r="X362" s="507">
        <f>Port[[#This Row],[EAD (CNY)]]*Port[[#This Row],[CNY -&gt; FCY]]</f>
        <v>571200</v>
      </c>
      <c r="Y362" s="507">
        <f>Port[[#This Row],[EAD_Interest (CNY)]]*Port[[#This Row],[CNY -&gt; FCY]]</f>
        <v>13169.33</v>
      </c>
      <c r="Z362" s="507">
        <f>Port[[#This Row],[ECL_Drawn (CNY)]]*Port[[#This Row],[CNY -&gt; FCY]]</f>
        <v>2686.6031410245291</v>
      </c>
      <c r="AA362" s="507">
        <f>Port[[#This Row],[ECL_Undrawn (CNY)]]*Port[[#This Row],[CNY -&gt; FCY]]</f>
        <v>0</v>
      </c>
      <c r="AB362" s="507">
        <f>Port[[#This Row],[ECL (CNY)]]*Port[[#This Row],[CNY -&gt; FCY]]</f>
        <v>2686.6031410245291</v>
      </c>
      <c r="AC362" s="507">
        <f>Port[[#This Row],[ECL_Interest (CNY)]]*Port[[#This Row],[CNY -&gt; FCY]]</f>
        <v>61.941112295498179</v>
      </c>
      <c r="AD362" s="507">
        <f>Port[[#This Row],[EAD_Drawn (CNY)]]*Port[[#This Row],[CNY -&gt; THB]]</f>
        <v>2998114.56</v>
      </c>
      <c r="AE362" s="507">
        <f>Port[[#This Row],[EAD_Undrawn (CNY)]]*Port[[#This Row],[CNY -&gt; THB]]</f>
        <v>0</v>
      </c>
      <c r="AF362" s="507">
        <f>Port[[#This Row],[EAD (CNY)]]*Port[[#This Row],[CNY -&gt; THB]]</f>
        <v>2998114.56</v>
      </c>
      <c r="AG362" s="507">
        <f>Port[[#This Row],[EAD_Interest (CNY)]]*Port[[#This Row],[CNY -&gt; THB]]</f>
        <v>69123.179304000005</v>
      </c>
      <c r="AH362" s="507">
        <f>Port[[#This Row],[ECL_Drawn (CNY)]]*Port[[#This Row],[CNY -&gt; THB]]</f>
        <v>14101.442566609549</v>
      </c>
      <c r="AI362" s="507">
        <f>Port[[#This Row],[ECL_Undrawn (CNY)]]*Port[[#This Row],[CNY -&gt; THB]]</f>
        <v>0</v>
      </c>
      <c r="AJ362" s="507">
        <f>Port[[#This Row],[ECL (CNY)]]*Port[[#This Row],[CNY -&gt; THB]]</f>
        <v>14101.442566609549</v>
      </c>
      <c r="AK362" s="507">
        <f>Port[[#This Row],[ECL_Interest (CNY)]]*Port[[#This Row],[CNY -&gt; THB]]</f>
        <v>325.11651021661083</v>
      </c>
      <c r="AL362" s="507">
        <f>Port[[#This Row],[EAD (THB)]]*Port[[#This Row],[PD_avg]]</f>
        <v>15668.269518455056</v>
      </c>
      <c r="AM362" s="507">
        <f>Port[[#This Row],[EAD_Interest (THB)]]*Port[[#This Row],[PD_avg]]</f>
        <v>361.24056690734545</v>
      </c>
      <c r="AN362" s="507">
        <f>Port[[#This Row],[EAD (THB)]]*Port[[#This Row],[LGD_avg]]</f>
        <v>2698303.1039999998</v>
      </c>
      <c r="AO362" s="507">
        <f>Port[[#This Row],[EAD_Interest (THB)]]*Port[[#This Row],[LGD_avg]]</f>
        <v>62210.861373599997</v>
      </c>
      <c r="AP362" s="507">
        <f>Port[[#This Row],[EAD_Drawn (THB)]]+Port[[#This Row],[EAD_Interest (THB)]]</f>
        <v>3067237.739304</v>
      </c>
      <c r="AQ36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44971.718399999998</v>
      </c>
      <c r="AR362" s="522">
        <f>MAX(Port[[#This Row],[ECL (THB)]]+Port[[#This Row],[ECL_Interest (THB)]], Port[[#This Row],[ECL CBIRC (THB)]])</f>
        <v>44971.718399999998</v>
      </c>
    </row>
    <row r="363" spans="1:44">
      <c r="A363" s="2" t="s">
        <v>1045</v>
      </c>
      <c r="B363" s="2" t="s">
        <v>333</v>
      </c>
      <c r="C363" s="2" t="s">
        <v>328</v>
      </c>
      <c r="D363" s="2" t="s">
        <v>30</v>
      </c>
      <c r="E363" s="2" t="s">
        <v>19</v>
      </c>
      <c r="F363" s="2" t="s">
        <v>20</v>
      </c>
      <c r="G363" s="2" t="s">
        <v>21</v>
      </c>
      <c r="H363">
        <v>1</v>
      </c>
      <c r="I363" s="2" t="s">
        <v>526</v>
      </c>
      <c r="J363" s="505">
        <v>5.2260409683794924E-3</v>
      </c>
      <c r="K363" s="505">
        <v>0.8999999999999998</v>
      </c>
      <c r="L363" s="3">
        <v>1</v>
      </c>
      <c r="M363" s="3">
        <v>5.2488000000000001</v>
      </c>
      <c r="N363" s="507">
        <v>210000</v>
      </c>
      <c r="O363" s="507">
        <v>0</v>
      </c>
      <c r="P363" s="507">
        <v>210000</v>
      </c>
      <c r="Q363" s="507">
        <v>4841.67</v>
      </c>
      <c r="R363" s="507">
        <v>987.721743023724</v>
      </c>
      <c r="S363" s="507">
        <v>0</v>
      </c>
      <c r="T363" s="507">
        <v>987.721743023724</v>
      </c>
      <c r="U363" s="507">
        <v>22.772489197836542</v>
      </c>
      <c r="V363" s="507">
        <f>Port[[#This Row],[EAD_Drawn (CNY)]]*Port[[#This Row],[CNY -&gt; FCY]]</f>
        <v>210000</v>
      </c>
      <c r="W363" s="507">
        <f>Port[[#This Row],[EAD_Undrawn (CNY)]]*Port[[#This Row],[CNY -&gt; FCY]]</f>
        <v>0</v>
      </c>
      <c r="X363" s="507">
        <f>Port[[#This Row],[EAD (CNY)]]*Port[[#This Row],[CNY -&gt; FCY]]</f>
        <v>210000</v>
      </c>
      <c r="Y363" s="507">
        <f>Port[[#This Row],[EAD_Interest (CNY)]]*Port[[#This Row],[CNY -&gt; FCY]]</f>
        <v>4841.67</v>
      </c>
      <c r="Z363" s="507">
        <f>Port[[#This Row],[ECL_Drawn (CNY)]]*Port[[#This Row],[CNY -&gt; FCY]]</f>
        <v>987.721743023724</v>
      </c>
      <c r="AA363" s="507">
        <f>Port[[#This Row],[ECL_Undrawn (CNY)]]*Port[[#This Row],[CNY -&gt; FCY]]</f>
        <v>0</v>
      </c>
      <c r="AB363" s="507">
        <f>Port[[#This Row],[ECL (CNY)]]*Port[[#This Row],[CNY -&gt; FCY]]</f>
        <v>987.721743023724</v>
      </c>
      <c r="AC363" s="507">
        <f>Port[[#This Row],[ECL_Interest (CNY)]]*Port[[#This Row],[CNY -&gt; FCY]]</f>
        <v>22.772489197836542</v>
      </c>
      <c r="AD363" s="507">
        <f>Port[[#This Row],[EAD_Drawn (CNY)]]*Port[[#This Row],[CNY -&gt; THB]]</f>
        <v>1102248</v>
      </c>
      <c r="AE363" s="507">
        <f>Port[[#This Row],[EAD_Undrawn (CNY)]]*Port[[#This Row],[CNY -&gt; THB]]</f>
        <v>0</v>
      </c>
      <c r="AF363" s="507">
        <f>Port[[#This Row],[EAD (CNY)]]*Port[[#This Row],[CNY -&gt; THB]]</f>
        <v>1102248</v>
      </c>
      <c r="AG363" s="507">
        <f>Port[[#This Row],[EAD_Interest (CNY)]]*Port[[#This Row],[CNY -&gt; THB]]</f>
        <v>25412.957496000003</v>
      </c>
      <c r="AH363" s="507">
        <f>Port[[#This Row],[ECL_Drawn (CNY)]]*Port[[#This Row],[CNY -&gt; THB]]</f>
        <v>5184.3538847829223</v>
      </c>
      <c r="AI363" s="507">
        <f>Port[[#This Row],[ECL_Undrawn (CNY)]]*Port[[#This Row],[CNY -&gt; THB]]</f>
        <v>0</v>
      </c>
      <c r="AJ363" s="507">
        <f>Port[[#This Row],[ECL (CNY)]]*Port[[#This Row],[CNY -&gt; THB]]</f>
        <v>5184.3538847829223</v>
      </c>
      <c r="AK363" s="507">
        <f>Port[[#This Row],[ECL_Interest (CNY)]]*Port[[#This Row],[CNY -&gt; THB]]</f>
        <v>119.52824130160444</v>
      </c>
      <c r="AL363" s="507">
        <f>Port[[#This Row],[EAD (THB)]]*Port[[#This Row],[PD_avg]]</f>
        <v>5760.393205314359</v>
      </c>
      <c r="AM363" s="507">
        <f>Port[[#This Row],[EAD_Interest (THB)]]*Port[[#This Row],[PD_avg]]</f>
        <v>132.80915700178272</v>
      </c>
      <c r="AN363" s="507">
        <f>Port[[#This Row],[EAD (THB)]]*Port[[#This Row],[LGD_avg]]</f>
        <v>992023.19999999984</v>
      </c>
      <c r="AO363" s="507">
        <f>Port[[#This Row],[EAD_Interest (THB)]]*Port[[#This Row],[LGD_avg]]</f>
        <v>22871.661746399997</v>
      </c>
      <c r="AP363" s="507">
        <f>Port[[#This Row],[EAD_Drawn (THB)]]+Port[[#This Row],[EAD_Interest (THB)]]</f>
        <v>1127660.957496</v>
      </c>
      <c r="AQ36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16533.72</v>
      </c>
      <c r="AR363" s="522">
        <f>MAX(Port[[#This Row],[ECL (THB)]]+Port[[#This Row],[ECL_Interest (THB)]], Port[[#This Row],[ECL CBIRC (THB)]])</f>
        <v>16533.72</v>
      </c>
    </row>
    <row r="364" spans="1:44">
      <c r="A364" s="2" t="s">
        <v>1046</v>
      </c>
      <c r="B364" s="2" t="s">
        <v>332</v>
      </c>
      <c r="C364" s="2" t="s">
        <v>328</v>
      </c>
      <c r="D364" s="2" t="s">
        <v>18</v>
      </c>
      <c r="E364" s="2" t="s">
        <v>19</v>
      </c>
      <c r="F364" s="2" t="s">
        <v>20</v>
      </c>
      <c r="G364" s="2" t="s">
        <v>21</v>
      </c>
      <c r="H364">
        <v>1</v>
      </c>
      <c r="I364" s="2" t="s">
        <v>526</v>
      </c>
      <c r="J364" s="505">
        <v>5.2260409683794924E-3</v>
      </c>
      <c r="K364" s="505">
        <v>0.8999999999999998</v>
      </c>
      <c r="L364" s="3">
        <v>1</v>
      </c>
      <c r="M364" s="3">
        <v>5.2488000000000001</v>
      </c>
      <c r="N364" s="507">
        <v>1206000</v>
      </c>
      <c r="O364" s="507">
        <v>0</v>
      </c>
      <c r="P364" s="507">
        <v>1206000</v>
      </c>
      <c r="Q364" s="507">
        <v>29480</v>
      </c>
      <c r="R364" s="507">
        <v>5672.3448670791004</v>
      </c>
      <c r="S364" s="507">
        <v>0</v>
      </c>
      <c r="T364" s="507">
        <v>5672.3448670791004</v>
      </c>
      <c r="U364" s="507">
        <v>138.65731897304468</v>
      </c>
      <c r="V364" s="507">
        <f>Port[[#This Row],[EAD_Drawn (CNY)]]*Port[[#This Row],[CNY -&gt; FCY]]</f>
        <v>1206000</v>
      </c>
      <c r="W364" s="507">
        <f>Port[[#This Row],[EAD_Undrawn (CNY)]]*Port[[#This Row],[CNY -&gt; FCY]]</f>
        <v>0</v>
      </c>
      <c r="X364" s="507">
        <f>Port[[#This Row],[EAD (CNY)]]*Port[[#This Row],[CNY -&gt; FCY]]</f>
        <v>1206000</v>
      </c>
      <c r="Y364" s="507">
        <f>Port[[#This Row],[EAD_Interest (CNY)]]*Port[[#This Row],[CNY -&gt; FCY]]</f>
        <v>29480</v>
      </c>
      <c r="Z364" s="507">
        <f>Port[[#This Row],[ECL_Drawn (CNY)]]*Port[[#This Row],[CNY -&gt; FCY]]</f>
        <v>5672.3448670791004</v>
      </c>
      <c r="AA364" s="507">
        <f>Port[[#This Row],[ECL_Undrawn (CNY)]]*Port[[#This Row],[CNY -&gt; FCY]]</f>
        <v>0</v>
      </c>
      <c r="AB364" s="507">
        <f>Port[[#This Row],[ECL (CNY)]]*Port[[#This Row],[CNY -&gt; FCY]]</f>
        <v>5672.3448670791004</v>
      </c>
      <c r="AC364" s="507">
        <f>Port[[#This Row],[ECL_Interest (CNY)]]*Port[[#This Row],[CNY -&gt; FCY]]</f>
        <v>138.65731897304468</v>
      </c>
      <c r="AD364" s="507">
        <f>Port[[#This Row],[EAD_Drawn (CNY)]]*Port[[#This Row],[CNY -&gt; THB]]</f>
        <v>6330052.7999999998</v>
      </c>
      <c r="AE364" s="507">
        <f>Port[[#This Row],[EAD_Undrawn (CNY)]]*Port[[#This Row],[CNY -&gt; THB]]</f>
        <v>0</v>
      </c>
      <c r="AF364" s="507">
        <f>Port[[#This Row],[EAD (CNY)]]*Port[[#This Row],[CNY -&gt; THB]]</f>
        <v>6330052.7999999998</v>
      </c>
      <c r="AG364" s="507">
        <f>Port[[#This Row],[EAD_Interest (CNY)]]*Port[[#This Row],[CNY -&gt; THB]]</f>
        <v>154734.62400000001</v>
      </c>
      <c r="AH364" s="507">
        <f>Port[[#This Row],[ECL_Drawn (CNY)]]*Port[[#This Row],[CNY -&gt; THB]]</f>
        <v>29773.003738324784</v>
      </c>
      <c r="AI364" s="507">
        <f>Port[[#This Row],[ECL_Undrawn (CNY)]]*Port[[#This Row],[CNY -&gt; THB]]</f>
        <v>0</v>
      </c>
      <c r="AJ364" s="507">
        <f>Port[[#This Row],[ECL (CNY)]]*Port[[#This Row],[CNY -&gt; THB]]</f>
        <v>29773.003738324784</v>
      </c>
      <c r="AK364" s="507">
        <f>Port[[#This Row],[ECL_Interest (CNY)]]*Port[[#This Row],[CNY -&gt; THB]]</f>
        <v>727.78453582571694</v>
      </c>
      <c r="AL364" s="507">
        <f>Port[[#This Row],[EAD (THB)]]*Port[[#This Row],[PD_avg]]</f>
        <v>33081.115264805318</v>
      </c>
      <c r="AM364" s="507">
        <f>Port[[#This Row],[EAD_Interest (THB)]]*Port[[#This Row],[PD_avg]]</f>
        <v>808.64948425079672</v>
      </c>
      <c r="AN364" s="507">
        <f>Port[[#This Row],[EAD (THB)]]*Port[[#This Row],[LGD_avg]]</f>
        <v>5697047.5199999986</v>
      </c>
      <c r="AO364" s="507">
        <f>Port[[#This Row],[EAD_Interest (THB)]]*Port[[#This Row],[LGD_avg]]</f>
        <v>139261.16159999999</v>
      </c>
      <c r="AP364" s="507">
        <f>Port[[#This Row],[EAD_Drawn (THB)]]+Port[[#This Row],[EAD_Interest (THB)]]</f>
        <v>6484787.4239999996</v>
      </c>
      <c r="AQ36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94950.791999999987</v>
      </c>
      <c r="AR364" s="522">
        <f>MAX(Port[[#This Row],[ECL (THB)]]+Port[[#This Row],[ECL_Interest (THB)]], Port[[#This Row],[ECL CBIRC (THB)]])</f>
        <v>94950.791999999987</v>
      </c>
    </row>
    <row r="365" spans="1:44">
      <c r="A365" s="2" t="s">
        <v>1047</v>
      </c>
      <c r="B365" s="2" t="s">
        <v>335</v>
      </c>
      <c r="C365" s="2" t="s">
        <v>328</v>
      </c>
      <c r="D365" s="2" t="s">
        <v>30</v>
      </c>
      <c r="E365" s="2" t="s">
        <v>19</v>
      </c>
      <c r="F365" s="2" t="s">
        <v>20</v>
      </c>
      <c r="G365" s="2" t="s">
        <v>21</v>
      </c>
      <c r="H365">
        <v>1</v>
      </c>
      <c r="I365" s="2" t="s">
        <v>526</v>
      </c>
      <c r="J365" s="505">
        <v>5.2260409683794924E-3</v>
      </c>
      <c r="K365" s="505">
        <v>0.90000000000000013</v>
      </c>
      <c r="L365" s="3">
        <v>1</v>
      </c>
      <c r="M365" s="3">
        <v>5.2488000000000001</v>
      </c>
      <c r="N365" s="507">
        <v>500000</v>
      </c>
      <c r="O365" s="507">
        <v>0</v>
      </c>
      <c r="P365" s="507">
        <v>500000</v>
      </c>
      <c r="Q365" s="507">
        <v>12222.22</v>
      </c>
      <c r="R365" s="507">
        <v>2351.7184357707715</v>
      </c>
      <c r="S365" s="507">
        <v>0</v>
      </c>
      <c r="T365" s="507">
        <v>2351.7184357707715</v>
      </c>
      <c r="U365" s="507">
        <v>57.486440200092474</v>
      </c>
      <c r="V365" s="507">
        <f>Port[[#This Row],[EAD_Drawn (CNY)]]*Port[[#This Row],[CNY -&gt; FCY]]</f>
        <v>500000</v>
      </c>
      <c r="W365" s="507">
        <f>Port[[#This Row],[EAD_Undrawn (CNY)]]*Port[[#This Row],[CNY -&gt; FCY]]</f>
        <v>0</v>
      </c>
      <c r="X365" s="507">
        <f>Port[[#This Row],[EAD (CNY)]]*Port[[#This Row],[CNY -&gt; FCY]]</f>
        <v>500000</v>
      </c>
      <c r="Y365" s="507">
        <f>Port[[#This Row],[EAD_Interest (CNY)]]*Port[[#This Row],[CNY -&gt; FCY]]</f>
        <v>12222.22</v>
      </c>
      <c r="Z365" s="507">
        <f>Port[[#This Row],[ECL_Drawn (CNY)]]*Port[[#This Row],[CNY -&gt; FCY]]</f>
        <v>2351.7184357707715</v>
      </c>
      <c r="AA365" s="507">
        <f>Port[[#This Row],[ECL_Undrawn (CNY)]]*Port[[#This Row],[CNY -&gt; FCY]]</f>
        <v>0</v>
      </c>
      <c r="AB365" s="507">
        <f>Port[[#This Row],[ECL (CNY)]]*Port[[#This Row],[CNY -&gt; FCY]]</f>
        <v>2351.7184357707715</v>
      </c>
      <c r="AC365" s="507">
        <f>Port[[#This Row],[ECL_Interest (CNY)]]*Port[[#This Row],[CNY -&gt; FCY]]</f>
        <v>57.486440200092474</v>
      </c>
      <c r="AD365" s="507">
        <f>Port[[#This Row],[EAD_Drawn (CNY)]]*Port[[#This Row],[CNY -&gt; THB]]</f>
        <v>2624400</v>
      </c>
      <c r="AE365" s="507">
        <f>Port[[#This Row],[EAD_Undrawn (CNY)]]*Port[[#This Row],[CNY -&gt; THB]]</f>
        <v>0</v>
      </c>
      <c r="AF365" s="507">
        <f>Port[[#This Row],[EAD (CNY)]]*Port[[#This Row],[CNY -&gt; THB]]</f>
        <v>2624400</v>
      </c>
      <c r="AG365" s="507">
        <f>Port[[#This Row],[EAD_Interest (CNY)]]*Port[[#This Row],[CNY -&gt; THB]]</f>
        <v>64151.988335999995</v>
      </c>
      <c r="AH365" s="507">
        <f>Port[[#This Row],[ECL_Drawn (CNY)]]*Port[[#This Row],[CNY -&gt; THB]]</f>
        <v>12343.699725673627</v>
      </c>
      <c r="AI365" s="507">
        <f>Port[[#This Row],[ECL_Undrawn (CNY)]]*Port[[#This Row],[CNY -&gt; THB]]</f>
        <v>0</v>
      </c>
      <c r="AJ365" s="507">
        <f>Port[[#This Row],[ECL (CNY)]]*Port[[#This Row],[CNY -&gt; THB]]</f>
        <v>12343.699725673627</v>
      </c>
      <c r="AK365" s="507">
        <f>Port[[#This Row],[ECL_Interest (CNY)]]*Port[[#This Row],[CNY -&gt; THB]]</f>
        <v>301.73482732224539</v>
      </c>
      <c r="AL365" s="507">
        <f>Port[[#This Row],[EAD (THB)]]*Port[[#This Row],[PD_avg]]</f>
        <v>13715.22191741514</v>
      </c>
      <c r="AM365" s="507">
        <f>Port[[#This Row],[EAD_Interest (THB)]]*Port[[#This Row],[PD_avg]]</f>
        <v>335.2609192469393</v>
      </c>
      <c r="AN365" s="507">
        <f>Port[[#This Row],[EAD (THB)]]*Port[[#This Row],[LGD_avg]]</f>
        <v>2361960.0000000005</v>
      </c>
      <c r="AO365" s="507">
        <f>Port[[#This Row],[EAD_Interest (THB)]]*Port[[#This Row],[LGD_avg]]</f>
        <v>57736.789502400003</v>
      </c>
      <c r="AP365" s="507">
        <f>Port[[#This Row],[EAD_Drawn (THB)]]+Port[[#This Row],[EAD_Interest (THB)]]</f>
        <v>2688551.9883360001</v>
      </c>
      <c r="AQ36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</v>
      </c>
      <c r="AR365" s="522">
        <f>MAX(Port[[#This Row],[ECL (THB)]]+Port[[#This Row],[ECL_Interest (THB)]], Port[[#This Row],[ECL CBIRC (THB)]])</f>
        <v>39366</v>
      </c>
    </row>
    <row r="366" spans="1:44">
      <c r="A366" s="2" t="s">
        <v>1048</v>
      </c>
      <c r="B366" s="2" t="s">
        <v>1049</v>
      </c>
      <c r="C366" s="2" t="s">
        <v>328</v>
      </c>
      <c r="D366" s="2" t="s">
        <v>18</v>
      </c>
      <c r="E366" s="2" t="s">
        <v>19</v>
      </c>
      <c r="F366" s="2" t="s">
        <v>20</v>
      </c>
      <c r="G366" s="2" t="s">
        <v>21</v>
      </c>
      <c r="H366">
        <v>1</v>
      </c>
      <c r="I366" s="2" t="s">
        <v>526</v>
      </c>
      <c r="J366" s="505">
        <v>5.2260409683794924E-3</v>
      </c>
      <c r="K366" s="505">
        <v>0.89999999999999991</v>
      </c>
      <c r="L366" s="3">
        <v>1</v>
      </c>
      <c r="M366" s="3">
        <v>5.2488000000000001</v>
      </c>
      <c r="N366" s="507">
        <v>3953700</v>
      </c>
      <c r="O366" s="507">
        <v>0</v>
      </c>
      <c r="P366" s="507">
        <v>3953700</v>
      </c>
      <c r="Q366" s="507">
        <v>87860</v>
      </c>
      <c r="R366" s="507">
        <v>18595.978359013796</v>
      </c>
      <c r="S366" s="507">
        <v>0</v>
      </c>
      <c r="T366" s="507">
        <v>18595.978359013796</v>
      </c>
      <c r="U366" s="507">
        <v>413.24396353363994</v>
      </c>
      <c r="V366" s="507">
        <f>Port[[#This Row],[EAD_Drawn (CNY)]]*Port[[#This Row],[CNY -&gt; FCY]]</f>
        <v>3953700</v>
      </c>
      <c r="W366" s="507">
        <f>Port[[#This Row],[EAD_Undrawn (CNY)]]*Port[[#This Row],[CNY -&gt; FCY]]</f>
        <v>0</v>
      </c>
      <c r="X366" s="507">
        <f>Port[[#This Row],[EAD (CNY)]]*Port[[#This Row],[CNY -&gt; FCY]]</f>
        <v>3953700</v>
      </c>
      <c r="Y366" s="507">
        <f>Port[[#This Row],[EAD_Interest (CNY)]]*Port[[#This Row],[CNY -&gt; FCY]]</f>
        <v>87860</v>
      </c>
      <c r="Z366" s="507">
        <f>Port[[#This Row],[ECL_Drawn (CNY)]]*Port[[#This Row],[CNY -&gt; FCY]]</f>
        <v>18595.978359013796</v>
      </c>
      <c r="AA366" s="507">
        <f>Port[[#This Row],[ECL_Undrawn (CNY)]]*Port[[#This Row],[CNY -&gt; FCY]]</f>
        <v>0</v>
      </c>
      <c r="AB366" s="507">
        <f>Port[[#This Row],[ECL (CNY)]]*Port[[#This Row],[CNY -&gt; FCY]]</f>
        <v>18595.978359013796</v>
      </c>
      <c r="AC366" s="507">
        <f>Port[[#This Row],[ECL_Interest (CNY)]]*Port[[#This Row],[CNY -&gt; FCY]]</f>
        <v>413.24396353363994</v>
      </c>
      <c r="AD366" s="507">
        <f>Port[[#This Row],[EAD_Drawn (CNY)]]*Port[[#This Row],[CNY -&gt; THB]]</f>
        <v>20752180.560000002</v>
      </c>
      <c r="AE366" s="507">
        <f>Port[[#This Row],[EAD_Undrawn (CNY)]]*Port[[#This Row],[CNY -&gt; THB]]</f>
        <v>0</v>
      </c>
      <c r="AF366" s="507">
        <f>Port[[#This Row],[EAD (CNY)]]*Port[[#This Row],[CNY -&gt; THB]]</f>
        <v>20752180.560000002</v>
      </c>
      <c r="AG366" s="507">
        <f>Port[[#This Row],[EAD_Interest (CNY)]]*Port[[#This Row],[CNY -&gt; THB]]</f>
        <v>461159.56800000003</v>
      </c>
      <c r="AH366" s="507">
        <f>Port[[#This Row],[ECL_Drawn (CNY)]]*Port[[#This Row],[CNY -&gt; THB]]</f>
        <v>97606.571210791619</v>
      </c>
      <c r="AI366" s="507">
        <f>Port[[#This Row],[ECL_Undrawn (CNY)]]*Port[[#This Row],[CNY -&gt; THB]]</f>
        <v>0</v>
      </c>
      <c r="AJ366" s="507">
        <f>Port[[#This Row],[ECL (CNY)]]*Port[[#This Row],[CNY -&gt; THB]]</f>
        <v>97606.571210791619</v>
      </c>
      <c r="AK366" s="507">
        <f>Port[[#This Row],[ECL_Interest (CNY)]]*Port[[#This Row],[CNY -&gt; THB]]</f>
        <v>2169.0349157953692</v>
      </c>
      <c r="AL366" s="507">
        <f>Port[[#This Row],[EAD (THB)]]*Port[[#This Row],[PD_avg]]</f>
        <v>108451.74578976849</v>
      </c>
      <c r="AM366" s="507">
        <f>Port[[#This Row],[EAD_Interest (THB)]]*Port[[#This Row],[PD_avg]]</f>
        <v>2410.0387953281884</v>
      </c>
      <c r="AN366" s="507">
        <f>Port[[#This Row],[EAD (THB)]]*Port[[#This Row],[LGD_avg]]</f>
        <v>18676962.504000001</v>
      </c>
      <c r="AO366" s="507">
        <f>Port[[#This Row],[EAD_Interest (THB)]]*Port[[#This Row],[LGD_avg]]</f>
        <v>415043.61119999998</v>
      </c>
      <c r="AP366" s="507">
        <f>Port[[#This Row],[EAD_Drawn (THB)]]+Port[[#This Row],[EAD_Interest (THB)]]</f>
        <v>21213340.128000002</v>
      </c>
      <c r="AQ36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311282.7084</v>
      </c>
      <c r="AR366" s="522">
        <f>MAX(Port[[#This Row],[ECL (THB)]]+Port[[#This Row],[ECL_Interest (THB)]], Port[[#This Row],[ECL CBIRC (THB)]])</f>
        <v>311282.7084</v>
      </c>
    </row>
    <row r="367" spans="1:44">
      <c r="A367" s="2" t="s">
        <v>1050</v>
      </c>
      <c r="B367" s="2" t="s">
        <v>329</v>
      </c>
      <c r="C367" s="2" t="s">
        <v>328</v>
      </c>
      <c r="D367" s="2" t="s">
        <v>30</v>
      </c>
      <c r="E367" s="2" t="s">
        <v>19</v>
      </c>
      <c r="F367" s="2" t="s">
        <v>20</v>
      </c>
      <c r="G367" s="2" t="s">
        <v>21</v>
      </c>
      <c r="H367">
        <v>1</v>
      </c>
      <c r="I367" s="2" t="s">
        <v>526</v>
      </c>
      <c r="J367" s="505">
        <v>5.2260409683794924E-3</v>
      </c>
      <c r="K367" s="505">
        <v>0.89999999999999958</v>
      </c>
      <c r="L367" s="3">
        <v>1</v>
      </c>
      <c r="M367" s="3">
        <v>5.2488000000000001</v>
      </c>
      <c r="N367" s="507">
        <v>1752000</v>
      </c>
      <c r="O367" s="507">
        <v>0</v>
      </c>
      <c r="P367" s="507">
        <v>1752000</v>
      </c>
      <c r="Q367" s="507">
        <v>42583.33</v>
      </c>
      <c r="R367" s="507">
        <v>8240.4213989407817</v>
      </c>
      <c r="S367" s="507">
        <v>0</v>
      </c>
      <c r="T367" s="507">
        <v>8240.4213989407817</v>
      </c>
      <c r="U367" s="507">
        <v>200.28800443502109</v>
      </c>
      <c r="V367" s="507">
        <f>Port[[#This Row],[EAD_Drawn (CNY)]]*Port[[#This Row],[CNY -&gt; FCY]]</f>
        <v>1752000</v>
      </c>
      <c r="W367" s="507">
        <f>Port[[#This Row],[EAD_Undrawn (CNY)]]*Port[[#This Row],[CNY -&gt; FCY]]</f>
        <v>0</v>
      </c>
      <c r="X367" s="507">
        <f>Port[[#This Row],[EAD (CNY)]]*Port[[#This Row],[CNY -&gt; FCY]]</f>
        <v>1752000</v>
      </c>
      <c r="Y367" s="507">
        <f>Port[[#This Row],[EAD_Interest (CNY)]]*Port[[#This Row],[CNY -&gt; FCY]]</f>
        <v>42583.33</v>
      </c>
      <c r="Z367" s="507">
        <f>Port[[#This Row],[ECL_Drawn (CNY)]]*Port[[#This Row],[CNY -&gt; FCY]]</f>
        <v>8240.4213989407817</v>
      </c>
      <c r="AA367" s="507">
        <f>Port[[#This Row],[ECL_Undrawn (CNY)]]*Port[[#This Row],[CNY -&gt; FCY]]</f>
        <v>0</v>
      </c>
      <c r="AB367" s="507">
        <f>Port[[#This Row],[ECL (CNY)]]*Port[[#This Row],[CNY -&gt; FCY]]</f>
        <v>8240.4213989407817</v>
      </c>
      <c r="AC367" s="507">
        <f>Port[[#This Row],[ECL_Interest (CNY)]]*Port[[#This Row],[CNY -&gt; FCY]]</f>
        <v>200.28800443502109</v>
      </c>
      <c r="AD367" s="507">
        <f>Port[[#This Row],[EAD_Drawn (CNY)]]*Port[[#This Row],[CNY -&gt; THB]]</f>
        <v>9195897.5999999996</v>
      </c>
      <c r="AE367" s="507">
        <f>Port[[#This Row],[EAD_Undrawn (CNY)]]*Port[[#This Row],[CNY -&gt; THB]]</f>
        <v>0</v>
      </c>
      <c r="AF367" s="507">
        <f>Port[[#This Row],[EAD (CNY)]]*Port[[#This Row],[CNY -&gt; THB]]</f>
        <v>9195897.5999999996</v>
      </c>
      <c r="AG367" s="507">
        <f>Port[[#This Row],[EAD_Interest (CNY)]]*Port[[#This Row],[CNY -&gt; THB]]</f>
        <v>223511.38250400001</v>
      </c>
      <c r="AH367" s="507">
        <f>Port[[#This Row],[ECL_Drawn (CNY)]]*Port[[#This Row],[CNY -&gt; THB]]</f>
        <v>43252.323838760378</v>
      </c>
      <c r="AI367" s="507">
        <f>Port[[#This Row],[ECL_Undrawn (CNY)]]*Port[[#This Row],[CNY -&gt; THB]]</f>
        <v>0</v>
      </c>
      <c r="AJ367" s="507">
        <f>Port[[#This Row],[ECL (CNY)]]*Port[[#This Row],[CNY -&gt; THB]]</f>
        <v>43252.323838760378</v>
      </c>
      <c r="AK367" s="507">
        <f>Port[[#This Row],[ECL_Interest (CNY)]]*Port[[#This Row],[CNY -&gt; THB]]</f>
        <v>1051.2716776785387</v>
      </c>
      <c r="AL367" s="507">
        <f>Port[[#This Row],[EAD (THB)]]*Port[[#This Row],[PD_avg]]</f>
        <v>48058.137598622649</v>
      </c>
      <c r="AM367" s="507">
        <f>Port[[#This Row],[EAD_Interest (THB)]]*Port[[#This Row],[PD_avg]]</f>
        <v>1168.0796418650434</v>
      </c>
      <c r="AN367" s="507">
        <f>Port[[#This Row],[EAD (THB)]]*Port[[#This Row],[LGD_avg]]</f>
        <v>8276307.8399999961</v>
      </c>
      <c r="AO367" s="507">
        <f>Port[[#This Row],[EAD_Interest (THB)]]*Port[[#This Row],[LGD_avg]]</f>
        <v>201160.2442535999</v>
      </c>
      <c r="AP367" s="507">
        <f>Port[[#This Row],[EAD_Drawn (THB)]]+Port[[#This Row],[EAD_Interest (THB)]]</f>
        <v>9419408.982503999</v>
      </c>
      <c r="AQ36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137938.46399999998</v>
      </c>
      <c r="AR367" s="522">
        <f>MAX(Port[[#This Row],[ECL (THB)]]+Port[[#This Row],[ECL_Interest (THB)]], Port[[#This Row],[ECL CBIRC (THB)]])</f>
        <v>137938.46399999998</v>
      </c>
    </row>
    <row r="368" spans="1:44">
      <c r="A368" s="2" t="s">
        <v>1051</v>
      </c>
      <c r="B368" s="2" t="s">
        <v>333</v>
      </c>
      <c r="C368" s="2" t="s">
        <v>328</v>
      </c>
      <c r="D368" s="2" t="s">
        <v>30</v>
      </c>
      <c r="E368" s="2" t="s">
        <v>19</v>
      </c>
      <c r="F368" s="2" t="s">
        <v>20</v>
      </c>
      <c r="G368" s="2" t="s">
        <v>21</v>
      </c>
      <c r="H368">
        <v>1</v>
      </c>
      <c r="I368" s="2" t="s">
        <v>526</v>
      </c>
      <c r="J368" s="505">
        <v>5.2260409683794924E-3</v>
      </c>
      <c r="K368" s="505">
        <v>0.89999999999999991</v>
      </c>
      <c r="L368" s="3">
        <v>1</v>
      </c>
      <c r="M368" s="3">
        <v>5.2488000000000001</v>
      </c>
      <c r="N368" s="507">
        <v>517500</v>
      </c>
      <c r="O368" s="507">
        <v>0</v>
      </c>
      <c r="P368" s="507">
        <v>517500</v>
      </c>
      <c r="Q368" s="507">
        <v>12578.13</v>
      </c>
      <c r="R368" s="507">
        <v>2434.0285810227483</v>
      </c>
      <c r="S368" s="507">
        <v>0</v>
      </c>
      <c r="T368" s="507">
        <v>2434.0285810227483</v>
      </c>
      <c r="U368" s="507">
        <v>59.160440417042821</v>
      </c>
      <c r="V368" s="507">
        <f>Port[[#This Row],[EAD_Drawn (CNY)]]*Port[[#This Row],[CNY -&gt; FCY]]</f>
        <v>517500</v>
      </c>
      <c r="W368" s="507">
        <f>Port[[#This Row],[EAD_Undrawn (CNY)]]*Port[[#This Row],[CNY -&gt; FCY]]</f>
        <v>0</v>
      </c>
      <c r="X368" s="507">
        <f>Port[[#This Row],[EAD (CNY)]]*Port[[#This Row],[CNY -&gt; FCY]]</f>
        <v>517500</v>
      </c>
      <c r="Y368" s="507">
        <f>Port[[#This Row],[EAD_Interest (CNY)]]*Port[[#This Row],[CNY -&gt; FCY]]</f>
        <v>12578.13</v>
      </c>
      <c r="Z368" s="507">
        <f>Port[[#This Row],[ECL_Drawn (CNY)]]*Port[[#This Row],[CNY -&gt; FCY]]</f>
        <v>2434.0285810227483</v>
      </c>
      <c r="AA368" s="507">
        <f>Port[[#This Row],[ECL_Undrawn (CNY)]]*Port[[#This Row],[CNY -&gt; FCY]]</f>
        <v>0</v>
      </c>
      <c r="AB368" s="507">
        <f>Port[[#This Row],[ECL (CNY)]]*Port[[#This Row],[CNY -&gt; FCY]]</f>
        <v>2434.0285810227483</v>
      </c>
      <c r="AC368" s="507">
        <f>Port[[#This Row],[ECL_Interest (CNY)]]*Port[[#This Row],[CNY -&gt; FCY]]</f>
        <v>59.160440417042821</v>
      </c>
      <c r="AD368" s="507">
        <f>Port[[#This Row],[EAD_Drawn (CNY)]]*Port[[#This Row],[CNY -&gt; THB]]</f>
        <v>2716254</v>
      </c>
      <c r="AE368" s="507">
        <f>Port[[#This Row],[EAD_Undrawn (CNY)]]*Port[[#This Row],[CNY -&gt; THB]]</f>
        <v>0</v>
      </c>
      <c r="AF368" s="507">
        <f>Port[[#This Row],[EAD (CNY)]]*Port[[#This Row],[CNY -&gt; THB]]</f>
        <v>2716254</v>
      </c>
      <c r="AG368" s="507">
        <f>Port[[#This Row],[EAD_Interest (CNY)]]*Port[[#This Row],[CNY -&gt; THB]]</f>
        <v>66020.088743999993</v>
      </c>
      <c r="AH368" s="507">
        <f>Port[[#This Row],[ECL_Drawn (CNY)]]*Port[[#This Row],[CNY -&gt; THB]]</f>
        <v>12775.729216072201</v>
      </c>
      <c r="AI368" s="507">
        <f>Port[[#This Row],[ECL_Undrawn (CNY)]]*Port[[#This Row],[CNY -&gt; THB]]</f>
        <v>0</v>
      </c>
      <c r="AJ368" s="507">
        <f>Port[[#This Row],[ECL (CNY)]]*Port[[#This Row],[CNY -&gt; THB]]</f>
        <v>12775.729216072201</v>
      </c>
      <c r="AK368" s="507">
        <f>Port[[#This Row],[ECL_Interest (CNY)]]*Port[[#This Row],[CNY -&gt; THB]]</f>
        <v>310.52131966097437</v>
      </c>
      <c r="AL368" s="507">
        <f>Port[[#This Row],[EAD (THB)]]*Port[[#This Row],[PD_avg]]</f>
        <v>14195.254684524671</v>
      </c>
      <c r="AM368" s="507">
        <f>Port[[#This Row],[EAD_Interest (THB)]]*Port[[#This Row],[PD_avg]]</f>
        <v>345.02368851219376</v>
      </c>
      <c r="AN368" s="507">
        <f>Port[[#This Row],[EAD (THB)]]*Port[[#This Row],[LGD_avg]]</f>
        <v>2444628.5999999996</v>
      </c>
      <c r="AO368" s="507">
        <f>Port[[#This Row],[EAD_Interest (THB)]]*Port[[#This Row],[LGD_avg]]</f>
        <v>59418.079869599991</v>
      </c>
      <c r="AP368" s="507">
        <f>Port[[#This Row],[EAD_Drawn (THB)]]+Port[[#This Row],[EAD_Interest (THB)]]</f>
        <v>2782274.0887440001</v>
      </c>
      <c r="AQ36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40743.81</v>
      </c>
      <c r="AR368" s="522">
        <f>MAX(Port[[#This Row],[ECL (THB)]]+Port[[#This Row],[ECL_Interest (THB)]], Port[[#This Row],[ECL CBIRC (THB)]])</f>
        <v>40743.81</v>
      </c>
    </row>
    <row r="369" spans="1:44">
      <c r="A369" s="2" t="s">
        <v>1052</v>
      </c>
      <c r="B369" s="2" t="s">
        <v>334</v>
      </c>
      <c r="C369" s="2" t="s">
        <v>328</v>
      </c>
      <c r="D369" s="2" t="s">
        <v>30</v>
      </c>
      <c r="E369" s="2" t="s">
        <v>19</v>
      </c>
      <c r="F369" s="2" t="s">
        <v>20</v>
      </c>
      <c r="G369" s="2" t="s">
        <v>21</v>
      </c>
      <c r="H369">
        <v>1</v>
      </c>
      <c r="I369" s="2" t="s">
        <v>526</v>
      </c>
      <c r="J369" s="505">
        <v>5.2260409683794924E-3</v>
      </c>
      <c r="K369" s="505">
        <v>0.8999999999999998</v>
      </c>
      <c r="L369" s="3">
        <v>1</v>
      </c>
      <c r="M369" s="3">
        <v>5.2488000000000001</v>
      </c>
      <c r="N369" s="507">
        <v>1044000</v>
      </c>
      <c r="O369" s="507">
        <v>0</v>
      </c>
      <c r="P369" s="507">
        <v>1044000</v>
      </c>
      <c r="Q369" s="507">
        <v>25375</v>
      </c>
      <c r="R369" s="507">
        <v>4910.3880938893708</v>
      </c>
      <c r="S369" s="507">
        <v>0</v>
      </c>
      <c r="T369" s="507">
        <v>4910.3880938893708</v>
      </c>
      <c r="U369" s="507">
        <v>119.34971061536666</v>
      </c>
      <c r="V369" s="507">
        <f>Port[[#This Row],[EAD_Drawn (CNY)]]*Port[[#This Row],[CNY -&gt; FCY]]</f>
        <v>1044000</v>
      </c>
      <c r="W369" s="507">
        <f>Port[[#This Row],[EAD_Undrawn (CNY)]]*Port[[#This Row],[CNY -&gt; FCY]]</f>
        <v>0</v>
      </c>
      <c r="X369" s="507">
        <f>Port[[#This Row],[EAD (CNY)]]*Port[[#This Row],[CNY -&gt; FCY]]</f>
        <v>1044000</v>
      </c>
      <c r="Y369" s="507">
        <f>Port[[#This Row],[EAD_Interest (CNY)]]*Port[[#This Row],[CNY -&gt; FCY]]</f>
        <v>25375</v>
      </c>
      <c r="Z369" s="507">
        <f>Port[[#This Row],[ECL_Drawn (CNY)]]*Port[[#This Row],[CNY -&gt; FCY]]</f>
        <v>4910.3880938893708</v>
      </c>
      <c r="AA369" s="507">
        <f>Port[[#This Row],[ECL_Undrawn (CNY)]]*Port[[#This Row],[CNY -&gt; FCY]]</f>
        <v>0</v>
      </c>
      <c r="AB369" s="507">
        <f>Port[[#This Row],[ECL (CNY)]]*Port[[#This Row],[CNY -&gt; FCY]]</f>
        <v>4910.3880938893708</v>
      </c>
      <c r="AC369" s="507">
        <f>Port[[#This Row],[ECL_Interest (CNY)]]*Port[[#This Row],[CNY -&gt; FCY]]</f>
        <v>119.34971061536666</v>
      </c>
      <c r="AD369" s="507">
        <f>Port[[#This Row],[EAD_Drawn (CNY)]]*Port[[#This Row],[CNY -&gt; THB]]</f>
        <v>5479747.2000000002</v>
      </c>
      <c r="AE369" s="507">
        <f>Port[[#This Row],[EAD_Undrawn (CNY)]]*Port[[#This Row],[CNY -&gt; THB]]</f>
        <v>0</v>
      </c>
      <c r="AF369" s="507">
        <f>Port[[#This Row],[EAD (CNY)]]*Port[[#This Row],[CNY -&gt; THB]]</f>
        <v>5479747.2000000002</v>
      </c>
      <c r="AG369" s="507">
        <f>Port[[#This Row],[EAD_Interest (CNY)]]*Port[[#This Row],[CNY -&gt; THB]]</f>
        <v>133188.30000000002</v>
      </c>
      <c r="AH369" s="507">
        <f>Port[[#This Row],[ECL_Drawn (CNY)]]*Port[[#This Row],[CNY -&gt; THB]]</f>
        <v>25773.64502720653</v>
      </c>
      <c r="AI369" s="507">
        <f>Port[[#This Row],[ECL_Undrawn (CNY)]]*Port[[#This Row],[CNY -&gt; THB]]</f>
        <v>0</v>
      </c>
      <c r="AJ369" s="507">
        <f>Port[[#This Row],[ECL (CNY)]]*Port[[#This Row],[CNY -&gt; THB]]</f>
        <v>25773.64502720653</v>
      </c>
      <c r="AK369" s="507">
        <f>Port[[#This Row],[ECL_Interest (CNY)]]*Port[[#This Row],[CNY -&gt; THB]]</f>
        <v>626.44276107793655</v>
      </c>
      <c r="AL369" s="507">
        <f>Port[[#This Row],[EAD (THB)]]*Port[[#This Row],[PD_avg]]</f>
        <v>28637.383363562814</v>
      </c>
      <c r="AM369" s="507">
        <f>Port[[#This Row],[EAD_Interest (THB)]]*Port[[#This Row],[PD_avg]]</f>
        <v>696.04751230881845</v>
      </c>
      <c r="AN369" s="507">
        <f>Port[[#This Row],[EAD (THB)]]*Port[[#This Row],[LGD_avg]]</f>
        <v>4931772.4799999995</v>
      </c>
      <c r="AO369" s="507">
        <f>Port[[#This Row],[EAD_Interest (THB)]]*Port[[#This Row],[LGD_avg]]</f>
        <v>119869.46999999999</v>
      </c>
      <c r="AP369" s="507">
        <f>Port[[#This Row],[EAD_Drawn (THB)]]+Port[[#This Row],[EAD_Interest (THB)]]</f>
        <v>5612935.5</v>
      </c>
      <c r="AQ36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82196.207999999999</v>
      </c>
      <c r="AR369" s="522">
        <f>MAX(Port[[#This Row],[ECL (THB)]]+Port[[#This Row],[ECL_Interest (THB)]], Port[[#This Row],[ECL CBIRC (THB)]])</f>
        <v>82196.207999999999</v>
      </c>
    </row>
    <row r="370" spans="1:44">
      <c r="A370" s="2" t="s">
        <v>1053</v>
      </c>
      <c r="B370" s="2" t="s">
        <v>331</v>
      </c>
      <c r="C370" s="2" t="s">
        <v>328</v>
      </c>
      <c r="D370" s="2" t="s">
        <v>18</v>
      </c>
      <c r="E370" s="2" t="s">
        <v>19</v>
      </c>
      <c r="F370" s="2" t="s">
        <v>20</v>
      </c>
      <c r="G370" s="2" t="s">
        <v>21</v>
      </c>
      <c r="H370">
        <v>1</v>
      </c>
      <c r="I370" s="2" t="s">
        <v>526</v>
      </c>
      <c r="J370" s="505">
        <v>5.2260409683794924E-3</v>
      </c>
      <c r="K370" s="505">
        <v>0.89999999999999991</v>
      </c>
      <c r="L370" s="3">
        <v>1</v>
      </c>
      <c r="M370" s="3">
        <v>5.2488000000000001</v>
      </c>
      <c r="N370" s="507">
        <v>2106000</v>
      </c>
      <c r="O370" s="507">
        <v>0</v>
      </c>
      <c r="P370" s="507">
        <v>2106000</v>
      </c>
      <c r="Q370" s="507">
        <v>43290</v>
      </c>
      <c r="R370" s="507">
        <v>9905.4380514664899</v>
      </c>
      <c r="S370" s="507">
        <v>0</v>
      </c>
      <c r="T370" s="507">
        <v>9905.4380514664899</v>
      </c>
      <c r="U370" s="507">
        <v>203.6117821690334</v>
      </c>
      <c r="V370" s="507">
        <f>Port[[#This Row],[EAD_Drawn (CNY)]]*Port[[#This Row],[CNY -&gt; FCY]]</f>
        <v>2106000</v>
      </c>
      <c r="W370" s="507">
        <f>Port[[#This Row],[EAD_Undrawn (CNY)]]*Port[[#This Row],[CNY -&gt; FCY]]</f>
        <v>0</v>
      </c>
      <c r="X370" s="507">
        <f>Port[[#This Row],[EAD (CNY)]]*Port[[#This Row],[CNY -&gt; FCY]]</f>
        <v>2106000</v>
      </c>
      <c r="Y370" s="507">
        <f>Port[[#This Row],[EAD_Interest (CNY)]]*Port[[#This Row],[CNY -&gt; FCY]]</f>
        <v>43290</v>
      </c>
      <c r="Z370" s="507">
        <f>Port[[#This Row],[ECL_Drawn (CNY)]]*Port[[#This Row],[CNY -&gt; FCY]]</f>
        <v>9905.4380514664899</v>
      </c>
      <c r="AA370" s="507">
        <f>Port[[#This Row],[ECL_Undrawn (CNY)]]*Port[[#This Row],[CNY -&gt; FCY]]</f>
        <v>0</v>
      </c>
      <c r="AB370" s="507">
        <f>Port[[#This Row],[ECL (CNY)]]*Port[[#This Row],[CNY -&gt; FCY]]</f>
        <v>9905.4380514664899</v>
      </c>
      <c r="AC370" s="507">
        <f>Port[[#This Row],[ECL_Interest (CNY)]]*Port[[#This Row],[CNY -&gt; FCY]]</f>
        <v>203.6117821690334</v>
      </c>
      <c r="AD370" s="507">
        <f>Port[[#This Row],[EAD_Drawn (CNY)]]*Port[[#This Row],[CNY -&gt; THB]]</f>
        <v>11053972.800000001</v>
      </c>
      <c r="AE370" s="507">
        <f>Port[[#This Row],[EAD_Undrawn (CNY)]]*Port[[#This Row],[CNY -&gt; THB]]</f>
        <v>0</v>
      </c>
      <c r="AF370" s="507">
        <f>Port[[#This Row],[EAD (CNY)]]*Port[[#This Row],[CNY -&gt; THB]]</f>
        <v>11053972.800000001</v>
      </c>
      <c r="AG370" s="507">
        <f>Port[[#This Row],[EAD_Interest (CNY)]]*Port[[#This Row],[CNY -&gt; THB]]</f>
        <v>227220.552</v>
      </c>
      <c r="AH370" s="507">
        <f>Port[[#This Row],[ECL_Drawn (CNY)]]*Port[[#This Row],[CNY -&gt; THB]]</f>
        <v>51991.663244537311</v>
      </c>
      <c r="AI370" s="507">
        <f>Port[[#This Row],[ECL_Undrawn (CNY)]]*Port[[#This Row],[CNY -&gt; THB]]</f>
        <v>0</v>
      </c>
      <c r="AJ370" s="507">
        <f>Port[[#This Row],[ECL (CNY)]]*Port[[#This Row],[CNY -&gt; THB]]</f>
        <v>51991.663244537311</v>
      </c>
      <c r="AK370" s="507">
        <f>Port[[#This Row],[ECL_Interest (CNY)]]*Port[[#This Row],[CNY -&gt; THB]]</f>
        <v>1068.7175222488227</v>
      </c>
      <c r="AL370" s="507">
        <f>Port[[#This Row],[EAD (THB)]]*Port[[#This Row],[PD_avg]]</f>
        <v>57768.514716152575</v>
      </c>
      <c r="AM370" s="507">
        <f>Port[[#This Row],[EAD_Interest (THB)]]*Port[[#This Row],[PD_avg]]</f>
        <v>1187.4639136098028</v>
      </c>
      <c r="AN370" s="507">
        <f>Port[[#This Row],[EAD (THB)]]*Port[[#This Row],[LGD_avg]]</f>
        <v>9948575.5199999996</v>
      </c>
      <c r="AO370" s="507">
        <f>Port[[#This Row],[EAD_Interest (THB)]]*Port[[#This Row],[LGD_avg]]</f>
        <v>204498.49679999996</v>
      </c>
      <c r="AP370" s="507">
        <f>Port[[#This Row],[EAD_Drawn (THB)]]+Port[[#This Row],[EAD_Interest (THB)]]</f>
        <v>11281193.352</v>
      </c>
      <c r="AQ37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165809.592</v>
      </c>
      <c r="AR370" s="522">
        <f>MAX(Port[[#This Row],[ECL (THB)]]+Port[[#This Row],[ECL_Interest (THB)]], Port[[#This Row],[ECL CBIRC (THB)]])</f>
        <v>165809.592</v>
      </c>
    </row>
    <row r="371" spans="1:44">
      <c r="A371" s="2" t="s">
        <v>1054</v>
      </c>
      <c r="B371" s="2" t="s">
        <v>333</v>
      </c>
      <c r="C371" s="2" t="s">
        <v>328</v>
      </c>
      <c r="D371" s="2" t="s">
        <v>30</v>
      </c>
      <c r="E371" s="2" t="s">
        <v>19</v>
      </c>
      <c r="F371" s="2" t="s">
        <v>20</v>
      </c>
      <c r="G371" s="2" t="s">
        <v>21</v>
      </c>
      <c r="H371">
        <v>1</v>
      </c>
      <c r="I371" s="2" t="s">
        <v>526</v>
      </c>
      <c r="J371" s="505">
        <v>5.2260409683794924E-3</v>
      </c>
      <c r="K371" s="505">
        <v>0.89999999999999991</v>
      </c>
      <c r="L371" s="3">
        <v>1</v>
      </c>
      <c r="M371" s="3">
        <v>5.2488000000000001</v>
      </c>
      <c r="N371" s="507">
        <v>224000</v>
      </c>
      <c r="O371" s="507">
        <v>0</v>
      </c>
      <c r="P371" s="507">
        <v>224000</v>
      </c>
      <c r="Q371" s="507">
        <v>4604.4399999999996</v>
      </c>
      <c r="R371" s="507">
        <v>1053.5698592253057</v>
      </c>
      <c r="S371" s="507">
        <v>0</v>
      </c>
      <c r="T371" s="507">
        <v>1053.5698592253057</v>
      </c>
      <c r="U371" s="507">
        <v>21.656692868800739</v>
      </c>
      <c r="V371" s="507">
        <f>Port[[#This Row],[EAD_Drawn (CNY)]]*Port[[#This Row],[CNY -&gt; FCY]]</f>
        <v>224000</v>
      </c>
      <c r="W371" s="507">
        <f>Port[[#This Row],[EAD_Undrawn (CNY)]]*Port[[#This Row],[CNY -&gt; FCY]]</f>
        <v>0</v>
      </c>
      <c r="X371" s="507">
        <f>Port[[#This Row],[EAD (CNY)]]*Port[[#This Row],[CNY -&gt; FCY]]</f>
        <v>224000</v>
      </c>
      <c r="Y371" s="507">
        <f>Port[[#This Row],[EAD_Interest (CNY)]]*Port[[#This Row],[CNY -&gt; FCY]]</f>
        <v>4604.4399999999996</v>
      </c>
      <c r="Z371" s="507">
        <f>Port[[#This Row],[ECL_Drawn (CNY)]]*Port[[#This Row],[CNY -&gt; FCY]]</f>
        <v>1053.5698592253057</v>
      </c>
      <c r="AA371" s="507">
        <f>Port[[#This Row],[ECL_Undrawn (CNY)]]*Port[[#This Row],[CNY -&gt; FCY]]</f>
        <v>0</v>
      </c>
      <c r="AB371" s="507">
        <f>Port[[#This Row],[ECL (CNY)]]*Port[[#This Row],[CNY -&gt; FCY]]</f>
        <v>1053.5698592253057</v>
      </c>
      <c r="AC371" s="507">
        <f>Port[[#This Row],[ECL_Interest (CNY)]]*Port[[#This Row],[CNY -&gt; FCY]]</f>
        <v>21.656692868800739</v>
      </c>
      <c r="AD371" s="507">
        <f>Port[[#This Row],[EAD_Drawn (CNY)]]*Port[[#This Row],[CNY -&gt; THB]]</f>
        <v>1175731.2</v>
      </c>
      <c r="AE371" s="507">
        <f>Port[[#This Row],[EAD_Undrawn (CNY)]]*Port[[#This Row],[CNY -&gt; THB]]</f>
        <v>0</v>
      </c>
      <c r="AF371" s="507">
        <f>Port[[#This Row],[EAD (CNY)]]*Port[[#This Row],[CNY -&gt; THB]]</f>
        <v>1175731.2</v>
      </c>
      <c r="AG371" s="507">
        <f>Port[[#This Row],[EAD_Interest (CNY)]]*Port[[#This Row],[CNY -&gt; THB]]</f>
        <v>24167.784671999998</v>
      </c>
      <c r="AH371" s="507">
        <f>Port[[#This Row],[ECL_Drawn (CNY)]]*Port[[#This Row],[CNY -&gt; THB]]</f>
        <v>5529.9774771017846</v>
      </c>
      <c r="AI371" s="507">
        <f>Port[[#This Row],[ECL_Undrawn (CNY)]]*Port[[#This Row],[CNY -&gt; THB]]</f>
        <v>0</v>
      </c>
      <c r="AJ371" s="507">
        <f>Port[[#This Row],[ECL (CNY)]]*Port[[#This Row],[CNY -&gt; THB]]</f>
        <v>5529.9774771017846</v>
      </c>
      <c r="AK371" s="507">
        <f>Port[[#This Row],[ECL_Interest (CNY)]]*Port[[#This Row],[CNY -&gt; THB]]</f>
        <v>113.67164952976132</v>
      </c>
      <c r="AL371" s="507">
        <f>Port[[#This Row],[EAD (THB)]]*Port[[#This Row],[PD_avg]]</f>
        <v>6144.4194190019825</v>
      </c>
      <c r="AM371" s="507">
        <f>Port[[#This Row],[EAD_Interest (THB)]]*Port[[#This Row],[PD_avg]]</f>
        <v>126.30183281084592</v>
      </c>
      <c r="AN371" s="507">
        <f>Port[[#This Row],[EAD (THB)]]*Port[[#This Row],[LGD_avg]]</f>
        <v>1058158.0799999998</v>
      </c>
      <c r="AO371" s="507">
        <f>Port[[#This Row],[EAD_Interest (THB)]]*Port[[#This Row],[LGD_avg]]</f>
        <v>21751.006204799996</v>
      </c>
      <c r="AP371" s="507">
        <f>Port[[#This Row],[EAD_Drawn (THB)]]+Port[[#This Row],[EAD_Interest (THB)]]</f>
        <v>1199898.9846719999</v>
      </c>
      <c r="AQ37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17635.967999999997</v>
      </c>
      <c r="AR371" s="522">
        <f>MAX(Port[[#This Row],[ECL (THB)]]+Port[[#This Row],[ECL_Interest (THB)]], Port[[#This Row],[ECL CBIRC (THB)]])</f>
        <v>17635.967999999997</v>
      </c>
    </row>
    <row r="372" spans="1:44">
      <c r="A372" s="2" t="s">
        <v>1055</v>
      </c>
      <c r="B372" s="2" t="s">
        <v>331</v>
      </c>
      <c r="C372" s="2" t="s">
        <v>328</v>
      </c>
      <c r="D372" s="2" t="s">
        <v>18</v>
      </c>
      <c r="E372" s="2" t="s">
        <v>19</v>
      </c>
      <c r="F372" s="2" t="s">
        <v>20</v>
      </c>
      <c r="G372" s="2" t="s">
        <v>21</v>
      </c>
      <c r="H372">
        <v>1</v>
      </c>
      <c r="I372" s="2" t="s">
        <v>526</v>
      </c>
      <c r="J372" s="505">
        <v>5.2260409683794924E-3</v>
      </c>
      <c r="K372" s="505">
        <v>0.89999999999999969</v>
      </c>
      <c r="L372" s="3">
        <v>1</v>
      </c>
      <c r="M372" s="3">
        <v>5.2488000000000001</v>
      </c>
      <c r="N372" s="507">
        <v>927000</v>
      </c>
      <c r="O372" s="507">
        <v>0</v>
      </c>
      <c r="P372" s="507">
        <v>927000</v>
      </c>
      <c r="Q372" s="507">
        <v>19956.25</v>
      </c>
      <c r="R372" s="507">
        <v>4360.0859799190093</v>
      </c>
      <c r="S372" s="507">
        <v>0</v>
      </c>
      <c r="T372" s="507">
        <v>4360.0859799190093</v>
      </c>
      <c r="U372" s="507">
        <v>93.86296206770092</v>
      </c>
      <c r="V372" s="507">
        <f>Port[[#This Row],[EAD_Drawn (CNY)]]*Port[[#This Row],[CNY -&gt; FCY]]</f>
        <v>927000</v>
      </c>
      <c r="W372" s="507">
        <f>Port[[#This Row],[EAD_Undrawn (CNY)]]*Port[[#This Row],[CNY -&gt; FCY]]</f>
        <v>0</v>
      </c>
      <c r="X372" s="507">
        <f>Port[[#This Row],[EAD (CNY)]]*Port[[#This Row],[CNY -&gt; FCY]]</f>
        <v>927000</v>
      </c>
      <c r="Y372" s="507">
        <f>Port[[#This Row],[EAD_Interest (CNY)]]*Port[[#This Row],[CNY -&gt; FCY]]</f>
        <v>19956.25</v>
      </c>
      <c r="Z372" s="507">
        <f>Port[[#This Row],[ECL_Drawn (CNY)]]*Port[[#This Row],[CNY -&gt; FCY]]</f>
        <v>4360.0859799190093</v>
      </c>
      <c r="AA372" s="507">
        <f>Port[[#This Row],[ECL_Undrawn (CNY)]]*Port[[#This Row],[CNY -&gt; FCY]]</f>
        <v>0</v>
      </c>
      <c r="AB372" s="507">
        <f>Port[[#This Row],[ECL (CNY)]]*Port[[#This Row],[CNY -&gt; FCY]]</f>
        <v>4360.0859799190093</v>
      </c>
      <c r="AC372" s="507">
        <f>Port[[#This Row],[ECL_Interest (CNY)]]*Port[[#This Row],[CNY -&gt; FCY]]</f>
        <v>93.86296206770092</v>
      </c>
      <c r="AD372" s="507">
        <f>Port[[#This Row],[EAD_Drawn (CNY)]]*Port[[#This Row],[CNY -&gt; THB]]</f>
        <v>4865637.6000000006</v>
      </c>
      <c r="AE372" s="507">
        <f>Port[[#This Row],[EAD_Undrawn (CNY)]]*Port[[#This Row],[CNY -&gt; THB]]</f>
        <v>0</v>
      </c>
      <c r="AF372" s="507">
        <f>Port[[#This Row],[EAD (CNY)]]*Port[[#This Row],[CNY -&gt; THB]]</f>
        <v>4865637.6000000006</v>
      </c>
      <c r="AG372" s="507">
        <f>Port[[#This Row],[EAD_Interest (CNY)]]*Port[[#This Row],[CNY -&gt; THB]]</f>
        <v>104746.36500000001</v>
      </c>
      <c r="AH372" s="507">
        <f>Port[[#This Row],[ECL_Drawn (CNY)]]*Port[[#This Row],[CNY -&gt; THB]]</f>
        <v>22885.219291398898</v>
      </c>
      <c r="AI372" s="507">
        <f>Port[[#This Row],[ECL_Undrawn (CNY)]]*Port[[#This Row],[CNY -&gt; THB]]</f>
        <v>0</v>
      </c>
      <c r="AJ372" s="507">
        <f>Port[[#This Row],[ECL (CNY)]]*Port[[#This Row],[CNY -&gt; THB]]</f>
        <v>22885.219291398898</v>
      </c>
      <c r="AK372" s="507">
        <f>Port[[#This Row],[ECL_Interest (CNY)]]*Port[[#This Row],[CNY -&gt; THB]]</f>
        <v>492.66791530094861</v>
      </c>
      <c r="AL372" s="507">
        <f>Port[[#This Row],[EAD (THB)]]*Port[[#This Row],[PD_avg]]</f>
        <v>25428.021434887673</v>
      </c>
      <c r="AM372" s="507">
        <f>Port[[#This Row],[EAD_Interest (THB)]]*Port[[#This Row],[PD_avg]]</f>
        <v>547.40879477883175</v>
      </c>
      <c r="AN372" s="507">
        <f>Port[[#This Row],[EAD (THB)]]*Port[[#This Row],[LGD_avg]]</f>
        <v>4379073.8399999989</v>
      </c>
      <c r="AO372" s="507">
        <f>Port[[#This Row],[EAD_Interest (THB)]]*Port[[#This Row],[LGD_avg]]</f>
        <v>94271.728499999968</v>
      </c>
      <c r="AP372" s="507">
        <f>Port[[#This Row],[EAD_Drawn (THB)]]+Port[[#This Row],[EAD_Interest (THB)]]</f>
        <v>4970383.9650000008</v>
      </c>
      <c r="AQ37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72984.563999999998</v>
      </c>
      <c r="AR372" s="522">
        <f>MAX(Port[[#This Row],[ECL (THB)]]+Port[[#This Row],[ECL_Interest (THB)]], Port[[#This Row],[ECL CBIRC (THB)]])</f>
        <v>72984.563999999998</v>
      </c>
    </row>
    <row r="373" spans="1:44">
      <c r="A373" s="2" t="s">
        <v>1056</v>
      </c>
      <c r="B373" s="2" t="s">
        <v>330</v>
      </c>
      <c r="C373" s="2" t="s">
        <v>328</v>
      </c>
      <c r="D373" s="2" t="s">
        <v>30</v>
      </c>
      <c r="E373" s="2" t="s">
        <v>19</v>
      </c>
      <c r="F373" s="2" t="s">
        <v>20</v>
      </c>
      <c r="G373" s="2" t="s">
        <v>21</v>
      </c>
      <c r="H373">
        <v>1</v>
      </c>
      <c r="I373" s="2" t="s">
        <v>526</v>
      </c>
      <c r="J373" s="505">
        <v>2.0514833509807026E-2</v>
      </c>
      <c r="K373" s="505">
        <v>0.9</v>
      </c>
      <c r="L373" s="3">
        <v>1</v>
      </c>
      <c r="M373" s="3">
        <v>5.2488000000000001</v>
      </c>
      <c r="N373" s="507">
        <v>203000</v>
      </c>
      <c r="O373" s="507">
        <v>0</v>
      </c>
      <c r="P373" s="507">
        <v>203000</v>
      </c>
      <c r="Q373" s="507">
        <v>4370.1400000000003</v>
      </c>
      <c r="R373" s="507">
        <v>3748.0600822417441</v>
      </c>
      <c r="S373" s="507">
        <v>0</v>
      </c>
      <c r="T373" s="507">
        <v>3748.0600822417441</v>
      </c>
      <c r="U373" s="507">
        <v>80.687425063093286</v>
      </c>
      <c r="V373" s="507">
        <f>Port[[#This Row],[EAD_Drawn (CNY)]]*Port[[#This Row],[CNY -&gt; FCY]]</f>
        <v>203000</v>
      </c>
      <c r="W373" s="507">
        <f>Port[[#This Row],[EAD_Undrawn (CNY)]]*Port[[#This Row],[CNY -&gt; FCY]]</f>
        <v>0</v>
      </c>
      <c r="X373" s="507">
        <f>Port[[#This Row],[EAD (CNY)]]*Port[[#This Row],[CNY -&gt; FCY]]</f>
        <v>203000</v>
      </c>
      <c r="Y373" s="507">
        <f>Port[[#This Row],[EAD_Interest (CNY)]]*Port[[#This Row],[CNY -&gt; FCY]]</f>
        <v>4370.1400000000003</v>
      </c>
      <c r="Z373" s="507">
        <f>Port[[#This Row],[ECL_Drawn (CNY)]]*Port[[#This Row],[CNY -&gt; FCY]]</f>
        <v>3748.0600822417441</v>
      </c>
      <c r="AA373" s="507">
        <f>Port[[#This Row],[ECL_Undrawn (CNY)]]*Port[[#This Row],[CNY -&gt; FCY]]</f>
        <v>0</v>
      </c>
      <c r="AB373" s="507">
        <f>Port[[#This Row],[ECL (CNY)]]*Port[[#This Row],[CNY -&gt; FCY]]</f>
        <v>3748.0600822417441</v>
      </c>
      <c r="AC373" s="507">
        <f>Port[[#This Row],[ECL_Interest (CNY)]]*Port[[#This Row],[CNY -&gt; FCY]]</f>
        <v>80.687425063093286</v>
      </c>
      <c r="AD373" s="507">
        <f>Port[[#This Row],[EAD_Drawn (CNY)]]*Port[[#This Row],[CNY -&gt; THB]]</f>
        <v>1065506.4000000001</v>
      </c>
      <c r="AE373" s="507">
        <f>Port[[#This Row],[EAD_Undrawn (CNY)]]*Port[[#This Row],[CNY -&gt; THB]]</f>
        <v>0</v>
      </c>
      <c r="AF373" s="507">
        <f>Port[[#This Row],[EAD (CNY)]]*Port[[#This Row],[CNY -&gt; THB]]</f>
        <v>1065506.4000000001</v>
      </c>
      <c r="AG373" s="507">
        <f>Port[[#This Row],[EAD_Interest (CNY)]]*Port[[#This Row],[CNY -&gt; THB]]</f>
        <v>22937.990832000003</v>
      </c>
      <c r="AH373" s="507">
        <f>Port[[#This Row],[ECL_Drawn (CNY)]]*Port[[#This Row],[CNY -&gt; THB]]</f>
        <v>19672.817759670466</v>
      </c>
      <c r="AI373" s="507">
        <f>Port[[#This Row],[ECL_Undrawn (CNY)]]*Port[[#This Row],[CNY -&gt; THB]]</f>
        <v>0</v>
      </c>
      <c r="AJ373" s="507">
        <f>Port[[#This Row],[ECL (CNY)]]*Port[[#This Row],[CNY -&gt; THB]]</f>
        <v>19672.817759670466</v>
      </c>
      <c r="AK373" s="507">
        <f>Port[[#This Row],[ECL_Interest (CNY)]]*Port[[#This Row],[CNY -&gt; THB]]</f>
        <v>423.51215667116406</v>
      </c>
      <c r="AL373" s="507">
        <f>Port[[#This Row],[EAD (THB)]]*Port[[#This Row],[PD_avg]]</f>
        <v>21858.686399633851</v>
      </c>
      <c r="AM373" s="507">
        <f>Port[[#This Row],[EAD_Interest (THB)]]*Port[[#This Row],[PD_avg]]</f>
        <v>470.56906296796001</v>
      </c>
      <c r="AN373" s="507">
        <f>Port[[#This Row],[EAD (THB)]]*Port[[#This Row],[LGD_avg]]</f>
        <v>958955.76000000013</v>
      </c>
      <c r="AO373" s="507">
        <f>Port[[#This Row],[EAD_Interest (THB)]]*Port[[#This Row],[LGD_avg]]</f>
        <v>20644.191748800004</v>
      </c>
      <c r="AP373" s="507">
        <f>Port[[#This Row],[EAD_Drawn (THB)]]+Port[[#This Row],[EAD_Interest (THB)]]</f>
        <v>1088444.3908320002</v>
      </c>
      <c r="AQ37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15982.596000000001</v>
      </c>
      <c r="AR373" s="522">
        <f>MAX(Port[[#This Row],[ECL (THB)]]+Port[[#This Row],[ECL_Interest (THB)]], Port[[#This Row],[ECL CBIRC (THB)]])</f>
        <v>20096.32991634163</v>
      </c>
    </row>
    <row r="374" spans="1:44">
      <c r="A374" s="2" t="s">
        <v>1057</v>
      </c>
      <c r="B374" s="2" t="s">
        <v>334</v>
      </c>
      <c r="C374" s="2" t="s">
        <v>328</v>
      </c>
      <c r="D374" s="2" t="s">
        <v>30</v>
      </c>
      <c r="E374" s="2" t="s">
        <v>19</v>
      </c>
      <c r="F374" s="2" t="s">
        <v>20</v>
      </c>
      <c r="G374" s="2" t="s">
        <v>21</v>
      </c>
      <c r="H374">
        <v>1</v>
      </c>
      <c r="I374" s="2" t="s">
        <v>526</v>
      </c>
      <c r="J374" s="505">
        <v>5.2260409683794924E-3</v>
      </c>
      <c r="K374" s="505">
        <v>0.9</v>
      </c>
      <c r="L374" s="3">
        <v>1</v>
      </c>
      <c r="M374" s="3">
        <v>5.2488000000000001</v>
      </c>
      <c r="N374" s="507">
        <v>1053000</v>
      </c>
      <c r="O374" s="507">
        <v>0</v>
      </c>
      <c r="P374" s="507">
        <v>1053000</v>
      </c>
      <c r="Q374" s="507">
        <v>25155</v>
      </c>
      <c r="R374" s="507">
        <v>4952.719025733245</v>
      </c>
      <c r="S374" s="507">
        <v>0</v>
      </c>
      <c r="T374" s="507">
        <v>4952.719025733245</v>
      </c>
      <c r="U374" s="507">
        <v>118.31495450362749</v>
      </c>
      <c r="V374" s="507">
        <f>Port[[#This Row],[EAD_Drawn (CNY)]]*Port[[#This Row],[CNY -&gt; FCY]]</f>
        <v>1053000</v>
      </c>
      <c r="W374" s="507">
        <f>Port[[#This Row],[EAD_Undrawn (CNY)]]*Port[[#This Row],[CNY -&gt; FCY]]</f>
        <v>0</v>
      </c>
      <c r="X374" s="507">
        <f>Port[[#This Row],[EAD (CNY)]]*Port[[#This Row],[CNY -&gt; FCY]]</f>
        <v>1053000</v>
      </c>
      <c r="Y374" s="507">
        <f>Port[[#This Row],[EAD_Interest (CNY)]]*Port[[#This Row],[CNY -&gt; FCY]]</f>
        <v>25155</v>
      </c>
      <c r="Z374" s="507">
        <f>Port[[#This Row],[ECL_Drawn (CNY)]]*Port[[#This Row],[CNY -&gt; FCY]]</f>
        <v>4952.719025733245</v>
      </c>
      <c r="AA374" s="507">
        <f>Port[[#This Row],[ECL_Undrawn (CNY)]]*Port[[#This Row],[CNY -&gt; FCY]]</f>
        <v>0</v>
      </c>
      <c r="AB374" s="507">
        <f>Port[[#This Row],[ECL (CNY)]]*Port[[#This Row],[CNY -&gt; FCY]]</f>
        <v>4952.719025733245</v>
      </c>
      <c r="AC374" s="507">
        <f>Port[[#This Row],[ECL_Interest (CNY)]]*Port[[#This Row],[CNY -&gt; FCY]]</f>
        <v>118.31495450362749</v>
      </c>
      <c r="AD374" s="507">
        <f>Port[[#This Row],[EAD_Drawn (CNY)]]*Port[[#This Row],[CNY -&gt; THB]]</f>
        <v>5526986.4000000004</v>
      </c>
      <c r="AE374" s="507">
        <f>Port[[#This Row],[EAD_Undrawn (CNY)]]*Port[[#This Row],[CNY -&gt; THB]]</f>
        <v>0</v>
      </c>
      <c r="AF374" s="507">
        <f>Port[[#This Row],[EAD (CNY)]]*Port[[#This Row],[CNY -&gt; THB]]</f>
        <v>5526986.4000000004</v>
      </c>
      <c r="AG374" s="507">
        <f>Port[[#This Row],[EAD_Interest (CNY)]]*Port[[#This Row],[CNY -&gt; THB]]</f>
        <v>132033.56400000001</v>
      </c>
      <c r="AH374" s="507">
        <f>Port[[#This Row],[ECL_Drawn (CNY)]]*Port[[#This Row],[CNY -&gt; THB]]</f>
        <v>25995.831622268655</v>
      </c>
      <c r="AI374" s="507">
        <f>Port[[#This Row],[ECL_Undrawn (CNY)]]*Port[[#This Row],[CNY -&gt; THB]]</f>
        <v>0</v>
      </c>
      <c r="AJ374" s="507">
        <f>Port[[#This Row],[ECL (CNY)]]*Port[[#This Row],[CNY -&gt; THB]]</f>
        <v>25995.831622268655</v>
      </c>
      <c r="AK374" s="507">
        <f>Port[[#This Row],[ECL_Interest (CNY)]]*Port[[#This Row],[CNY -&gt; THB]]</f>
        <v>621.01153319864</v>
      </c>
      <c r="AL374" s="507">
        <f>Port[[#This Row],[EAD (THB)]]*Port[[#This Row],[PD_avg]]</f>
        <v>28884.257358076287</v>
      </c>
      <c r="AM374" s="507">
        <f>Port[[#This Row],[EAD_Interest (THB)]]*Port[[#This Row],[PD_avg]]</f>
        <v>690.0128146651557</v>
      </c>
      <c r="AN374" s="507">
        <f>Port[[#This Row],[EAD (THB)]]*Port[[#This Row],[LGD_avg]]</f>
        <v>4974287.7600000007</v>
      </c>
      <c r="AO374" s="507">
        <f>Port[[#This Row],[EAD_Interest (THB)]]*Port[[#This Row],[LGD_avg]]</f>
        <v>118830.20760000001</v>
      </c>
      <c r="AP374" s="507">
        <f>Port[[#This Row],[EAD_Drawn (THB)]]+Port[[#This Row],[EAD_Interest (THB)]]</f>
        <v>5659019.9640000006</v>
      </c>
      <c r="AQ37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82904.796000000002</v>
      </c>
      <c r="AR374" s="522">
        <f>MAX(Port[[#This Row],[ECL (THB)]]+Port[[#This Row],[ECL_Interest (THB)]], Port[[#This Row],[ECL CBIRC (THB)]])</f>
        <v>82904.796000000002</v>
      </c>
    </row>
    <row r="375" spans="1:44">
      <c r="A375" s="2" t="s">
        <v>1058</v>
      </c>
      <c r="B375" s="2" t="s">
        <v>329</v>
      </c>
      <c r="C375" s="2" t="s">
        <v>328</v>
      </c>
      <c r="D375" s="2" t="s">
        <v>30</v>
      </c>
      <c r="E375" s="2" t="s">
        <v>19</v>
      </c>
      <c r="F375" s="2" t="s">
        <v>20</v>
      </c>
      <c r="G375" s="2" t="s">
        <v>21</v>
      </c>
      <c r="H375">
        <v>1</v>
      </c>
      <c r="I375" s="2" t="s">
        <v>526</v>
      </c>
      <c r="J375" s="505">
        <v>5.2260409683794924E-3</v>
      </c>
      <c r="K375" s="505">
        <v>0.9</v>
      </c>
      <c r="L375" s="3">
        <v>1</v>
      </c>
      <c r="M375" s="3">
        <v>5.2488000000000001</v>
      </c>
      <c r="N375" s="507">
        <v>364000</v>
      </c>
      <c r="O375" s="507">
        <v>0</v>
      </c>
      <c r="P375" s="507">
        <v>364000</v>
      </c>
      <c r="Q375" s="507">
        <v>8695.56</v>
      </c>
      <c r="R375" s="507">
        <v>1712.0510212411218</v>
      </c>
      <c r="S375" s="507">
        <v>0</v>
      </c>
      <c r="T375" s="507">
        <v>1712.0510212411218</v>
      </c>
      <c r="U375" s="507">
        <v>40.899017522701776</v>
      </c>
      <c r="V375" s="507">
        <f>Port[[#This Row],[EAD_Drawn (CNY)]]*Port[[#This Row],[CNY -&gt; FCY]]</f>
        <v>364000</v>
      </c>
      <c r="W375" s="507">
        <f>Port[[#This Row],[EAD_Undrawn (CNY)]]*Port[[#This Row],[CNY -&gt; FCY]]</f>
        <v>0</v>
      </c>
      <c r="X375" s="507">
        <f>Port[[#This Row],[EAD (CNY)]]*Port[[#This Row],[CNY -&gt; FCY]]</f>
        <v>364000</v>
      </c>
      <c r="Y375" s="507">
        <f>Port[[#This Row],[EAD_Interest (CNY)]]*Port[[#This Row],[CNY -&gt; FCY]]</f>
        <v>8695.56</v>
      </c>
      <c r="Z375" s="507">
        <f>Port[[#This Row],[ECL_Drawn (CNY)]]*Port[[#This Row],[CNY -&gt; FCY]]</f>
        <v>1712.0510212411218</v>
      </c>
      <c r="AA375" s="507">
        <f>Port[[#This Row],[ECL_Undrawn (CNY)]]*Port[[#This Row],[CNY -&gt; FCY]]</f>
        <v>0</v>
      </c>
      <c r="AB375" s="507">
        <f>Port[[#This Row],[ECL (CNY)]]*Port[[#This Row],[CNY -&gt; FCY]]</f>
        <v>1712.0510212411218</v>
      </c>
      <c r="AC375" s="507">
        <f>Port[[#This Row],[ECL_Interest (CNY)]]*Port[[#This Row],[CNY -&gt; FCY]]</f>
        <v>40.899017522701776</v>
      </c>
      <c r="AD375" s="507">
        <f>Port[[#This Row],[EAD_Drawn (CNY)]]*Port[[#This Row],[CNY -&gt; THB]]</f>
        <v>1910563.2</v>
      </c>
      <c r="AE375" s="507">
        <f>Port[[#This Row],[EAD_Undrawn (CNY)]]*Port[[#This Row],[CNY -&gt; THB]]</f>
        <v>0</v>
      </c>
      <c r="AF375" s="507">
        <f>Port[[#This Row],[EAD (CNY)]]*Port[[#This Row],[CNY -&gt; THB]]</f>
        <v>1910563.2</v>
      </c>
      <c r="AG375" s="507">
        <f>Port[[#This Row],[EAD_Interest (CNY)]]*Port[[#This Row],[CNY -&gt; THB]]</f>
        <v>45641.255327999999</v>
      </c>
      <c r="AH375" s="507">
        <f>Port[[#This Row],[ECL_Drawn (CNY)]]*Port[[#This Row],[CNY -&gt; THB]]</f>
        <v>8986.2134002904004</v>
      </c>
      <c r="AI375" s="507">
        <f>Port[[#This Row],[ECL_Undrawn (CNY)]]*Port[[#This Row],[CNY -&gt; THB]]</f>
        <v>0</v>
      </c>
      <c r="AJ375" s="507">
        <f>Port[[#This Row],[ECL (CNY)]]*Port[[#This Row],[CNY -&gt; THB]]</f>
        <v>8986.2134002904004</v>
      </c>
      <c r="AK375" s="507">
        <f>Port[[#This Row],[ECL_Interest (CNY)]]*Port[[#This Row],[CNY -&gt; THB]]</f>
        <v>214.6707631731571</v>
      </c>
      <c r="AL375" s="507">
        <f>Port[[#This Row],[EAD (THB)]]*Port[[#This Row],[PD_avg]]</f>
        <v>9984.6815558782218</v>
      </c>
      <c r="AM375" s="507">
        <f>Port[[#This Row],[EAD_Interest (THB)]]*Port[[#This Row],[PD_avg]]</f>
        <v>238.52307019239677</v>
      </c>
      <c r="AN375" s="507">
        <f>Port[[#This Row],[EAD (THB)]]*Port[[#This Row],[LGD_avg]]</f>
        <v>1719506.88</v>
      </c>
      <c r="AO375" s="507">
        <f>Port[[#This Row],[EAD_Interest (THB)]]*Port[[#This Row],[LGD_avg]]</f>
        <v>41077.129795200002</v>
      </c>
      <c r="AP375" s="507">
        <f>Port[[#This Row],[EAD_Drawn (THB)]]+Port[[#This Row],[EAD_Interest (THB)]]</f>
        <v>1956204.455328</v>
      </c>
      <c r="AQ37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28658.447999999997</v>
      </c>
      <c r="AR375" s="522">
        <f>MAX(Port[[#This Row],[ECL (THB)]]+Port[[#This Row],[ECL_Interest (THB)]], Port[[#This Row],[ECL CBIRC (THB)]])</f>
        <v>28658.447999999997</v>
      </c>
    </row>
    <row r="376" spans="1:44">
      <c r="A376" s="2" t="s">
        <v>1059</v>
      </c>
      <c r="B376" s="2" t="s">
        <v>1060</v>
      </c>
      <c r="C376" s="2" t="s">
        <v>328</v>
      </c>
      <c r="D376" s="2" t="s">
        <v>18</v>
      </c>
      <c r="E376" s="2" t="s">
        <v>19</v>
      </c>
      <c r="F376" s="2" t="s">
        <v>20</v>
      </c>
      <c r="G376" s="2" t="s">
        <v>21</v>
      </c>
      <c r="H376">
        <v>1</v>
      </c>
      <c r="I376" s="2" t="s">
        <v>526</v>
      </c>
      <c r="J376" s="505">
        <v>5.2260409683794924E-3</v>
      </c>
      <c r="K376" s="505">
        <v>0.89999999999999969</v>
      </c>
      <c r="L376" s="3">
        <v>1</v>
      </c>
      <c r="M376" s="3">
        <v>5.2488000000000001</v>
      </c>
      <c r="N376" s="507">
        <v>1185153.6000000001</v>
      </c>
      <c r="O376" s="507">
        <v>0</v>
      </c>
      <c r="P376" s="507">
        <v>1185153.6000000001</v>
      </c>
      <c r="Q376" s="507">
        <v>26501.35</v>
      </c>
      <c r="R376" s="507">
        <v>5574.2951406801967</v>
      </c>
      <c r="S376" s="507">
        <v>0</v>
      </c>
      <c r="T376" s="507">
        <v>5574.2951406801967</v>
      </c>
      <c r="U376" s="507">
        <v>124.64742673562745</v>
      </c>
      <c r="V376" s="507">
        <f>Port[[#This Row],[EAD_Drawn (CNY)]]*Port[[#This Row],[CNY -&gt; FCY]]</f>
        <v>1185153.6000000001</v>
      </c>
      <c r="W376" s="507">
        <f>Port[[#This Row],[EAD_Undrawn (CNY)]]*Port[[#This Row],[CNY -&gt; FCY]]</f>
        <v>0</v>
      </c>
      <c r="X376" s="507">
        <f>Port[[#This Row],[EAD (CNY)]]*Port[[#This Row],[CNY -&gt; FCY]]</f>
        <v>1185153.6000000001</v>
      </c>
      <c r="Y376" s="507">
        <f>Port[[#This Row],[EAD_Interest (CNY)]]*Port[[#This Row],[CNY -&gt; FCY]]</f>
        <v>26501.35</v>
      </c>
      <c r="Z376" s="507">
        <f>Port[[#This Row],[ECL_Drawn (CNY)]]*Port[[#This Row],[CNY -&gt; FCY]]</f>
        <v>5574.2951406801967</v>
      </c>
      <c r="AA376" s="507">
        <f>Port[[#This Row],[ECL_Undrawn (CNY)]]*Port[[#This Row],[CNY -&gt; FCY]]</f>
        <v>0</v>
      </c>
      <c r="AB376" s="507">
        <f>Port[[#This Row],[ECL (CNY)]]*Port[[#This Row],[CNY -&gt; FCY]]</f>
        <v>5574.2951406801967</v>
      </c>
      <c r="AC376" s="507">
        <f>Port[[#This Row],[ECL_Interest (CNY)]]*Port[[#This Row],[CNY -&gt; FCY]]</f>
        <v>124.64742673562745</v>
      </c>
      <c r="AD376" s="507">
        <f>Port[[#This Row],[EAD_Drawn (CNY)]]*Port[[#This Row],[CNY -&gt; THB]]</f>
        <v>6220634.2156800004</v>
      </c>
      <c r="AE376" s="507">
        <f>Port[[#This Row],[EAD_Undrawn (CNY)]]*Port[[#This Row],[CNY -&gt; THB]]</f>
        <v>0</v>
      </c>
      <c r="AF376" s="507">
        <f>Port[[#This Row],[EAD (CNY)]]*Port[[#This Row],[CNY -&gt; THB]]</f>
        <v>6220634.2156800004</v>
      </c>
      <c r="AG376" s="507">
        <f>Port[[#This Row],[EAD_Interest (CNY)]]*Port[[#This Row],[CNY -&gt; THB]]</f>
        <v>139100.28588000001</v>
      </c>
      <c r="AH376" s="507">
        <f>Port[[#This Row],[ECL_Drawn (CNY)]]*Port[[#This Row],[CNY -&gt; THB]]</f>
        <v>29258.360334402216</v>
      </c>
      <c r="AI376" s="507">
        <f>Port[[#This Row],[ECL_Undrawn (CNY)]]*Port[[#This Row],[CNY -&gt; THB]]</f>
        <v>0</v>
      </c>
      <c r="AJ376" s="507">
        <f>Port[[#This Row],[ECL (CNY)]]*Port[[#This Row],[CNY -&gt; THB]]</f>
        <v>29258.360334402216</v>
      </c>
      <c r="AK376" s="507">
        <f>Port[[#This Row],[ECL_Interest (CNY)]]*Port[[#This Row],[CNY -&gt; THB]]</f>
        <v>654.24941344996137</v>
      </c>
      <c r="AL376" s="507">
        <f>Port[[#This Row],[EAD (THB)]]*Port[[#This Row],[PD_avg]]</f>
        <v>32509.289260446913</v>
      </c>
      <c r="AM376" s="507">
        <f>Port[[#This Row],[EAD_Interest (THB)]]*Port[[#This Row],[PD_avg]]</f>
        <v>726.94379272217952</v>
      </c>
      <c r="AN376" s="507">
        <f>Port[[#This Row],[EAD (THB)]]*Port[[#This Row],[LGD_avg]]</f>
        <v>5598570.7941119988</v>
      </c>
      <c r="AO376" s="507">
        <f>Port[[#This Row],[EAD_Interest (THB)]]*Port[[#This Row],[LGD_avg]]</f>
        <v>125190.25729199997</v>
      </c>
      <c r="AP376" s="507">
        <f>Port[[#This Row],[EAD_Drawn (THB)]]+Port[[#This Row],[EAD_Interest (THB)]]</f>
        <v>6359734.5015600007</v>
      </c>
      <c r="AQ37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93309.513235200007</v>
      </c>
      <c r="AR376" s="522">
        <f>MAX(Port[[#This Row],[ECL (THB)]]+Port[[#This Row],[ECL_Interest (THB)]], Port[[#This Row],[ECL CBIRC (THB)]])</f>
        <v>93309.513235200007</v>
      </c>
    </row>
    <row r="377" spans="1:44">
      <c r="A377" s="2" t="s">
        <v>1061</v>
      </c>
      <c r="B377" s="2" t="s">
        <v>1060</v>
      </c>
      <c r="C377" s="2" t="s">
        <v>328</v>
      </c>
      <c r="D377" s="2" t="s">
        <v>18</v>
      </c>
      <c r="E377" s="2" t="s">
        <v>19</v>
      </c>
      <c r="F377" s="2" t="s">
        <v>20</v>
      </c>
      <c r="G377" s="2" t="s">
        <v>21</v>
      </c>
      <c r="H377">
        <v>1</v>
      </c>
      <c r="I377" s="2" t="s">
        <v>526</v>
      </c>
      <c r="J377" s="505">
        <v>5.2260409683794924E-3</v>
      </c>
      <c r="K377" s="505">
        <v>0.9</v>
      </c>
      <c r="L377" s="3">
        <v>1</v>
      </c>
      <c r="M377" s="3">
        <v>5.2488000000000001</v>
      </c>
      <c r="N377" s="507">
        <v>2934018</v>
      </c>
      <c r="O377" s="507">
        <v>0</v>
      </c>
      <c r="P377" s="507">
        <v>2934018</v>
      </c>
      <c r="Q377" s="507">
        <v>55420.34</v>
      </c>
      <c r="R377" s="507">
        <v>13799.968442966574</v>
      </c>
      <c r="S377" s="507">
        <v>0</v>
      </c>
      <c r="T377" s="507">
        <v>13799.968442966574</v>
      </c>
      <c r="U377" s="507">
        <v>260.66607058936859</v>
      </c>
      <c r="V377" s="507">
        <f>Port[[#This Row],[EAD_Drawn (CNY)]]*Port[[#This Row],[CNY -&gt; FCY]]</f>
        <v>2934018</v>
      </c>
      <c r="W377" s="507">
        <f>Port[[#This Row],[EAD_Undrawn (CNY)]]*Port[[#This Row],[CNY -&gt; FCY]]</f>
        <v>0</v>
      </c>
      <c r="X377" s="507">
        <f>Port[[#This Row],[EAD (CNY)]]*Port[[#This Row],[CNY -&gt; FCY]]</f>
        <v>2934018</v>
      </c>
      <c r="Y377" s="507">
        <f>Port[[#This Row],[EAD_Interest (CNY)]]*Port[[#This Row],[CNY -&gt; FCY]]</f>
        <v>55420.34</v>
      </c>
      <c r="Z377" s="507">
        <f>Port[[#This Row],[ECL_Drawn (CNY)]]*Port[[#This Row],[CNY -&gt; FCY]]</f>
        <v>13799.968442966574</v>
      </c>
      <c r="AA377" s="507">
        <f>Port[[#This Row],[ECL_Undrawn (CNY)]]*Port[[#This Row],[CNY -&gt; FCY]]</f>
        <v>0</v>
      </c>
      <c r="AB377" s="507">
        <f>Port[[#This Row],[ECL (CNY)]]*Port[[#This Row],[CNY -&gt; FCY]]</f>
        <v>13799.968442966574</v>
      </c>
      <c r="AC377" s="507">
        <f>Port[[#This Row],[ECL_Interest (CNY)]]*Port[[#This Row],[CNY -&gt; FCY]]</f>
        <v>260.66607058936859</v>
      </c>
      <c r="AD377" s="507">
        <f>Port[[#This Row],[EAD_Drawn (CNY)]]*Port[[#This Row],[CNY -&gt; THB]]</f>
        <v>15400073.678400001</v>
      </c>
      <c r="AE377" s="507">
        <f>Port[[#This Row],[EAD_Undrawn (CNY)]]*Port[[#This Row],[CNY -&gt; THB]]</f>
        <v>0</v>
      </c>
      <c r="AF377" s="507">
        <f>Port[[#This Row],[EAD (CNY)]]*Port[[#This Row],[CNY -&gt; THB]]</f>
        <v>15400073.678400001</v>
      </c>
      <c r="AG377" s="507">
        <f>Port[[#This Row],[EAD_Interest (CNY)]]*Port[[#This Row],[CNY -&gt; THB]]</f>
        <v>290890.280592</v>
      </c>
      <c r="AH377" s="507">
        <f>Port[[#This Row],[ECL_Drawn (CNY)]]*Port[[#This Row],[CNY -&gt; THB]]</f>
        <v>72433.27436344295</v>
      </c>
      <c r="AI377" s="507">
        <f>Port[[#This Row],[ECL_Undrawn (CNY)]]*Port[[#This Row],[CNY -&gt; THB]]</f>
        <v>0</v>
      </c>
      <c r="AJ377" s="507">
        <f>Port[[#This Row],[ECL (CNY)]]*Port[[#This Row],[CNY -&gt; THB]]</f>
        <v>72433.27436344295</v>
      </c>
      <c r="AK377" s="507">
        <f>Port[[#This Row],[ECL_Interest (CNY)]]*Port[[#This Row],[CNY -&gt; THB]]</f>
        <v>1368.184071309478</v>
      </c>
      <c r="AL377" s="507">
        <f>Port[[#This Row],[EAD (THB)]]*Port[[#This Row],[PD_avg]]</f>
        <v>80481.415959381076</v>
      </c>
      <c r="AM377" s="507">
        <f>Port[[#This Row],[EAD_Interest (THB)]]*Port[[#This Row],[PD_avg]]</f>
        <v>1520.2045236771978</v>
      </c>
      <c r="AN377" s="507">
        <f>Port[[#This Row],[EAD (THB)]]*Port[[#This Row],[LGD_avg]]</f>
        <v>13860066.310560001</v>
      </c>
      <c r="AO377" s="507">
        <f>Port[[#This Row],[EAD_Interest (THB)]]*Port[[#This Row],[LGD_avg]]</f>
        <v>261801.25253279999</v>
      </c>
      <c r="AP377" s="507">
        <f>Port[[#This Row],[EAD_Drawn (THB)]]+Port[[#This Row],[EAD_Interest (THB)]]</f>
        <v>15690963.958992001</v>
      </c>
      <c r="AQ37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231001.10517600001</v>
      </c>
      <c r="AR377" s="522">
        <f>MAX(Port[[#This Row],[ECL (THB)]]+Port[[#This Row],[ECL_Interest (THB)]], Port[[#This Row],[ECL CBIRC (THB)]])</f>
        <v>231001.10517600001</v>
      </c>
    </row>
    <row r="378" spans="1:44">
      <c r="A378" s="2" t="s">
        <v>1062</v>
      </c>
      <c r="B378" s="2" t="s">
        <v>1060</v>
      </c>
      <c r="C378" s="2" t="s">
        <v>328</v>
      </c>
      <c r="D378" s="2" t="s">
        <v>18</v>
      </c>
      <c r="E378" s="2" t="s">
        <v>19</v>
      </c>
      <c r="F378" s="2" t="s">
        <v>20</v>
      </c>
      <c r="G378" s="2" t="s">
        <v>21</v>
      </c>
      <c r="H378">
        <v>1</v>
      </c>
      <c r="I378" s="2" t="s">
        <v>526</v>
      </c>
      <c r="J378" s="505">
        <v>5.2260409683794924E-3</v>
      </c>
      <c r="K378" s="505">
        <v>0.89999999999999969</v>
      </c>
      <c r="L378" s="3">
        <v>1</v>
      </c>
      <c r="M378" s="3">
        <v>5.2488000000000001</v>
      </c>
      <c r="N378" s="507">
        <v>4217766.3</v>
      </c>
      <c r="O378" s="507">
        <v>0</v>
      </c>
      <c r="P378" s="507">
        <v>4217766.3</v>
      </c>
      <c r="Q378" s="507">
        <v>49793.07</v>
      </c>
      <c r="R378" s="507">
        <v>19837.997530965346</v>
      </c>
      <c r="S378" s="507">
        <v>0</v>
      </c>
      <c r="T378" s="507">
        <v>19837.997530965346</v>
      </c>
      <c r="U378" s="507">
        <v>234.19856138524904</v>
      </c>
      <c r="V378" s="507">
        <f>Port[[#This Row],[EAD_Drawn (CNY)]]*Port[[#This Row],[CNY -&gt; FCY]]</f>
        <v>4217766.3</v>
      </c>
      <c r="W378" s="507">
        <f>Port[[#This Row],[EAD_Undrawn (CNY)]]*Port[[#This Row],[CNY -&gt; FCY]]</f>
        <v>0</v>
      </c>
      <c r="X378" s="507">
        <f>Port[[#This Row],[EAD (CNY)]]*Port[[#This Row],[CNY -&gt; FCY]]</f>
        <v>4217766.3</v>
      </c>
      <c r="Y378" s="507">
        <f>Port[[#This Row],[EAD_Interest (CNY)]]*Port[[#This Row],[CNY -&gt; FCY]]</f>
        <v>49793.07</v>
      </c>
      <c r="Z378" s="507">
        <f>Port[[#This Row],[ECL_Drawn (CNY)]]*Port[[#This Row],[CNY -&gt; FCY]]</f>
        <v>19837.997530965346</v>
      </c>
      <c r="AA378" s="507">
        <f>Port[[#This Row],[ECL_Undrawn (CNY)]]*Port[[#This Row],[CNY -&gt; FCY]]</f>
        <v>0</v>
      </c>
      <c r="AB378" s="507">
        <f>Port[[#This Row],[ECL (CNY)]]*Port[[#This Row],[CNY -&gt; FCY]]</f>
        <v>19837.997530965346</v>
      </c>
      <c r="AC378" s="507">
        <f>Port[[#This Row],[ECL_Interest (CNY)]]*Port[[#This Row],[CNY -&gt; FCY]]</f>
        <v>234.19856138524904</v>
      </c>
      <c r="AD378" s="507">
        <f>Port[[#This Row],[EAD_Drawn (CNY)]]*Port[[#This Row],[CNY -&gt; THB]]</f>
        <v>22138211.75544</v>
      </c>
      <c r="AE378" s="507">
        <f>Port[[#This Row],[EAD_Undrawn (CNY)]]*Port[[#This Row],[CNY -&gt; THB]]</f>
        <v>0</v>
      </c>
      <c r="AF378" s="507">
        <f>Port[[#This Row],[EAD (CNY)]]*Port[[#This Row],[CNY -&gt; THB]]</f>
        <v>22138211.75544</v>
      </c>
      <c r="AG378" s="507">
        <f>Port[[#This Row],[EAD_Interest (CNY)]]*Port[[#This Row],[CNY -&gt; THB]]</f>
        <v>261353.865816</v>
      </c>
      <c r="AH378" s="507">
        <f>Port[[#This Row],[ECL_Drawn (CNY)]]*Port[[#This Row],[CNY -&gt; THB]]</f>
        <v>104125.68144053091</v>
      </c>
      <c r="AI378" s="507">
        <f>Port[[#This Row],[ECL_Undrawn (CNY)]]*Port[[#This Row],[CNY -&gt; THB]]</f>
        <v>0</v>
      </c>
      <c r="AJ378" s="507">
        <f>Port[[#This Row],[ECL (CNY)]]*Port[[#This Row],[CNY -&gt; THB]]</f>
        <v>104125.68144053091</v>
      </c>
      <c r="AK378" s="507">
        <f>Port[[#This Row],[ECL_Interest (CNY)]]*Port[[#This Row],[CNY -&gt; THB]]</f>
        <v>1229.2614089988951</v>
      </c>
      <c r="AL378" s="507">
        <f>Port[[#This Row],[EAD (THB)]]*Port[[#This Row],[PD_avg]]</f>
        <v>115695.20160058992</v>
      </c>
      <c r="AM378" s="507">
        <f>Port[[#This Row],[EAD_Interest (THB)]]*Port[[#This Row],[PD_avg]]</f>
        <v>1365.8460099987726</v>
      </c>
      <c r="AN378" s="507">
        <f>Port[[#This Row],[EAD (THB)]]*Port[[#This Row],[LGD_avg]]</f>
        <v>19924390.579895992</v>
      </c>
      <c r="AO378" s="507">
        <f>Port[[#This Row],[EAD_Interest (THB)]]*Port[[#This Row],[LGD_avg]]</f>
        <v>235218.47923439991</v>
      </c>
      <c r="AP378" s="507">
        <f>Port[[#This Row],[EAD_Drawn (THB)]]+Port[[#This Row],[EAD_Interest (THB)]]</f>
        <v>22399565.621256001</v>
      </c>
      <c r="AQ37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332073.1763316</v>
      </c>
      <c r="AR378" s="522">
        <f>MAX(Port[[#This Row],[ECL (THB)]]+Port[[#This Row],[ECL_Interest (THB)]], Port[[#This Row],[ECL CBIRC (THB)]])</f>
        <v>332073.1763316</v>
      </c>
    </row>
    <row r="379" spans="1:44">
      <c r="A379" s="2" t="s">
        <v>1063</v>
      </c>
      <c r="B379" s="2" t="s">
        <v>1049</v>
      </c>
      <c r="C379" s="2" t="s">
        <v>328</v>
      </c>
      <c r="D379" s="2" t="s">
        <v>18</v>
      </c>
      <c r="E379" s="2" t="s">
        <v>19</v>
      </c>
      <c r="F379" s="2" t="s">
        <v>20</v>
      </c>
      <c r="G379" s="2" t="s">
        <v>21</v>
      </c>
      <c r="H379">
        <v>1</v>
      </c>
      <c r="I379" s="2" t="s">
        <v>526</v>
      </c>
      <c r="J379" s="505">
        <v>5.2260409683794924E-3</v>
      </c>
      <c r="K379" s="505">
        <v>0.9</v>
      </c>
      <c r="L379" s="3">
        <v>1</v>
      </c>
      <c r="M379" s="3">
        <v>5.2488000000000001</v>
      </c>
      <c r="N379" s="507">
        <v>1085600</v>
      </c>
      <c r="O379" s="507">
        <v>0</v>
      </c>
      <c r="P379" s="507">
        <v>1085600</v>
      </c>
      <c r="Q379" s="507">
        <v>13268.44</v>
      </c>
      <c r="R379" s="507">
        <v>5106.0510677454986</v>
      </c>
      <c r="S379" s="507">
        <v>0</v>
      </c>
      <c r="T379" s="507">
        <v>5106.0510677454986</v>
      </c>
      <c r="U379" s="507">
        <v>62.407269923836665</v>
      </c>
      <c r="V379" s="507">
        <f>Port[[#This Row],[EAD_Drawn (CNY)]]*Port[[#This Row],[CNY -&gt; FCY]]</f>
        <v>1085600</v>
      </c>
      <c r="W379" s="507">
        <f>Port[[#This Row],[EAD_Undrawn (CNY)]]*Port[[#This Row],[CNY -&gt; FCY]]</f>
        <v>0</v>
      </c>
      <c r="X379" s="507">
        <f>Port[[#This Row],[EAD (CNY)]]*Port[[#This Row],[CNY -&gt; FCY]]</f>
        <v>1085600</v>
      </c>
      <c r="Y379" s="507">
        <f>Port[[#This Row],[EAD_Interest (CNY)]]*Port[[#This Row],[CNY -&gt; FCY]]</f>
        <v>13268.44</v>
      </c>
      <c r="Z379" s="507">
        <f>Port[[#This Row],[ECL_Drawn (CNY)]]*Port[[#This Row],[CNY -&gt; FCY]]</f>
        <v>5106.0510677454986</v>
      </c>
      <c r="AA379" s="507">
        <f>Port[[#This Row],[ECL_Undrawn (CNY)]]*Port[[#This Row],[CNY -&gt; FCY]]</f>
        <v>0</v>
      </c>
      <c r="AB379" s="507">
        <f>Port[[#This Row],[ECL (CNY)]]*Port[[#This Row],[CNY -&gt; FCY]]</f>
        <v>5106.0510677454986</v>
      </c>
      <c r="AC379" s="507">
        <f>Port[[#This Row],[ECL_Interest (CNY)]]*Port[[#This Row],[CNY -&gt; FCY]]</f>
        <v>62.407269923836665</v>
      </c>
      <c r="AD379" s="507">
        <f>Port[[#This Row],[EAD_Drawn (CNY)]]*Port[[#This Row],[CNY -&gt; THB]]</f>
        <v>5698097.2800000003</v>
      </c>
      <c r="AE379" s="507">
        <f>Port[[#This Row],[EAD_Undrawn (CNY)]]*Port[[#This Row],[CNY -&gt; THB]]</f>
        <v>0</v>
      </c>
      <c r="AF379" s="507">
        <f>Port[[#This Row],[EAD (CNY)]]*Port[[#This Row],[CNY -&gt; THB]]</f>
        <v>5698097.2800000003</v>
      </c>
      <c r="AG379" s="507">
        <f>Port[[#This Row],[EAD_Interest (CNY)]]*Port[[#This Row],[CNY -&gt; THB]]</f>
        <v>69643.387872000007</v>
      </c>
      <c r="AH379" s="507">
        <f>Port[[#This Row],[ECL_Drawn (CNY)]]*Port[[#This Row],[CNY -&gt; THB]]</f>
        <v>26800.640844382575</v>
      </c>
      <c r="AI379" s="507">
        <f>Port[[#This Row],[ECL_Undrawn (CNY)]]*Port[[#This Row],[CNY -&gt; THB]]</f>
        <v>0</v>
      </c>
      <c r="AJ379" s="507">
        <f>Port[[#This Row],[ECL (CNY)]]*Port[[#This Row],[CNY -&gt; THB]]</f>
        <v>26800.640844382575</v>
      </c>
      <c r="AK379" s="507">
        <f>Port[[#This Row],[ECL_Interest (CNY)]]*Port[[#This Row],[CNY -&gt; THB]]</f>
        <v>327.56327837623388</v>
      </c>
      <c r="AL379" s="507">
        <f>Port[[#This Row],[EAD (THB)]]*Port[[#This Row],[PD_avg]]</f>
        <v>29778.489827091755</v>
      </c>
      <c r="AM379" s="507">
        <f>Port[[#This Row],[EAD_Interest (THB)]]*Port[[#This Row],[PD_avg]]</f>
        <v>363.95919819581553</v>
      </c>
      <c r="AN379" s="507">
        <f>Port[[#This Row],[EAD (THB)]]*Port[[#This Row],[LGD_avg]]</f>
        <v>5128287.5520000001</v>
      </c>
      <c r="AO379" s="507">
        <f>Port[[#This Row],[EAD_Interest (THB)]]*Port[[#This Row],[LGD_avg]]</f>
        <v>62679.049084800004</v>
      </c>
      <c r="AP379" s="507">
        <f>Port[[#This Row],[EAD_Drawn (THB)]]+Port[[#This Row],[EAD_Interest (THB)]]</f>
        <v>5767740.6678720005</v>
      </c>
      <c r="AQ37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85471.459199999998</v>
      </c>
      <c r="AR379" s="522">
        <f>MAX(Port[[#This Row],[ECL (THB)]]+Port[[#This Row],[ECL_Interest (THB)]], Port[[#This Row],[ECL CBIRC (THB)]])</f>
        <v>85471.459199999998</v>
      </c>
    </row>
    <row r="380" spans="1:44">
      <c r="A380" s="2" t="s">
        <v>1064</v>
      </c>
      <c r="B380" s="2" t="s">
        <v>1060</v>
      </c>
      <c r="C380" s="2" t="s">
        <v>328</v>
      </c>
      <c r="D380" s="2" t="s">
        <v>18</v>
      </c>
      <c r="E380" s="2" t="s">
        <v>19</v>
      </c>
      <c r="F380" s="2" t="s">
        <v>20</v>
      </c>
      <c r="G380" s="2" t="s">
        <v>21</v>
      </c>
      <c r="H380">
        <v>1</v>
      </c>
      <c r="I380" s="2" t="s">
        <v>526</v>
      </c>
      <c r="J380" s="505">
        <v>5.2260409683794924E-3</v>
      </c>
      <c r="K380" s="505">
        <v>0.90000000000000013</v>
      </c>
      <c r="L380" s="3">
        <v>1</v>
      </c>
      <c r="M380" s="3">
        <v>5.2488000000000001</v>
      </c>
      <c r="N380" s="507">
        <v>512800</v>
      </c>
      <c r="O380" s="507">
        <v>0</v>
      </c>
      <c r="P380" s="507">
        <v>512800</v>
      </c>
      <c r="Q380" s="507">
        <v>10327.219999999999</v>
      </c>
      <c r="R380" s="507">
        <v>2411.9224277265039</v>
      </c>
      <c r="S380" s="507">
        <v>0</v>
      </c>
      <c r="T380" s="507">
        <v>2411.9224277265039</v>
      </c>
      <c r="U380" s="507">
        <v>48.573427328521248</v>
      </c>
      <c r="V380" s="507">
        <f>Port[[#This Row],[EAD_Drawn (CNY)]]*Port[[#This Row],[CNY -&gt; FCY]]</f>
        <v>512800</v>
      </c>
      <c r="W380" s="507">
        <f>Port[[#This Row],[EAD_Undrawn (CNY)]]*Port[[#This Row],[CNY -&gt; FCY]]</f>
        <v>0</v>
      </c>
      <c r="X380" s="507">
        <f>Port[[#This Row],[EAD (CNY)]]*Port[[#This Row],[CNY -&gt; FCY]]</f>
        <v>512800</v>
      </c>
      <c r="Y380" s="507">
        <f>Port[[#This Row],[EAD_Interest (CNY)]]*Port[[#This Row],[CNY -&gt; FCY]]</f>
        <v>10327.219999999999</v>
      </c>
      <c r="Z380" s="507">
        <f>Port[[#This Row],[ECL_Drawn (CNY)]]*Port[[#This Row],[CNY -&gt; FCY]]</f>
        <v>2411.9224277265039</v>
      </c>
      <c r="AA380" s="507">
        <f>Port[[#This Row],[ECL_Undrawn (CNY)]]*Port[[#This Row],[CNY -&gt; FCY]]</f>
        <v>0</v>
      </c>
      <c r="AB380" s="507">
        <f>Port[[#This Row],[ECL (CNY)]]*Port[[#This Row],[CNY -&gt; FCY]]</f>
        <v>2411.9224277265039</v>
      </c>
      <c r="AC380" s="507">
        <f>Port[[#This Row],[ECL_Interest (CNY)]]*Port[[#This Row],[CNY -&gt; FCY]]</f>
        <v>48.573427328521248</v>
      </c>
      <c r="AD380" s="507">
        <f>Port[[#This Row],[EAD_Drawn (CNY)]]*Port[[#This Row],[CNY -&gt; THB]]</f>
        <v>2691584.64</v>
      </c>
      <c r="AE380" s="507">
        <f>Port[[#This Row],[EAD_Undrawn (CNY)]]*Port[[#This Row],[CNY -&gt; THB]]</f>
        <v>0</v>
      </c>
      <c r="AF380" s="507">
        <f>Port[[#This Row],[EAD (CNY)]]*Port[[#This Row],[CNY -&gt; THB]]</f>
        <v>2691584.64</v>
      </c>
      <c r="AG380" s="507">
        <f>Port[[#This Row],[EAD_Interest (CNY)]]*Port[[#This Row],[CNY -&gt; THB]]</f>
        <v>54205.512336</v>
      </c>
      <c r="AH380" s="507">
        <f>Port[[#This Row],[ECL_Drawn (CNY)]]*Port[[#This Row],[CNY -&gt; THB]]</f>
        <v>12659.698438650874</v>
      </c>
      <c r="AI380" s="507">
        <f>Port[[#This Row],[ECL_Undrawn (CNY)]]*Port[[#This Row],[CNY -&gt; THB]]</f>
        <v>0</v>
      </c>
      <c r="AJ380" s="507">
        <f>Port[[#This Row],[ECL (CNY)]]*Port[[#This Row],[CNY -&gt; THB]]</f>
        <v>12659.698438650874</v>
      </c>
      <c r="AK380" s="507">
        <f>Port[[#This Row],[ECL_Interest (CNY)]]*Port[[#This Row],[CNY -&gt; THB]]</f>
        <v>254.95220536194233</v>
      </c>
      <c r="AL380" s="507">
        <f>Port[[#This Row],[EAD (THB)]]*Port[[#This Row],[PD_avg]]</f>
        <v>14066.331598500969</v>
      </c>
      <c r="AM380" s="507">
        <f>Port[[#This Row],[EAD_Interest (THB)]]*Port[[#This Row],[PD_avg]]</f>
        <v>283.28022817993599</v>
      </c>
      <c r="AN380" s="507">
        <f>Port[[#This Row],[EAD (THB)]]*Port[[#This Row],[LGD_avg]]</f>
        <v>2422426.1760000004</v>
      </c>
      <c r="AO380" s="507">
        <f>Port[[#This Row],[EAD_Interest (THB)]]*Port[[#This Row],[LGD_avg]]</f>
        <v>48784.961102400004</v>
      </c>
      <c r="AP380" s="507">
        <f>Port[[#This Row],[EAD_Drawn (THB)]]+Port[[#This Row],[EAD_Interest (THB)]]</f>
        <v>2745790.152336</v>
      </c>
      <c r="AQ38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40373.7696</v>
      </c>
      <c r="AR380" s="522">
        <f>MAX(Port[[#This Row],[ECL (THB)]]+Port[[#This Row],[ECL_Interest (THB)]], Port[[#This Row],[ECL CBIRC (THB)]])</f>
        <v>40373.7696</v>
      </c>
    </row>
    <row r="381" spans="1:44">
      <c r="A381" s="2" t="s">
        <v>1065</v>
      </c>
      <c r="B381" s="2" t="s">
        <v>1066</v>
      </c>
      <c r="C381" s="2" t="s">
        <v>328</v>
      </c>
      <c r="D381" s="2" t="s">
        <v>30</v>
      </c>
      <c r="E381" s="2" t="s">
        <v>19</v>
      </c>
      <c r="F381" s="2" t="s">
        <v>20</v>
      </c>
      <c r="G381" s="2" t="s">
        <v>21</v>
      </c>
      <c r="H381">
        <v>1</v>
      </c>
      <c r="I381" s="2" t="s">
        <v>526</v>
      </c>
      <c r="J381" s="505">
        <v>5.2260409683794924E-3</v>
      </c>
      <c r="K381" s="505">
        <v>0.89999999999999991</v>
      </c>
      <c r="L381" s="3">
        <v>1</v>
      </c>
      <c r="M381" s="3">
        <v>5.2488000000000001</v>
      </c>
      <c r="N381" s="507">
        <v>266000</v>
      </c>
      <c r="O381" s="507">
        <v>0</v>
      </c>
      <c r="P381" s="507">
        <v>266000</v>
      </c>
      <c r="Q381" s="507">
        <v>6428.33</v>
      </c>
      <c r="R381" s="507">
        <v>1251.1142078300504</v>
      </c>
      <c r="S381" s="507">
        <v>0</v>
      </c>
      <c r="T381" s="507">
        <v>1251.1142078300504</v>
      </c>
      <c r="U381" s="507">
        <v>30.235244344436644</v>
      </c>
      <c r="V381" s="507">
        <f>Port[[#This Row],[EAD_Drawn (CNY)]]*Port[[#This Row],[CNY -&gt; FCY]]</f>
        <v>266000</v>
      </c>
      <c r="W381" s="507">
        <f>Port[[#This Row],[EAD_Undrawn (CNY)]]*Port[[#This Row],[CNY -&gt; FCY]]</f>
        <v>0</v>
      </c>
      <c r="X381" s="507">
        <f>Port[[#This Row],[EAD (CNY)]]*Port[[#This Row],[CNY -&gt; FCY]]</f>
        <v>266000</v>
      </c>
      <c r="Y381" s="507">
        <f>Port[[#This Row],[EAD_Interest (CNY)]]*Port[[#This Row],[CNY -&gt; FCY]]</f>
        <v>6428.33</v>
      </c>
      <c r="Z381" s="507">
        <f>Port[[#This Row],[ECL_Drawn (CNY)]]*Port[[#This Row],[CNY -&gt; FCY]]</f>
        <v>1251.1142078300504</v>
      </c>
      <c r="AA381" s="507">
        <f>Port[[#This Row],[ECL_Undrawn (CNY)]]*Port[[#This Row],[CNY -&gt; FCY]]</f>
        <v>0</v>
      </c>
      <c r="AB381" s="507">
        <f>Port[[#This Row],[ECL (CNY)]]*Port[[#This Row],[CNY -&gt; FCY]]</f>
        <v>1251.1142078300504</v>
      </c>
      <c r="AC381" s="507">
        <f>Port[[#This Row],[ECL_Interest (CNY)]]*Port[[#This Row],[CNY -&gt; FCY]]</f>
        <v>30.235244344436644</v>
      </c>
      <c r="AD381" s="507">
        <f>Port[[#This Row],[EAD_Drawn (CNY)]]*Port[[#This Row],[CNY -&gt; THB]]</f>
        <v>1396180.8</v>
      </c>
      <c r="AE381" s="507">
        <f>Port[[#This Row],[EAD_Undrawn (CNY)]]*Port[[#This Row],[CNY -&gt; THB]]</f>
        <v>0</v>
      </c>
      <c r="AF381" s="507">
        <f>Port[[#This Row],[EAD (CNY)]]*Port[[#This Row],[CNY -&gt; THB]]</f>
        <v>1396180.8</v>
      </c>
      <c r="AG381" s="507">
        <f>Port[[#This Row],[EAD_Interest (CNY)]]*Port[[#This Row],[CNY -&gt; THB]]</f>
        <v>33741.018504</v>
      </c>
      <c r="AH381" s="507">
        <f>Port[[#This Row],[ECL_Drawn (CNY)]]*Port[[#This Row],[CNY -&gt; THB]]</f>
        <v>6566.8482540583691</v>
      </c>
      <c r="AI381" s="507">
        <f>Port[[#This Row],[ECL_Undrawn (CNY)]]*Port[[#This Row],[CNY -&gt; THB]]</f>
        <v>0</v>
      </c>
      <c r="AJ381" s="507">
        <f>Port[[#This Row],[ECL (CNY)]]*Port[[#This Row],[CNY -&gt; THB]]</f>
        <v>6566.8482540583691</v>
      </c>
      <c r="AK381" s="507">
        <f>Port[[#This Row],[ECL_Interest (CNY)]]*Port[[#This Row],[CNY -&gt; THB]]</f>
        <v>158.69875051507907</v>
      </c>
      <c r="AL381" s="507">
        <f>Port[[#This Row],[EAD (THB)]]*Port[[#This Row],[PD_avg]]</f>
        <v>7296.4980600648551</v>
      </c>
      <c r="AM381" s="507">
        <f>Port[[#This Row],[EAD_Interest (THB)]]*Port[[#This Row],[PD_avg]]</f>
        <v>176.33194501675453</v>
      </c>
      <c r="AN381" s="507">
        <f>Port[[#This Row],[EAD (THB)]]*Port[[#This Row],[LGD_avg]]</f>
        <v>1256562.72</v>
      </c>
      <c r="AO381" s="507">
        <f>Port[[#This Row],[EAD_Interest (THB)]]*Port[[#This Row],[LGD_avg]]</f>
        <v>30366.916653599998</v>
      </c>
      <c r="AP381" s="507">
        <f>Port[[#This Row],[EAD_Drawn (THB)]]+Port[[#This Row],[EAD_Interest (THB)]]</f>
        <v>1429921.8185040001</v>
      </c>
      <c r="AQ38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20942.712</v>
      </c>
      <c r="AR381" s="522">
        <f>MAX(Port[[#This Row],[ECL (THB)]]+Port[[#This Row],[ECL_Interest (THB)]], Port[[#This Row],[ECL CBIRC (THB)]])</f>
        <v>20942.712</v>
      </c>
    </row>
    <row r="382" spans="1:44">
      <c r="A382" s="2" t="s">
        <v>1067</v>
      </c>
      <c r="B382" s="2" t="s">
        <v>1060</v>
      </c>
      <c r="C382" s="2" t="s">
        <v>328</v>
      </c>
      <c r="D382" s="2" t="s">
        <v>18</v>
      </c>
      <c r="E382" s="2" t="s">
        <v>19</v>
      </c>
      <c r="F382" s="2" t="s">
        <v>20</v>
      </c>
      <c r="G382" s="2" t="s">
        <v>21</v>
      </c>
      <c r="H382">
        <v>1</v>
      </c>
      <c r="I382" s="2" t="s">
        <v>526</v>
      </c>
      <c r="J382" s="505">
        <v>5.2260409683794924E-3</v>
      </c>
      <c r="K382" s="505">
        <v>0.9</v>
      </c>
      <c r="L382" s="3">
        <v>1</v>
      </c>
      <c r="M382" s="3">
        <v>5.2488000000000001</v>
      </c>
      <c r="N382" s="507">
        <v>1150000</v>
      </c>
      <c r="O382" s="507">
        <v>0</v>
      </c>
      <c r="P382" s="507">
        <v>1150000</v>
      </c>
      <c r="Q382" s="507">
        <v>25715.279999999999</v>
      </c>
      <c r="R382" s="507">
        <v>5408.9524022727746</v>
      </c>
      <c r="S382" s="507">
        <v>0</v>
      </c>
      <c r="T382" s="507">
        <v>5408.9524022727746</v>
      </c>
      <c r="U382" s="507">
        <v>120.9501961140148</v>
      </c>
      <c r="V382" s="507">
        <f>Port[[#This Row],[EAD_Drawn (CNY)]]*Port[[#This Row],[CNY -&gt; FCY]]</f>
        <v>1150000</v>
      </c>
      <c r="W382" s="507">
        <f>Port[[#This Row],[EAD_Undrawn (CNY)]]*Port[[#This Row],[CNY -&gt; FCY]]</f>
        <v>0</v>
      </c>
      <c r="X382" s="507">
        <f>Port[[#This Row],[EAD (CNY)]]*Port[[#This Row],[CNY -&gt; FCY]]</f>
        <v>1150000</v>
      </c>
      <c r="Y382" s="507">
        <f>Port[[#This Row],[EAD_Interest (CNY)]]*Port[[#This Row],[CNY -&gt; FCY]]</f>
        <v>25715.279999999999</v>
      </c>
      <c r="Z382" s="507">
        <f>Port[[#This Row],[ECL_Drawn (CNY)]]*Port[[#This Row],[CNY -&gt; FCY]]</f>
        <v>5408.9524022727746</v>
      </c>
      <c r="AA382" s="507">
        <f>Port[[#This Row],[ECL_Undrawn (CNY)]]*Port[[#This Row],[CNY -&gt; FCY]]</f>
        <v>0</v>
      </c>
      <c r="AB382" s="507">
        <f>Port[[#This Row],[ECL (CNY)]]*Port[[#This Row],[CNY -&gt; FCY]]</f>
        <v>5408.9524022727746</v>
      </c>
      <c r="AC382" s="507">
        <f>Port[[#This Row],[ECL_Interest (CNY)]]*Port[[#This Row],[CNY -&gt; FCY]]</f>
        <v>120.9501961140148</v>
      </c>
      <c r="AD382" s="507">
        <f>Port[[#This Row],[EAD_Drawn (CNY)]]*Port[[#This Row],[CNY -&gt; THB]]</f>
        <v>6036120</v>
      </c>
      <c r="AE382" s="507">
        <f>Port[[#This Row],[EAD_Undrawn (CNY)]]*Port[[#This Row],[CNY -&gt; THB]]</f>
        <v>0</v>
      </c>
      <c r="AF382" s="507">
        <f>Port[[#This Row],[EAD (CNY)]]*Port[[#This Row],[CNY -&gt; THB]]</f>
        <v>6036120</v>
      </c>
      <c r="AG382" s="507">
        <f>Port[[#This Row],[EAD_Interest (CNY)]]*Port[[#This Row],[CNY -&gt; THB]]</f>
        <v>134974.361664</v>
      </c>
      <c r="AH382" s="507">
        <f>Port[[#This Row],[ECL_Drawn (CNY)]]*Port[[#This Row],[CNY -&gt; THB]]</f>
        <v>28390.509369049341</v>
      </c>
      <c r="AI382" s="507">
        <f>Port[[#This Row],[ECL_Undrawn (CNY)]]*Port[[#This Row],[CNY -&gt; THB]]</f>
        <v>0</v>
      </c>
      <c r="AJ382" s="507">
        <f>Port[[#This Row],[ECL (CNY)]]*Port[[#This Row],[CNY -&gt; THB]]</f>
        <v>28390.509369049341</v>
      </c>
      <c r="AK382" s="507">
        <f>Port[[#This Row],[ECL_Interest (CNY)]]*Port[[#This Row],[CNY -&gt; THB]]</f>
        <v>634.84338936324093</v>
      </c>
      <c r="AL382" s="507">
        <f>Port[[#This Row],[EAD (THB)]]*Port[[#This Row],[PD_avg]]</f>
        <v>31545.010410054823</v>
      </c>
      <c r="AM382" s="507">
        <f>Port[[#This Row],[EAD_Interest (THB)]]*Port[[#This Row],[PD_avg]]</f>
        <v>705.38154373693442</v>
      </c>
      <c r="AN382" s="507">
        <f>Port[[#This Row],[EAD (THB)]]*Port[[#This Row],[LGD_avg]]</f>
        <v>5432508</v>
      </c>
      <c r="AO382" s="507">
        <f>Port[[#This Row],[EAD_Interest (THB)]]*Port[[#This Row],[LGD_avg]]</f>
        <v>121476.92549759999</v>
      </c>
      <c r="AP382" s="507">
        <f>Port[[#This Row],[EAD_Drawn (THB)]]+Port[[#This Row],[EAD_Interest (THB)]]</f>
        <v>6171094.361664</v>
      </c>
      <c r="AQ38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90541.8</v>
      </c>
      <c r="AR382" s="522">
        <f>MAX(Port[[#This Row],[ECL (THB)]]+Port[[#This Row],[ECL_Interest (THB)]], Port[[#This Row],[ECL CBIRC (THB)]])</f>
        <v>90541.8</v>
      </c>
    </row>
    <row r="383" spans="1:44">
      <c r="A383" s="2" t="s">
        <v>1068</v>
      </c>
      <c r="B383" s="2" t="s">
        <v>349</v>
      </c>
      <c r="C383" s="2" t="s">
        <v>328</v>
      </c>
      <c r="D383" s="2" t="s">
        <v>18</v>
      </c>
      <c r="E383" s="2" t="s">
        <v>19</v>
      </c>
      <c r="F383" s="2" t="s">
        <v>20</v>
      </c>
      <c r="G383" s="2" t="s">
        <v>21</v>
      </c>
      <c r="H383">
        <v>1</v>
      </c>
      <c r="I383" s="2" t="s">
        <v>526</v>
      </c>
      <c r="J383" s="505">
        <v>2.0514833509807026E-2</v>
      </c>
      <c r="K383" s="505">
        <v>0.9</v>
      </c>
      <c r="L383" s="3">
        <v>1</v>
      </c>
      <c r="M383" s="3">
        <v>5.2488000000000001</v>
      </c>
      <c r="N383" s="507">
        <v>3140096.4</v>
      </c>
      <c r="O383" s="507">
        <v>0</v>
      </c>
      <c r="P383" s="507">
        <v>3140096.4</v>
      </c>
      <c r="Q383" s="507">
        <v>61545.89</v>
      </c>
      <c r="R383" s="507">
        <v>57976.699365669971</v>
      </c>
      <c r="S383" s="507">
        <v>0</v>
      </c>
      <c r="T383" s="507">
        <v>57976.699365669971</v>
      </c>
      <c r="U383" s="507">
        <v>1136.3433179066074</v>
      </c>
      <c r="V383" s="507">
        <f>Port[[#This Row],[EAD_Drawn (CNY)]]*Port[[#This Row],[CNY -&gt; FCY]]</f>
        <v>3140096.4</v>
      </c>
      <c r="W383" s="507">
        <f>Port[[#This Row],[EAD_Undrawn (CNY)]]*Port[[#This Row],[CNY -&gt; FCY]]</f>
        <v>0</v>
      </c>
      <c r="X383" s="507">
        <f>Port[[#This Row],[EAD (CNY)]]*Port[[#This Row],[CNY -&gt; FCY]]</f>
        <v>3140096.4</v>
      </c>
      <c r="Y383" s="507">
        <f>Port[[#This Row],[EAD_Interest (CNY)]]*Port[[#This Row],[CNY -&gt; FCY]]</f>
        <v>61545.89</v>
      </c>
      <c r="Z383" s="507">
        <f>Port[[#This Row],[ECL_Drawn (CNY)]]*Port[[#This Row],[CNY -&gt; FCY]]</f>
        <v>57976.699365669971</v>
      </c>
      <c r="AA383" s="507">
        <f>Port[[#This Row],[ECL_Undrawn (CNY)]]*Port[[#This Row],[CNY -&gt; FCY]]</f>
        <v>0</v>
      </c>
      <c r="AB383" s="507">
        <f>Port[[#This Row],[ECL (CNY)]]*Port[[#This Row],[CNY -&gt; FCY]]</f>
        <v>57976.699365669971</v>
      </c>
      <c r="AC383" s="507">
        <f>Port[[#This Row],[ECL_Interest (CNY)]]*Port[[#This Row],[CNY -&gt; FCY]]</f>
        <v>1136.3433179066074</v>
      </c>
      <c r="AD383" s="507">
        <f>Port[[#This Row],[EAD_Drawn (CNY)]]*Port[[#This Row],[CNY -&gt; THB]]</f>
        <v>16481737.98432</v>
      </c>
      <c r="AE383" s="507">
        <f>Port[[#This Row],[EAD_Undrawn (CNY)]]*Port[[#This Row],[CNY -&gt; THB]]</f>
        <v>0</v>
      </c>
      <c r="AF383" s="507">
        <f>Port[[#This Row],[EAD (CNY)]]*Port[[#This Row],[CNY -&gt; THB]]</f>
        <v>16481737.98432</v>
      </c>
      <c r="AG383" s="507">
        <f>Port[[#This Row],[EAD_Interest (CNY)]]*Port[[#This Row],[CNY -&gt; THB]]</f>
        <v>323042.06743200001</v>
      </c>
      <c r="AH383" s="507">
        <f>Port[[#This Row],[ECL_Drawn (CNY)]]*Port[[#This Row],[CNY -&gt; THB]]</f>
        <v>304308.09963052854</v>
      </c>
      <c r="AI383" s="507">
        <f>Port[[#This Row],[ECL_Undrawn (CNY)]]*Port[[#This Row],[CNY -&gt; THB]]</f>
        <v>0</v>
      </c>
      <c r="AJ383" s="507">
        <f>Port[[#This Row],[ECL (CNY)]]*Port[[#This Row],[CNY -&gt; THB]]</f>
        <v>304308.09963052854</v>
      </c>
      <c r="AK383" s="507">
        <f>Port[[#This Row],[ECL_Interest (CNY)]]*Port[[#This Row],[CNY -&gt; THB]]</f>
        <v>5964.4388070282012</v>
      </c>
      <c r="AL383" s="507">
        <f>Port[[#This Row],[EAD (THB)]]*Port[[#This Row],[PD_avg]]</f>
        <v>338120.11070058722</v>
      </c>
      <c r="AM383" s="507">
        <f>Port[[#This Row],[EAD_Interest (THB)]]*Port[[#This Row],[PD_avg]]</f>
        <v>6627.1542300313349</v>
      </c>
      <c r="AN383" s="507">
        <f>Port[[#This Row],[EAD (THB)]]*Port[[#This Row],[LGD_avg]]</f>
        <v>14833564.185888</v>
      </c>
      <c r="AO383" s="507">
        <f>Port[[#This Row],[EAD_Interest (THB)]]*Port[[#This Row],[LGD_avg]]</f>
        <v>290737.86068879999</v>
      </c>
      <c r="AP383" s="507">
        <f>Port[[#This Row],[EAD_Drawn (THB)]]+Port[[#This Row],[EAD_Interest (THB)]]</f>
        <v>16804780.051752001</v>
      </c>
      <c r="AQ38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247226.06976479999</v>
      </c>
      <c r="AR383" s="522">
        <f>MAX(Port[[#This Row],[ECL (THB)]]+Port[[#This Row],[ECL_Interest (THB)]], Port[[#This Row],[ECL CBIRC (THB)]])</f>
        <v>310272.53843755677</v>
      </c>
    </row>
    <row r="384" spans="1:44">
      <c r="A384" s="2" t="s">
        <v>1069</v>
      </c>
      <c r="B384" s="2" t="s">
        <v>1070</v>
      </c>
      <c r="C384" s="2" t="s">
        <v>328</v>
      </c>
      <c r="D384" s="2" t="s">
        <v>18</v>
      </c>
      <c r="E384" s="2" t="s">
        <v>19</v>
      </c>
      <c r="F384" s="2" t="s">
        <v>20</v>
      </c>
      <c r="G384" s="2" t="s">
        <v>21</v>
      </c>
      <c r="H384">
        <v>1</v>
      </c>
      <c r="I384" s="2" t="s">
        <v>526</v>
      </c>
      <c r="J384" s="505">
        <v>2.0514833509807026E-2</v>
      </c>
      <c r="K384" s="505">
        <v>0.90000000000000013</v>
      </c>
      <c r="L384" s="3">
        <v>1</v>
      </c>
      <c r="M384" s="3">
        <v>5.2488000000000001</v>
      </c>
      <c r="N384" s="507">
        <v>4926064</v>
      </c>
      <c r="O384" s="507">
        <v>0</v>
      </c>
      <c r="P384" s="507">
        <v>4926064</v>
      </c>
      <c r="Q384" s="507">
        <v>93923.62</v>
      </c>
      <c r="R384" s="507">
        <v>90951.644536788648</v>
      </c>
      <c r="S384" s="507">
        <v>0</v>
      </c>
      <c r="T384" s="507">
        <v>90951.644536788648</v>
      </c>
      <c r="U384" s="507">
        <v>1734.1446842445432</v>
      </c>
      <c r="V384" s="507">
        <f>Port[[#This Row],[EAD_Drawn (CNY)]]*Port[[#This Row],[CNY -&gt; FCY]]</f>
        <v>4926064</v>
      </c>
      <c r="W384" s="507">
        <f>Port[[#This Row],[EAD_Undrawn (CNY)]]*Port[[#This Row],[CNY -&gt; FCY]]</f>
        <v>0</v>
      </c>
      <c r="X384" s="507">
        <f>Port[[#This Row],[EAD (CNY)]]*Port[[#This Row],[CNY -&gt; FCY]]</f>
        <v>4926064</v>
      </c>
      <c r="Y384" s="507">
        <f>Port[[#This Row],[EAD_Interest (CNY)]]*Port[[#This Row],[CNY -&gt; FCY]]</f>
        <v>93923.62</v>
      </c>
      <c r="Z384" s="507">
        <f>Port[[#This Row],[ECL_Drawn (CNY)]]*Port[[#This Row],[CNY -&gt; FCY]]</f>
        <v>90951.644536788648</v>
      </c>
      <c r="AA384" s="507">
        <f>Port[[#This Row],[ECL_Undrawn (CNY)]]*Port[[#This Row],[CNY -&gt; FCY]]</f>
        <v>0</v>
      </c>
      <c r="AB384" s="507">
        <f>Port[[#This Row],[ECL (CNY)]]*Port[[#This Row],[CNY -&gt; FCY]]</f>
        <v>90951.644536788648</v>
      </c>
      <c r="AC384" s="507">
        <f>Port[[#This Row],[ECL_Interest (CNY)]]*Port[[#This Row],[CNY -&gt; FCY]]</f>
        <v>1734.1446842445432</v>
      </c>
      <c r="AD384" s="507">
        <f>Port[[#This Row],[EAD_Drawn (CNY)]]*Port[[#This Row],[CNY -&gt; THB]]</f>
        <v>25855924.723200001</v>
      </c>
      <c r="AE384" s="507">
        <f>Port[[#This Row],[EAD_Undrawn (CNY)]]*Port[[#This Row],[CNY -&gt; THB]]</f>
        <v>0</v>
      </c>
      <c r="AF384" s="507">
        <f>Port[[#This Row],[EAD (CNY)]]*Port[[#This Row],[CNY -&gt; THB]]</f>
        <v>25855924.723200001</v>
      </c>
      <c r="AG384" s="507">
        <f>Port[[#This Row],[EAD_Interest (CNY)]]*Port[[#This Row],[CNY -&gt; THB]]</f>
        <v>492986.29665599996</v>
      </c>
      <c r="AH384" s="507">
        <f>Port[[#This Row],[ECL_Drawn (CNY)]]*Port[[#This Row],[CNY -&gt; THB]]</f>
        <v>477386.99184469628</v>
      </c>
      <c r="AI384" s="507">
        <f>Port[[#This Row],[ECL_Undrawn (CNY)]]*Port[[#This Row],[CNY -&gt; THB]]</f>
        <v>0</v>
      </c>
      <c r="AJ384" s="507">
        <f>Port[[#This Row],[ECL (CNY)]]*Port[[#This Row],[CNY -&gt; THB]]</f>
        <v>477386.99184469628</v>
      </c>
      <c r="AK384" s="507">
        <f>Port[[#This Row],[ECL_Interest (CNY)]]*Port[[#This Row],[CNY -&gt; THB]]</f>
        <v>9102.1786186627578</v>
      </c>
      <c r="AL384" s="507">
        <f>Port[[#This Row],[EAD (THB)]]*Port[[#This Row],[PD_avg]]</f>
        <v>530429.99093855137</v>
      </c>
      <c r="AM384" s="507">
        <f>Port[[#This Row],[EAD_Interest (THB)]]*Port[[#This Row],[PD_avg]]</f>
        <v>10113.531798514176</v>
      </c>
      <c r="AN384" s="507">
        <f>Port[[#This Row],[EAD (THB)]]*Port[[#This Row],[LGD_avg]]</f>
        <v>23270332.250880003</v>
      </c>
      <c r="AO384" s="507">
        <f>Port[[#This Row],[EAD_Interest (THB)]]*Port[[#This Row],[LGD_avg]]</f>
        <v>443687.66699040006</v>
      </c>
      <c r="AP384" s="507">
        <f>Port[[#This Row],[EAD_Drawn (THB)]]+Port[[#This Row],[EAD_Interest (THB)]]</f>
        <v>26348911.019856002</v>
      </c>
      <c r="AQ38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387838.87084799999</v>
      </c>
      <c r="AR384" s="522">
        <f>MAX(Port[[#This Row],[ECL (THB)]]+Port[[#This Row],[ECL_Interest (THB)]], Port[[#This Row],[ECL CBIRC (THB)]])</f>
        <v>486489.17046335904</v>
      </c>
    </row>
    <row r="385" spans="1:44">
      <c r="A385" s="2" t="s">
        <v>1071</v>
      </c>
      <c r="B385" s="2" t="s">
        <v>1072</v>
      </c>
      <c r="C385" s="2" t="s">
        <v>328</v>
      </c>
      <c r="D385" s="2" t="s">
        <v>18</v>
      </c>
      <c r="E385" s="2" t="s">
        <v>19</v>
      </c>
      <c r="F385" s="2" t="s">
        <v>20</v>
      </c>
      <c r="G385" s="2" t="s">
        <v>21</v>
      </c>
      <c r="H385">
        <v>1</v>
      </c>
      <c r="I385" s="2" t="s">
        <v>526</v>
      </c>
      <c r="J385" s="505">
        <v>2.0514833509807026E-2</v>
      </c>
      <c r="K385" s="505">
        <v>0.9</v>
      </c>
      <c r="L385" s="3">
        <v>1</v>
      </c>
      <c r="M385" s="3">
        <v>5.2488000000000001</v>
      </c>
      <c r="N385" s="507">
        <v>5000000</v>
      </c>
      <c r="O385" s="507">
        <v>0</v>
      </c>
      <c r="P385" s="507">
        <v>5000000</v>
      </c>
      <c r="Q385" s="507">
        <v>95333.33</v>
      </c>
      <c r="R385" s="507">
        <v>92316.750794131629</v>
      </c>
      <c r="S385" s="507">
        <v>0</v>
      </c>
      <c r="T385" s="507">
        <v>92316.750794131629</v>
      </c>
      <c r="U385" s="507">
        <v>1760.1726535969424</v>
      </c>
      <c r="V385" s="507">
        <f>Port[[#This Row],[EAD_Drawn (CNY)]]*Port[[#This Row],[CNY -&gt; FCY]]</f>
        <v>5000000</v>
      </c>
      <c r="W385" s="507">
        <f>Port[[#This Row],[EAD_Undrawn (CNY)]]*Port[[#This Row],[CNY -&gt; FCY]]</f>
        <v>0</v>
      </c>
      <c r="X385" s="507">
        <f>Port[[#This Row],[EAD (CNY)]]*Port[[#This Row],[CNY -&gt; FCY]]</f>
        <v>5000000</v>
      </c>
      <c r="Y385" s="507">
        <f>Port[[#This Row],[EAD_Interest (CNY)]]*Port[[#This Row],[CNY -&gt; FCY]]</f>
        <v>95333.33</v>
      </c>
      <c r="Z385" s="507">
        <f>Port[[#This Row],[ECL_Drawn (CNY)]]*Port[[#This Row],[CNY -&gt; FCY]]</f>
        <v>92316.750794131629</v>
      </c>
      <c r="AA385" s="507">
        <f>Port[[#This Row],[ECL_Undrawn (CNY)]]*Port[[#This Row],[CNY -&gt; FCY]]</f>
        <v>0</v>
      </c>
      <c r="AB385" s="507">
        <f>Port[[#This Row],[ECL (CNY)]]*Port[[#This Row],[CNY -&gt; FCY]]</f>
        <v>92316.750794131629</v>
      </c>
      <c r="AC385" s="507">
        <f>Port[[#This Row],[ECL_Interest (CNY)]]*Port[[#This Row],[CNY -&gt; FCY]]</f>
        <v>1760.1726535969424</v>
      </c>
      <c r="AD385" s="507">
        <f>Port[[#This Row],[EAD_Drawn (CNY)]]*Port[[#This Row],[CNY -&gt; THB]]</f>
        <v>26244000</v>
      </c>
      <c r="AE385" s="507">
        <f>Port[[#This Row],[EAD_Undrawn (CNY)]]*Port[[#This Row],[CNY -&gt; THB]]</f>
        <v>0</v>
      </c>
      <c r="AF385" s="507">
        <f>Port[[#This Row],[EAD (CNY)]]*Port[[#This Row],[CNY -&gt; THB]]</f>
        <v>26244000</v>
      </c>
      <c r="AG385" s="507">
        <f>Port[[#This Row],[EAD_Interest (CNY)]]*Port[[#This Row],[CNY -&gt; THB]]</f>
        <v>500385.58250400005</v>
      </c>
      <c r="AH385" s="507">
        <f>Port[[#This Row],[ECL_Drawn (CNY)]]*Port[[#This Row],[CNY -&gt; THB]]</f>
        <v>484552.16156823811</v>
      </c>
      <c r="AI385" s="507">
        <f>Port[[#This Row],[ECL_Undrawn (CNY)]]*Port[[#This Row],[CNY -&gt; THB]]</f>
        <v>0</v>
      </c>
      <c r="AJ385" s="507">
        <f>Port[[#This Row],[ECL (CNY)]]*Port[[#This Row],[CNY -&gt; THB]]</f>
        <v>484552.16156823811</v>
      </c>
      <c r="AK385" s="507">
        <f>Port[[#This Row],[ECL_Interest (CNY)]]*Port[[#This Row],[CNY -&gt; THB]]</f>
        <v>9238.7942241996316</v>
      </c>
      <c r="AL385" s="507">
        <f>Port[[#This Row],[EAD (THB)]]*Port[[#This Row],[PD_avg]]</f>
        <v>538391.29063137562</v>
      </c>
      <c r="AM385" s="507">
        <f>Port[[#This Row],[EAD_Interest (THB)]]*Port[[#This Row],[PD_avg]]</f>
        <v>10265.326915777368</v>
      </c>
      <c r="AN385" s="507">
        <f>Port[[#This Row],[EAD (THB)]]*Port[[#This Row],[LGD_avg]]</f>
        <v>23619600</v>
      </c>
      <c r="AO385" s="507">
        <f>Port[[#This Row],[EAD_Interest (THB)]]*Port[[#This Row],[LGD_avg]]</f>
        <v>450347.02425360004</v>
      </c>
      <c r="AP385" s="507">
        <f>Port[[#This Row],[EAD_Drawn (THB)]]+Port[[#This Row],[EAD_Interest (THB)]]</f>
        <v>26744385.582504001</v>
      </c>
      <c r="AQ38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385" s="522">
        <f>MAX(Port[[#This Row],[ECL (THB)]]+Port[[#This Row],[ECL_Interest (THB)]], Port[[#This Row],[ECL CBIRC (THB)]])</f>
        <v>493790.95579243771</v>
      </c>
    </row>
    <row r="386" spans="1:44">
      <c r="A386" s="2" t="s">
        <v>1073</v>
      </c>
      <c r="B386" s="2" t="s">
        <v>1070</v>
      </c>
      <c r="C386" s="2" t="s">
        <v>328</v>
      </c>
      <c r="D386" s="2" t="s">
        <v>18</v>
      </c>
      <c r="E386" s="2" t="s">
        <v>19</v>
      </c>
      <c r="F386" s="2" t="s">
        <v>20</v>
      </c>
      <c r="G386" s="2" t="s">
        <v>21</v>
      </c>
      <c r="H386">
        <v>1</v>
      </c>
      <c r="I386" s="2" t="s">
        <v>526</v>
      </c>
      <c r="J386" s="505">
        <v>2.0514833509807026E-2</v>
      </c>
      <c r="K386" s="505">
        <v>0.9</v>
      </c>
      <c r="L386" s="3">
        <v>1</v>
      </c>
      <c r="M386" s="3">
        <v>5.2488000000000001</v>
      </c>
      <c r="N386" s="507">
        <v>5000000</v>
      </c>
      <c r="O386" s="507">
        <v>0</v>
      </c>
      <c r="P386" s="507">
        <v>5000000</v>
      </c>
      <c r="Q386" s="507">
        <v>95333.33</v>
      </c>
      <c r="R386" s="507">
        <v>92316.750794131629</v>
      </c>
      <c r="S386" s="507">
        <v>0</v>
      </c>
      <c r="T386" s="507">
        <v>92316.750794131629</v>
      </c>
      <c r="U386" s="507">
        <v>1760.1726535969424</v>
      </c>
      <c r="V386" s="507">
        <f>Port[[#This Row],[EAD_Drawn (CNY)]]*Port[[#This Row],[CNY -&gt; FCY]]</f>
        <v>5000000</v>
      </c>
      <c r="W386" s="507">
        <f>Port[[#This Row],[EAD_Undrawn (CNY)]]*Port[[#This Row],[CNY -&gt; FCY]]</f>
        <v>0</v>
      </c>
      <c r="X386" s="507">
        <f>Port[[#This Row],[EAD (CNY)]]*Port[[#This Row],[CNY -&gt; FCY]]</f>
        <v>5000000</v>
      </c>
      <c r="Y386" s="507">
        <f>Port[[#This Row],[EAD_Interest (CNY)]]*Port[[#This Row],[CNY -&gt; FCY]]</f>
        <v>95333.33</v>
      </c>
      <c r="Z386" s="507">
        <f>Port[[#This Row],[ECL_Drawn (CNY)]]*Port[[#This Row],[CNY -&gt; FCY]]</f>
        <v>92316.750794131629</v>
      </c>
      <c r="AA386" s="507">
        <f>Port[[#This Row],[ECL_Undrawn (CNY)]]*Port[[#This Row],[CNY -&gt; FCY]]</f>
        <v>0</v>
      </c>
      <c r="AB386" s="507">
        <f>Port[[#This Row],[ECL (CNY)]]*Port[[#This Row],[CNY -&gt; FCY]]</f>
        <v>92316.750794131629</v>
      </c>
      <c r="AC386" s="507">
        <f>Port[[#This Row],[ECL_Interest (CNY)]]*Port[[#This Row],[CNY -&gt; FCY]]</f>
        <v>1760.1726535969424</v>
      </c>
      <c r="AD386" s="507">
        <f>Port[[#This Row],[EAD_Drawn (CNY)]]*Port[[#This Row],[CNY -&gt; THB]]</f>
        <v>26244000</v>
      </c>
      <c r="AE386" s="507">
        <f>Port[[#This Row],[EAD_Undrawn (CNY)]]*Port[[#This Row],[CNY -&gt; THB]]</f>
        <v>0</v>
      </c>
      <c r="AF386" s="507">
        <f>Port[[#This Row],[EAD (CNY)]]*Port[[#This Row],[CNY -&gt; THB]]</f>
        <v>26244000</v>
      </c>
      <c r="AG386" s="507">
        <f>Port[[#This Row],[EAD_Interest (CNY)]]*Port[[#This Row],[CNY -&gt; THB]]</f>
        <v>500385.58250400005</v>
      </c>
      <c r="AH386" s="507">
        <f>Port[[#This Row],[ECL_Drawn (CNY)]]*Port[[#This Row],[CNY -&gt; THB]]</f>
        <v>484552.16156823811</v>
      </c>
      <c r="AI386" s="507">
        <f>Port[[#This Row],[ECL_Undrawn (CNY)]]*Port[[#This Row],[CNY -&gt; THB]]</f>
        <v>0</v>
      </c>
      <c r="AJ386" s="507">
        <f>Port[[#This Row],[ECL (CNY)]]*Port[[#This Row],[CNY -&gt; THB]]</f>
        <v>484552.16156823811</v>
      </c>
      <c r="AK386" s="507">
        <f>Port[[#This Row],[ECL_Interest (CNY)]]*Port[[#This Row],[CNY -&gt; THB]]</f>
        <v>9238.7942241996316</v>
      </c>
      <c r="AL386" s="507">
        <f>Port[[#This Row],[EAD (THB)]]*Port[[#This Row],[PD_avg]]</f>
        <v>538391.29063137562</v>
      </c>
      <c r="AM386" s="507">
        <f>Port[[#This Row],[EAD_Interest (THB)]]*Port[[#This Row],[PD_avg]]</f>
        <v>10265.326915777368</v>
      </c>
      <c r="AN386" s="507">
        <f>Port[[#This Row],[EAD (THB)]]*Port[[#This Row],[LGD_avg]]</f>
        <v>23619600</v>
      </c>
      <c r="AO386" s="507">
        <f>Port[[#This Row],[EAD_Interest (THB)]]*Port[[#This Row],[LGD_avg]]</f>
        <v>450347.02425360004</v>
      </c>
      <c r="AP386" s="507">
        <f>Port[[#This Row],[EAD_Drawn (THB)]]+Port[[#This Row],[EAD_Interest (THB)]]</f>
        <v>26744385.582504001</v>
      </c>
      <c r="AQ38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386" s="522">
        <f>MAX(Port[[#This Row],[ECL (THB)]]+Port[[#This Row],[ECL_Interest (THB)]], Port[[#This Row],[ECL CBIRC (THB)]])</f>
        <v>493790.95579243771</v>
      </c>
    </row>
    <row r="387" spans="1:44">
      <c r="A387" s="2" t="s">
        <v>1074</v>
      </c>
      <c r="B387" s="2" t="s">
        <v>1072</v>
      </c>
      <c r="C387" s="2" t="s">
        <v>328</v>
      </c>
      <c r="D387" s="2" t="s">
        <v>18</v>
      </c>
      <c r="E387" s="2" t="s">
        <v>19</v>
      </c>
      <c r="F387" s="2" t="s">
        <v>20</v>
      </c>
      <c r="G387" s="2" t="s">
        <v>21</v>
      </c>
      <c r="H387">
        <v>1</v>
      </c>
      <c r="I387" s="2" t="s">
        <v>526</v>
      </c>
      <c r="J387" s="505">
        <v>2.0514833509807026E-2</v>
      </c>
      <c r="K387" s="505">
        <v>0.90000000000000013</v>
      </c>
      <c r="L387" s="3">
        <v>1</v>
      </c>
      <c r="M387" s="3">
        <v>5.2488000000000001</v>
      </c>
      <c r="N387" s="507">
        <v>2002336</v>
      </c>
      <c r="O387" s="507">
        <v>0</v>
      </c>
      <c r="P387" s="507">
        <v>2002336</v>
      </c>
      <c r="Q387" s="507">
        <v>38177.870000000003</v>
      </c>
      <c r="R387" s="507">
        <v>36969.830703623673</v>
      </c>
      <c r="S387" s="507">
        <v>0</v>
      </c>
      <c r="T387" s="507">
        <v>36969.830703623673</v>
      </c>
      <c r="U387" s="507">
        <v>704.89138212815078</v>
      </c>
      <c r="V387" s="507">
        <f>Port[[#This Row],[EAD_Drawn (CNY)]]*Port[[#This Row],[CNY -&gt; FCY]]</f>
        <v>2002336</v>
      </c>
      <c r="W387" s="507">
        <f>Port[[#This Row],[EAD_Undrawn (CNY)]]*Port[[#This Row],[CNY -&gt; FCY]]</f>
        <v>0</v>
      </c>
      <c r="X387" s="507">
        <f>Port[[#This Row],[EAD (CNY)]]*Port[[#This Row],[CNY -&gt; FCY]]</f>
        <v>2002336</v>
      </c>
      <c r="Y387" s="507">
        <f>Port[[#This Row],[EAD_Interest (CNY)]]*Port[[#This Row],[CNY -&gt; FCY]]</f>
        <v>38177.870000000003</v>
      </c>
      <c r="Z387" s="507">
        <f>Port[[#This Row],[ECL_Drawn (CNY)]]*Port[[#This Row],[CNY -&gt; FCY]]</f>
        <v>36969.830703623673</v>
      </c>
      <c r="AA387" s="507">
        <f>Port[[#This Row],[ECL_Undrawn (CNY)]]*Port[[#This Row],[CNY -&gt; FCY]]</f>
        <v>0</v>
      </c>
      <c r="AB387" s="507">
        <f>Port[[#This Row],[ECL (CNY)]]*Port[[#This Row],[CNY -&gt; FCY]]</f>
        <v>36969.830703623673</v>
      </c>
      <c r="AC387" s="507">
        <f>Port[[#This Row],[ECL_Interest (CNY)]]*Port[[#This Row],[CNY -&gt; FCY]]</f>
        <v>704.89138212815078</v>
      </c>
      <c r="AD387" s="507">
        <f>Port[[#This Row],[EAD_Drawn (CNY)]]*Port[[#This Row],[CNY -&gt; THB]]</f>
        <v>10509861.196800001</v>
      </c>
      <c r="AE387" s="507">
        <f>Port[[#This Row],[EAD_Undrawn (CNY)]]*Port[[#This Row],[CNY -&gt; THB]]</f>
        <v>0</v>
      </c>
      <c r="AF387" s="507">
        <f>Port[[#This Row],[EAD (CNY)]]*Port[[#This Row],[CNY -&gt; THB]]</f>
        <v>10509861.196800001</v>
      </c>
      <c r="AG387" s="507">
        <f>Port[[#This Row],[EAD_Interest (CNY)]]*Port[[#This Row],[CNY -&gt; THB]]</f>
        <v>200388.00405600001</v>
      </c>
      <c r="AH387" s="507">
        <f>Port[[#This Row],[ECL_Drawn (CNY)]]*Port[[#This Row],[CNY -&gt; THB]]</f>
        <v>194047.24739717995</v>
      </c>
      <c r="AI387" s="507">
        <f>Port[[#This Row],[ECL_Undrawn (CNY)]]*Port[[#This Row],[CNY -&gt; THB]]</f>
        <v>0</v>
      </c>
      <c r="AJ387" s="507">
        <f>Port[[#This Row],[ECL (CNY)]]*Port[[#This Row],[CNY -&gt; THB]]</f>
        <v>194047.24739717995</v>
      </c>
      <c r="AK387" s="507">
        <f>Port[[#This Row],[ECL_Interest (CNY)]]*Port[[#This Row],[CNY -&gt; THB]]</f>
        <v>3699.8338865142377</v>
      </c>
      <c r="AL387" s="507">
        <f>Port[[#This Row],[EAD (THB)]]*Port[[#This Row],[PD_avg]]</f>
        <v>215608.05266353325</v>
      </c>
      <c r="AM387" s="507">
        <f>Port[[#This Row],[EAD_Interest (THB)]]*Port[[#This Row],[PD_avg]]</f>
        <v>4110.926540571375</v>
      </c>
      <c r="AN387" s="507">
        <f>Port[[#This Row],[EAD (THB)]]*Port[[#This Row],[LGD_avg]]</f>
        <v>9458875.0771200024</v>
      </c>
      <c r="AO387" s="507">
        <f>Port[[#This Row],[EAD_Interest (THB)]]*Port[[#This Row],[LGD_avg]]</f>
        <v>180349.20365040004</v>
      </c>
      <c r="AP387" s="507">
        <f>Port[[#This Row],[EAD_Drawn (THB)]]+Port[[#This Row],[EAD_Interest (THB)]]</f>
        <v>10710249.200856</v>
      </c>
      <c r="AQ38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157647.91795200002</v>
      </c>
      <c r="AR387" s="522">
        <f>MAX(Port[[#This Row],[ECL (THB)]]+Port[[#This Row],[ECL_Interest (THB)]], Port[[#This Row],[ECL CBIRC (THB)]])</f>
        <v>197747.08128369419</v>
      </c>
    </row>
    <row r="388" spans="1:44">
      <c r="A388" s="2" t="s">
        <v>1075</v>
      </c>
      <c r="B388" s="2" t="s">
        <v>1076</v>
      </c>
      <c r="C388" s="2" t="s">
        <v>328</v>
      </c>
      <c r="D388" s="2" t="s">
        <v>18</v>
      </c>
      <c r="E388" s="2" t="s">
        <v>19</v>
      </c>
      <c r="F388" s="2" t="s">
        <v>20</v>
      </c>
      <c r="G388" s="2" t="s">
        <v>21</v>
      </c>
      <c r="H388">
        <v>1</v>
      </c>
      <c r="I388" s="2" t="s">
        <v>526</v>
      </c>
      <c r="J388" s="505">
        <v>2.0514833509807026E-2</v>
      </c>
      <c r="K388" s="505">
        <v>0.9</v>
      </c>
      <c r="L388" s="3">
        <v>1</v>
      </c>
      <c r="M388" s="3">
        <v>5.2488000000000001</v>
      </c>
      <c r="N388" s="507">
        <v>5000000</v>
      </c>
      <c r="O388" s="507">
        <v>0</v>
      </c>
      <c r="P388" s="507">
        <v>5000000</v>
      </c>
      <c r="Q388" s="507">
        <v>94000</v>
      </c>
      <c r="R388" s="507">
        <v>92316.750794131629</v>
      </c>
      <c r="S388" s="507">
        <v>0</v>
      </c>
      <c r="T388" s="507">
        <v>92316.750794131629</v>
      </c>
      <c r="U388" s="507">
        <v>1735.5549149296746</v>
      </c>
      <c r="V388" s="507">
        <f>Port[[#This Row],[EAD_Drawn (CNY)]]*Port[[#This Row],[CNY -&gt; FCY]]</f>
        <v>5000000</v>
      </c>
      <c r="W388" s="507">
        <f>Port[[#This Row],[EAD_Undrawn (CNY)]]*Port[[#This Row],[CNY -&gt; FCY]]</f>
        <v>0</v>
      </c>
      <c r="X388" s="507">
        <f>Port[[#This Row],[EAD (CNY)]]*Port[[#This Row],[CNY -&gt; FCY]]</f>
        <v>5000000</v>
      </c>
      <c r="Y388" s="507">
        <f>Port[[#This Row],[EAD_Interest (CNY)]]*Port[[#This Row],[CNY -&gt; FCY]]</f>
        <v>94000</v>
      </c>
      <c r="Z388" s="507">
        <f>Port[[#This Row],[ECL_Drawn (CNY)]]*Port[[#This Row],[CNY -&gt; FCY]]</f>
        <v>92316.750794131629</v>
      </c>
      <c r="AA388" s="507">
        <f>Port[[#This Row],[ECL_Undrawn (CNY)]]*Port[[#This Row],[CNY -&gt; FCY]]</f>
        <v>0</v>
      </c>
      <c r="AB388" s="507">
        <f>Port[[#This Row],[ECL (CNY)]]*Port[[#This Row],[CNY -&gt; FCY]]</f>
        <v>92316.750794131629</v>
      </c>
      <c r="AC388" s="507">
        <f>Port[[#This Row],[ECL_Interest (CNY)]]*Port[[#This Row],[CNY -&gt; FCY]]</f>
        <v>1735.5549149296746</v>
      </c>
      <c r="AD388" s="507">
        <f>Port[[#This Row],[EAD_Drawn (CNY)]]*Port[[#This Row],[CNY -&gt; THB]]</f>
        <v>26244000</v>
      </c>
      <c r="AE388" s="507">
        <f>Port[[#This Row],[EAD_Undrawn (CNY)]]*Port[[#This Row],[CNY -&gt; THB]]</f>
        <v>0</v>
      </c>
      <c r="AF388" s="507">
        <f>Port[[#This Row],[EAD (CNY)]]*Port[[#This Row],[CNY -&gt; THB]]</f>
        <v>26244000</v>
      </c>
      <c r="AG388" s="507">
        <f>Port[[#This Row],[EAD_Interest (CNY)]]*Port[[#This Row],[CNY -&gt; THB]]</f>
        <v>493387.2</v>
      </c>
      <c r="AH388" s="507">
        <f>Port[[#This Row],[ECL_Drawn (CNY)]]*Port[[#This Row],[CNY -&gt; THB]]</f>
        <v>484552.16156823811</v>
      </c>
      <c r="AI388" s="507">
        <f>Port[[#This Row],[ECL_Undrawn (CNY)]]*Port[[#This Row],[CNY -&gt; THB]]</f>
        <v>0</v>
      </c>
      <c r="AJ388" s="507">
        <f>Port[[#This Row],[ECL (CNY)]]*Port[[#This Row],[CNY -&gt; THB]]</f>
        <v>484552.16156823811</v>
      </c>
      <c r="AK388" s="507">
        <f>Port[[#This Row],[ECL_Interest (CNY)]]*Port[[#This Row],[CNY -&gt; THB]]</f>
        <v>9109.5806374828771</v>
      </c>
      <c r="AL388" s="507">
        <f>Port[[#This Row],[EAD (THB)]]*Port[[#This Row],[PD_avg]]</f>
        <v>538391.29063137562</v>
      </c>
      <c r="AM388" s="507">
        <f>Port[[#This Row],[EAD_Interest (THB)]]*Port[[#This Row],[PD_avg]]</f>
        <v>10121.756263869862</v>
      </c>
      <c r="AN388" s="507">
        <f>Port[[#This Row],[EAD (THB)]]*Port[[#This Row],[LGD_avg]]</f>
        <v>23619600</v>
      </c>
      <c r="AO388" s="507">
        <f>Port[[#This Row],[EAD_Interest (THB)]]*Port[[#This Row],[LGD_avg]]</f>
        <v>444048.48000000004</v>
      </c>
      <c r="AP388" s="507">
        <f>Port[[#This Row],[EAD_Drawn (THB)]]+Port[[#This Row],[EAD_Interest (THB)]]</f>
        <v>26737387.199999999</v>
      </c>
      <c r="AQ38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388" s="522">
        <f>MAX(Port[[#This Row],[ECL (THB)]]+Port[[#This Row],[ECL_Interest (THB)]], Port[[#This Row],[ECL CBIRC (THB)]])</f>
        <v>493661.74220572098</v>
      </c>
    </row>
    <row r="389" spans="1:44">
      <c r="A389" s="2" t="s">
        <v>1077</v>
      </c>
      <c r="B389" s="2" t="s">
        <v>1076</v>
      </c>
      <c r="C389" s="2" t="s">
        <v>328</v>
      </c>
      <c r="D389" s="2" t="s">
        <v>18</v>
      </c>
      <c r="E389" s="2" t="s">
        <v>19</v>
      </c>
      <c r="F389" s="2" t="s">
        <v>20</v>
      </c>
      <c r="G389" s="2" t="s">
        <v>21</v>
      </c>
      <c r="H389">
        <v>1</v>
      </c>
      <c r="I389" s="2" t="s">
        <v>526</v>
      </c>
      <c r="J389" s="505">
        <v>2.0514833509807026E-2</v>
      </c>
      <c r="K389" s="505">
        <v>0.89999999999999991</v>
      </c>
      <c r="L389" s="3">
        <v>1</v>
      </c>
      <c r="M389" s="3">
        <v>5.2488000000000001</v>
      </c>
      <c r="N389" s="507">
        <v>4997920</v>
      </c>
      <c r="O389" s="507">
        <v>0</v>
      </c>
      <c r="P389" s="507">
        <v>4997920</v>
      </c>
      <c r="Q389" s="507">
        <v>93960.9</v>
      </c>
      <c r="R389" s="507">
        <v>92278.347025801268</v>
      </c>
      <c r="S389" s="507">
        <v>0</v>
      </c>
      <c r="T389" s="507">
        <v>92278.347025801268</v>
      </c>
      <c r="U389" s="507">
        <v>1734.8329979384644</v>
      </c>
      <c r="V389" s="507">
        <f>Port[[#This Row],[EAD_Drawn (CNY)]]*Port[[#This Row],[CNY -&gt; FCY]]</f>
        <v>4997920</v>
      </c>
      <c r="W389" s="507">
        <f>Port[[#This Row],[EAD_Undrawn (CNY)]]*Port[[#This Row],[CNY -&gt; FCY]]</f>
        <v>0</v>
      </c>
      <c r="X389" s="507">
        <f>Port[[#This Row],[EAD (CNY)]]*Port[[#This Row],[CNY -&gt; FCY]]</f>
        <v>4997920</v>
      </c>
      <c r="Y389" s="507">
        <f>Port[[#This Row],[EAD_Interest (CNY)]]*Port[[#This Row],[CNY -&gt; FCY]]</f>
        <v>93960.9</v>
      </c>
      <c r="Z389" s="507">
        <f>Port[[#This Row],[ECL_Drawn (CNY)]]*Port[[#This Row],[CNY -&gt; FCY]]</f>
        <v>92278.347025801268</v>
      </c>
      <c r="AA389" s="507">
        <f>Port[[#This Row],[ECL_Undrawn (CNY)]]*Port[[#This Row],[CNY -&gt; FCY]]</f>
        <v>0</v>
      </c>
      <c r="AB389" s="507">
        <f>Port[[#This Row],[ECL (CNY)]]*Port[[#This Row],[CNY -&gt; FCY]]</f>
        <v>92278.347025801268</v>
      </c>
      <c r="AC389" s="507">
        <f>Port[[#This Row],[ECL_Interest (CNY)]]*Port[[#This Row],[CNY -&gt; FCY]]</f>
        <v>1734.8329979384644</v>
      </c>
      <c r="AD389" s="507">
        <f>Port[[#This Row],[EAD_Drawn (CNY)]]*Port[[#This Row],[CNY -&gt; THB]]</f>
        <v>26233082.495999999</v>
      </c>
      <c r="AE389" s="507">
        <f>Port[[#This Row],[EAD_Undrawn (CNY)]]*Port[[#This Row],[CNY -&gt; THB]]</f>
        <v>0</v>
      </c>
      <c r="AF389" s="507">
        <f>Port[[#This Row],[EAD (CNY)]]*Port[[#This Row],[CNY -&gt; THB]]</f>
        <v>26233082.495999999</v>
      </c>
      <c r="AG389" s="507">
        <f>Port[[#This Row],[EAD_Interest (CNY)]]*Port[[#This Row],[CNY -&gt; THB]]</f>
        <v>493181.97191999998</v>
      </c>
      <c r="AH389" s="507">
        <f>Port[[#This Row],[ECL_Drawn (CNY)]]*Port[[#This Row],[CNY -&gt; THB]]</f>
        <v>484350.58786902571</v>
      </c>
      <c r="AI389" s="507">
        <f>Port[[#This Row],[ECL_Undrawn (CNY)]]*Port[[#This Row],[CNY -&gt; THB]]</f>
        <v>0</v>
      </c>
      <c r="AJ389" s="507">
        <f>Port[[#This Row],[ECL (CNY)]]*Port[[#This Row],[CNY -&gt; THB]]</f>
        <v>484350.58786902571</v>
      </c>
      <c r="AK389" s="507">
        <f>Port[[#This Row],[ECL_Interest (CNY)]]*Port[[#This Row],[CNY -&gt; THB]]</f>
        <v>9105.7914395794123</v>
      </c>
      <c r="AL389" s="507">
        <f>Port[[#This Row],[EAD (THB)]]*Port[[#This Row],[PD_avg]]</f>
        <v>538167.31985447288</v>
      </c>
      <c r="AM389" s="507">
        <f>Port[[#This Row],[EAD_Interest (THB)]]*Port[[#This Row],[PD_avg]]</f>
        <v>10117.546043977123</v>
      </c>
      <c r="AN389" s="507">
        <f>Port[[#This Row],[EAD (THB)]]*Port[[#This Row],[LGD_avg]]</f>
        <v>23609774.246399999</v>
      </c>
      <c r="AO389" s="507">
        <f>Port[[#This Row],[EAD_Interest (THB)]]*Port[[#This Row],[LGD_avg]]</f>
        <v>443863.77472799993</v>
      </c>
      <c r="AP389" s="507">
        <f>Port[[#This Row],[EAD_Drawn (THB)]]+Port[[#This Row],[EAD_Interest (THB)]]</f>
        <v>26726264.467919998</v>
      </c>
      <c r="AQ38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393496.23744</v>
      </c>
      <c r="AR389" s="522">
        <f>MAX(Port[[#This Row],[ECL (THB)]]+Port[[#This Row],[ECL_Interest (THB)]], Port[[#This Row],[ECL CBIRC (THB)]])</f>
        <v>493456.3793086051</v>
      </c>
    </row>
    <row r="390" spans="1:44">
      <c r="A390" s="2" t="s">
        <v>1078</v>
      </c>
      <c r="B390" s="2" t="s">
        <v>365</v>
      </c>
      <c r="C390" s="2" t="s">
        <v>328</v>
      </c>
      <c r="D390" s="2" t="s">
        <v>18</v>
      </c>
      <c r="E390" s="2" t="s">
        <v>19</v>
      </c>
      <c r="F390" s="2" t="s">
        <v>20</v>
      </c>
      <c r="G390" s="2" t="s">
        <v>21</v>
      </c>
      <c r="H390">
        <v>1</v>
      </c>
      <c r="I390" s="2" t="s">
        <v>526</v>
      </c>
      <c r="J390" s="505">
        <v>2.0514833509807026E-2</v>
      </c>
      <c r="K390" s="505">
        <v>0.90000000000000013</v>
      </c>
      <c r="L390" s="3">
        <v>1</v>
      </c>
      <c r="M390" s="3">
        <v>5.2488000000000001</v>
      </c>
      <c r="N390" s="507">
        <v>156886.45000000001</v>
      </c>
      <c r="O390" s="507">
        <v>0</v>
      </c>
      <c r="P390" s="507">
        <v>156886.45000000001</v>
      </c>
      <c r="Q390" s="507">
        <v>2541.12</v>
      </c>
      <c r="R390" s="507">
        <v>2896.6494615251986</v>
      </c>
      <c r="S390" s="507">
        <v>0</v>
      </c>
      <c r="T390" s="507">
        <v>2896.6494615251986</v>
      </c>
      <c r="U390" s="507">
        <v>46.917588355596749</v>
      </c>
      <c r="V390" s="507">
        <f>Port[[#This Row],[EAD_Drawn (CNY)]]*Port[[#This Row],[CNY -&gt; FCY]]</f>
        <v>156886.45000000001</v>
      </c>
      <c r="W390" s="507">
        <f>Port[[#This Row],[EAD_Undrawn (CNY)]]*Port[[#This Row],[CNY -&gt; FCY]]</f>
        <v>0</v>
      </c>
      <c r="X390" s="507">
        <f>Port[[#This Row],[EAD (CNY)]]*Port[[#This Row],[CNY -&gt; FCY]]</f>
        <v>156886.45000000001</v>
      </c>
      <c r="Y390" s="507">
        <f>Port[[#This Row],[EAD_Interest (CNY)]]*Port[[#This Row],[CNY -&gt; FCY]]</f>
        <v>2541.12</v>
      </c>
      <c r="Z390" s="507">
        <f>Port[[#This Row],[ECL_Drawn (CNY)]]*Port[[#This Row],[CNY -&gt; FCY]]</f>
        <v>2896.6494615251986</v>
      </c>
      <c r="AA390" s="507">
        <f>Port[[#This Row],[ECL_Undrawn (CNY)]]*Port[[#This Row],[CNY -&gt; FCY]]</f>
        <v>0</v>
      </c>
      <c r="AB390" s="507">
        <f>Port[[#This Row],[ECL (CNY)]]*Port[[#This Row],[CNY -&gt; FCY]]</f>
        <v>2896.6494615251986</v>
      </c>
      <c r="AC390" s="507">
        <f>Port[[#This Row],[ECL_Interest (CNY)]]*Port[[#This Row],[CNY -&gt; FCY]]</f>
        <v>46.917588355596749</v>
      </c>
      <c r="AD390" s="507">
        <f>Port[[#This Row],[EAD_Drawn (CNY)]]*Port[[#This Row],[CNY -&gt; THB]]</f>
        <v>823465.59876000008</v>
      </c>
      <c r="AE390" s="507">
        <f>Port[[#This Row],[EAD_Undrawn (CNY)]]*Port[[#This Row],[CNY -&gt; THB]]</f>
        <v>0</v>
      </c>
      <c r="AF390" s="507">
        <f>Port[[#This Row],[EAD (CNY)]]*Port[[#This Row],[CNY -&gt; THB]]</f>
        <v>823465.59876000008</v>
      </c>
      <c r="AG390" s="507">
        <f>Port[[#This Row],[EAD_Interest (CNY)]]*Port[[#This Row],[CNY -&gt; THB]]</f>
        <v>13337.830656</v>
      </c>
      <c r="AH390" s="507">
        <f>Port[[#This Row],[ECL_Drawn (CNY)]]*Port[[#This Row],[CNY -&gt; THB]]</f>
        <v>15203.933693653464</v>
      </c>
      <c r="AI390" s="507">
        <f>Port[[#This Row],[ECL_Undrawn (CNY)]]*Port[[#This Row],[CNY -&gt; THB]]</f>
        <v>0</v>
      </c>
      <c r="AJ390" s="507">
        <f>Port[[#This Row],[ECL (CNY)]]*Port[[#This Row],[CNY -&gt; THB]]</f>
        <v>15203.933693653464</v>
      </c>
      <c r="AK390" s="507">
        <f>Port[[#This Row],[ECL_Interest (CNY)]]*Port[[#This Row],[CNY -&gt; THB]]</f>
        <v>246.26103776085623</v>
      </c>
      <c r="AL390" s="507">
        <f>Port[[#This Row],[EAD (THB)]]*Port[[#This Row],[PD_avg]]</f>
        <v>16893.259659614956</v>
      </c>
      <c r="AM390" s="507">
        <f>Port[[#This Row],[EAD_Interest (THB)]]*Port[[#This Row],[PD_avg]]</f>
        <v>273.62337528984023</v>
      </c>
      <c r="AN390" s="507">
        <f>Port[[#This Row],[EAD (THB)]]*Port[[#This Row],[LGD_avg]]</f>
        <v>741119.03888400015</v>
      </c>
      <c r="AO390" s="507">
        <f>Port[[#This Row],[EAD_Interest (THB)]]*Port[[#This Row],[LGD_avg]]</f>
        <v>12004.047590400001</v>
      </c>
      <c r="AP390" s="507">
        <f>Port[[#This Row],[EAD_Drawn (THB)]]+Port[[#This Row],[EAD_Interest (THB)]]</f>
        <v>836803.42941600003</v>
      </c>
      <c r="AQ39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12351.983981400001</v>
      </c>
      <c r="AR390" s="522">
        <f>MAX(Port[[#This Row],[ECL (THB)]]+Port[[#This Row],[ECL_Interest (THB)]], Port[[#This Row],[ECL CBIRC (THB)]])</f>
        <v>15450.19473141432</v>
      </c>
    </row>
    <row r="391" spans="1:44">
      <c r="A391" s="2" t="s">
        <v>1079</v>
      </c>
      <c r="B391" s="2" t="s">
        <v>1080</v>
      </c>
      <c r="C391" s="2" t="s">
        <v>328</v>
      </c>
      <c r="D391" s="2" t="s">
        <v>18</v>
      </c>
      <c r="E391" s="2" t="s">
        <v>19</v>
      </c>
      <c r="F391" s="2" t="s">
        <v>20</v>
      </c>
      <c r="G391" s="2" t="s">
        <v>21</v>
      </c>
      <c r="H391">
        <v>1</v>
      </c>
      <c r="I391" s="2" t="s">
        <v>526</v>
      </c>
      <c r="J391" s="505">
        <v>2.0514833509807026E-2</v>
      </c>
      <c r="K391" s="505">
        <v>0.90000000000000013</v>
      </c>
      <c r="L391" s="3">
        <v>1</v>
      </c>
      <c r="M391" s="3">
        <v>5.2488000000000001</v>
      </c>
      <c r="N391" s="507">
        <v>5000000</v>
      </c>
      <c r="O391" s="507">
        <v>0</v>
      </c>
      <c r="P391" s="507">
        <v>5000000</v>
      </c>
      <c r="Q391" s="507">
        <v>146250</v>
      </c>
      <c r="R391" s="507">
        <v>92316.750794131629</v>
      </c>
      <c r="S391" s="507">
        <v>0</v>
      </c>
      <c r="T391" s="507">
        <v>92316.750794131629</v>
      </c>
      <c r="U391" s="507">
        <v>2700.2649607283497</v>
      </c>
      <c r="V391" s="507">
        <f>Port[[#This Row],[EAD_Drawn (CNY)]]*Port[[#This Row],[CNY -&gt; FCY]]</f>
        <v>5000000</v>
      </c>
      <c r="W391" s="507">
        <f>Port[[#This Row],[EAD_Undrawn (CNY)]]*Port[[#This Row],[CNY -&gt; FCY]]</f>
        <v>0</v>
      </c>
      <c r="X391" s="507">
        <f>Port[[#This Row],[EAD (CNY)]]*Port[[#This Row],[CNY -&gt; FCY]]</f>
        <v>5000000</v>
      </c>
      <c r="Y391" s="507">
        <f>Port[[#This Row],[EAD_Interest (CNY)]]*Port[[#This Row],[CNY -&gt; FCY]]</f>
        <v>146250</v>
      </c>
      <c r="Z391" s="507">
        <f>Port[[#This Row],[ECL_Drawn (CNY)]]*Port[[#This Row],[CNY -&gt; FCY]]</f>
        <v>92316.750794131629</v>
      </c>
      <c r="AA391" s="507">
        <f>Port[[#This Row],[ECL_Undrawn (CNY)]]*Port[[#This Row],[CNY -&gt; FCY]]</f>
        <v>0</v>
      </c>
      <c r="AB391" s="507">
        <f>Port[[#This Row],[ECL (CNY)]]*Port[[#This Row],[CNY -&gt; FCY]]</f>
        <v>92316.750794131629</v>
      </c>
      <c r="AC391" s="507">
        <f>Port[[#This Row],[ECL_Interest (CNY)]]*Port[[#This Row],[CNY -&gt; FCY]]</f>
        <v>2700.2649607283497</v>
      </c>
      <c r="AD391" s="507">
        <f>Port[[#This Row],[EAD_Drawn (CNY)]]*Port[[#This Row],[CNY -&gt; THB]]</f>
        <v>26244000</v>
      </c>
      <c r="AE391" s="507">
        <f>Port[[#This Row],[EAD_Undrawn (CNY)]]*Port[[#This Row],[CNY -&gt; THB]]</f>
        <v>0</v>
      </c>
      <c r="AF391" s="507">
        <f>Port[[#This Row],[EAD (CNY)]]*Port[[#This Row],[CNY -&gt; THB]]</f>
        <v>26244000</v>
      </c>
      <c r="AG391" s="507">
        <f>Port[[#This Row],[EAD_Interest (CNY)]]*Port[[#This Row],[CNY -&gt; THB]]</f>
        <v>767637</v>
      </c>
      <c r="AH391" s="507">
        <f>Port[[#This Row],[ECL_Drawn (CNY)]]*Port[[#This Row],[CNY -&gt; THB]]</f>
        <v>484552.16156823811</v>
      </c>
      <c r="AI391" s="507">
        <f>Port[[#This Row],[ECL_Undrawn (CNY)]]*Port[[#This Row],[CNY -&gt; THB]]</f>
        <v>0</v>
      </c>
      <c r="AJ391" s="507">
        <f>Port[[#This Row],[ECL (CNY)]]*Port[[#This Row],[CNY -&gt; THB]]</f>
        <v>484552.16156823811</v>
      </c>
      <c r="AK391" s="507">
        <f>Port[[#This Row],[ECL_Interest (CNY)]]*Port[[#This Row],[CNY -&gt; THB]]</f>
        <v>14173.150725870963</v>
      </c>
      <c r="AL391" s="507">
        <f>Port[[#This Row],[EAD (THB)]]*Port[[#This Row],[PD_avg]]</f>
        <v>538391.29063137562</v>
      </c>
      <c r="AM391" s="507">
        <f>Port[[#This Row],[EAD_Interest (THB)]]*Port[[#This Row],[PD_avg]]</f>
        <v>15747.945250967736</v>
      </c>
      <c r="AN391" s="507">
        <f>Port[[#This Row],[EAD (THB)]]*Port[[#This Row],[LGD_avg]]</f>
        <v>23619600.000000004</v>
      </c>
      <c r="AO391" s="507">
        <f>Port[[#This Row],[EAD_Interest (THB)]]*Port[[#This Row],[LGD_avg]]</f>
        <v>690873.3</v>
      </c>
      <c r="AP391" s="507">
        <f>Port[[#This Row],[EAD_Drawn (THB)]]+Port[[#This Row],[EAD_Interest (THB)]]</f>
        <v>27011637</v>
      </c>
      <c r="AQ39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391" s="522">
        <f>MAX(Port[[#This Row],[ECL (THB)]]+Port[[#This Row],[ECL_Interest (THB)]], Port[[#This Row],[ECL CBIRC (THB)]])</f>
        <v>498725.31229410908</v>
      </c>
    </row>
    <row r="392" spans="1:44">
      <c r="A392" s="2" t="s">
        <v>1081</v>
      </c>
      <c r="B392" s="2" t="s">
        <v>1082</v>
      </c>
      <c r="C392" s="2" t="s">
        <v>328</v>
      </c>
      <c r="D392" s="2" t="s">
        <v>18</v>
      </c>
      <c r="E392" s="2" t="s">
        <v>19</v>
      </c>
      <c r="F392" s="2" t="s">
        <v>20</v>
      </c>
      <c r="G392" s="2" t="s">
        <v>21</v>
      </c>
      <c r="H392">
        <v>1</v>
      </c>
      <c r="I392" s="2" t="s">
        <v>526</v>
      </c>
      <c r="J392" s="505">
        <v>2.0514833509807026E-2</v>
      </c>
      <c r="K392" s="505">
        <v>0.90000000000000013</v>
      </c>
      <c r="L392" s="3">
        <v>1</v>
      </c>
      <c r="M392" s="3">
        <v>5.2488000000000001</v>
      </c>
      <c r="N392" s="507">
        <v>5000000</v>
      </c>
      <c r="O392" s="507">
        <v>0</v>
      </c>
      <c r="P392" s="507">
        <v>5000000</v>
      </c>
      <c r="Q392" s="507">
        <v>146250</v>
      </c>
      <c r="R392" s="507">
        <v>92316.750794131629</v>
      </c>
      <c r="S392" s="507">
        <v>0</v>
      </c>
      <c r="T392" s="507">
        <v>92316.750794131629</v>
      </c>
      <c r="U392" s="507">
        <v>2700.2649607283497</v>
      </c>
      <c r="V392" s="507">
        <f>Port[[#This Row],[EAD_Drawn (CNY)]]*Port[[#This Row],[CNY -&gt; FCY]]</f>
        <v>5000000</v>
      </c>
      <c r="W392" s="507">
        <f>Port[[#This Row],[EAD_Undrawn (CNY)]]*Port[[#This Row],[CNY -&gt; FCY]]</f>
        <v>0</v>
      </c>
      <c r="X392" s="507">
        <f>Port[[#This Row],[EAD (CNY)]]*Port[[#This Row],[CNY -&gt; FCY]]</f>
        <v>5000000</v>
      </c>
      <c r="Y392" s="507">
        <f>Port[[#This Row],[EAD_Interest (CNY)]]*Port[[#This Row],[CNY -&gt; FCY]]</f>
        <v>146250</v>
      </c>
      <c r="Z392" s="507">
        <f>Port[[#This Row],[ECL_Drawn (CNY)]]*Port[[#This Row],[CNY -&gt; FCY]]</f>
        <v>92316.750794131629</v>
      </c>
      <c r="AA392" s="507">
        <f>Port[[#This Row],[ECL_Undrawn (CNY)]]*Port[[#This Row],[CNY -&gt; FCY]]</f>
        <v>0</v>
      </c>
      <c r="AB392" s="507">
        <f>Port[[#This Row],[ECL (CNY)]]*Port[[#This Row],[CNY -&gt; FCY]]</f>
        <v>92316.750794131629</v>
      </c>
      <c r="AC392" s="507">
        <f>Port[[#This Row],[ECL_Interest (CNY)]]*Port[[#This Row],[CNY -&gt; FCY]]</f>
        <v>2700.2649607283497</v>
      </c>
      <c r="AD392" s="507">
        <f>Port[[#This Row],[EAD_Drawn (CNY)]]*Port[[#This Row],[CNY -&gt; THB]]</f>
        <v>26244000</v>
      </c>
      <c r="AE392" s="507">
        <f>Port[[#This Row],[EAD_Undrawn (CNY)]]*Port[[#This Row],[CNY -&gt; THB]]</f>
        <v>0</v>
      </c>
      <c r="AF392" s="507">
        <f>Port[[#This Row],[EAD (CNY)]]*Port[[#This Row],[CNY -&gt; THB]]</f>
        <v>26244000</v>
      </c>
      <c r="AG392" s="507">
        <f>Port[[#This Row],[EAD_Interest (CNY)]]*Port[[#This Row],[CNY -&gt; THB]]</f>
        <v>767637</v>
      </c>
      <c r="AH392" s="507">
        <f>Port[[#This Row],[ECL_Drawn (CNY)]]*Port[[#This Row],[CNY -&gt; THB]]</f>
        <v>484552.16156823811</v>
      </c>
      <c r="AI392" s="507">
        <f>Port[[#This Row],[ECL_Undrawn (CNY)]]*Port[[#This Row],[CNY -&gt; THB]]</f>
        <v>0</v>
      </c>
      <c r="AJ392" s="507">
        <f>Port[[#This Row],[ECL (CNY)]]*Port[[#This Row],[CNY -&gt; THB]]</f>
        <v>484552.16156823811</v>
      </c>
      <c r="AK392" s="507">
        <f>Port[[#This Row],[ECL_Interest (CNY)]]*Port[[#This Row],[CNY -&gt; THB]]</f>
        <v>14173.150725870963</v>
      </c>
      <c r="AL392" s="507">
        <f>Port[[#This Row],[EAD (THB)]]*Port[[#This Row],[PD_avg]]</f>
        <v>538391.29063137562</v>
      </c>
      <c r="AM392" s="507">
        <f>Port[[#This Row],[EAD_Interest (THB)]]*Port[[#This Row],[PD_avg]]</f>
        <v>15747.945250967736</v>
      </c>
      <c r="AN392" s="507">
        <f>Port[[#This Row],[EAD (THB)]]*Port[[#This Row],[LGD_avg]]</f>
        <v>23619600.000000004</v>
      </c>
      <c r="AO392" s="507">
        <f>Port[[#This Row],[EAD_Interest (THB)]]*Port[[#This Row],[LGD_avg]]</f>
        <v>690873.3</v>
      </c>
      <c r="AP392" s="507">
        <f>Port[[#This Row],[EAD_Drawn (THB)]]+Port[[#This Row],[EAD_Interest (THB)]]</f>
        <v>27011637</v>
      </c>
      <c r="AQ39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392" s="522">
        <f>MAX(Port[[#This Row],[ECL (THB)]]+Port[[#This Row],[ECL_Interest (THB)]], Port[[#This Row],[ECL CBIRC (THB)]])</f>
        <v>498725.31229410908</v>
      </c>
    </row>
    <row r="393" spans="1:44">
      <c r="A393" s="2" t="s">
        <v>1083</v>
      </c>
      <c r="B393" s="2" t="s">
        <v>1084</v>
      </c>
      <c r="C393" s="2" t="s">
        <v>328</v>
      </c>
      <c r="D393" s="2" t="s">
        <v>18</v>
      </c>
      <c r="E393" s="2" t="s">
        <v>19</v>
      </c>
      <c r="F393" s="2" t="s">
        <v>20</v>
      </c>
      <c r="G393" s="2" t="s">
        <v>21</v>
      </c>
      <c r="H393">
        <v>1</v>
      </c>
      <c r="I393" s="2" t="s">
        <v>526</v>
      </c>
      <c r="J393" s="505">
        <v>2.0514833509807026E-2</v>
      </c>
      <c r="K393" s="505">
        <v>0.90000000000000013</v>
      </c>
      <c r="L393" s="3">
        <v>1</v>
      </c>
      <c r="M393" s="3">
        <v>5.2488000000000001</v>
      </c>
      <c r="N393" s="507">
        <v>5000000</v>
      </c>
      <c r="O393" s="507">
        <v>0</v>
      </c>
      <c r="P393" s="507">
        <v>5000000</v>
      </c>
      <c r="Q393" s="507">
        <v>146250</v>
      </c>
      <c r="R393" s="507">
        <v>92316.750794131629</v>
      </c>
      <c r="S393" s="507">
        <v>0</v>
      </c>
      <c r="T393" s="507">
        <v>92316.750794131629</v>
      </c>
      <c r="U393" s="507">
        <v>2700.2649607283497</v>
      </c>
      <c r="V393" s="507">
        <f>Port[[#This Row],[EAD_Drawn (CNY)]]*Port[[#This Row],[CNY -&gt; FCY]]</f>
        <v>5000000</v>
      </c>
      <c r="W393" s="507">
        <f>Port[[#This Row],[EAD_Undrawn (CNY)]]*Port[[#This Row],[CNY -&gt; FCY]]</f>
        <v>0</v>
      </c>
      <c r="X393" s="507">
        <f>Port[[#This Row],[EAD (CNY)]]*Port[[#This Row],[CNY -&gt; FCY]]</f>
        <v>5000000</v>
      </c>
      <c r="Y393" s="507">
        <f>Port[[#This Row],[EAD_Interest (CNY)]]*Port[[#This Row],[CNY -&gt; FCY]]</f>
        <v>146250</v>
      </c>
      <c r="Z393" s="507">
        <f>Port[[#This Row],[ECL_Drawn (CNY)]]*Port[[#This Row],[CNY -&gt; FCY]]</f>
        <v>92316.750794131629</v>
      </c>
      <c r="AA393" s="507">
        <f>Port[[#This Row],[ECL_Undrawn (CNY)]]*Port[[#This Row],[CNY -&gt; FCY]]</f>
        <v>0</v>
      </c>
      <c r="AB393" s="507">
        <f>Port[[#This Row],[ECL (CNY)]]*Port[[#This Row],[CNY -&gt; FCY]]</f>
        <v>92316.750794131629</v>
      </c>
      <c r="AC393" s="507">
        <f>Port[[#This Row],[ECL_Interest (CNY)]]*Port[[#This Row],[CNY -&gt; FCY]]</f>
        <v>2700.2649607283497</v>
      </c>
      <c r="AD393" s="507">
        <f>Port[[#This Row],[EAD_Drawn (CNY)]]*Port[[#This Row],[CNY -&gt; THB]]</f>
        <v>26244000</v>
      </c>
      <c r="AE393" s="507">
        <f>Port[[#This Row],[EAD_Undrawn (CNY)]]*Port[[#This Row],[CNY -&gt; THB]]</f>
        <v>0</v>
      </c>
      <c r="AF393" s="507">
        <f>Port[[#This Row],[EAD (CNY)]]*Port[[#This Row],[CNY -&gt; THB]]</f>
        <v>26244000</v>
      </c>
      <c r="AG393" s="507">
        <f>Port[[#This Row],[EAD_Interest (CNY)]]*Port[[#This Row],[CNY -&gt; THB]]</f>
        <v>767637</v>
      </c>
      <c r="AH393" s="507">
        <f>Port[[#This Row],[ECL_Drawn (CNY)]]*Port[[#This Row],[CNY -&gt; THB]]</f>
        <v>484552.16156823811</v>
      </c>
      <c r="AI393" s="507">
        <f>Port[[#This Row],[ECL_Undrawn (CNY)]]*Port[[#This Row],[CNY -&gt; THB]]</f>
        <v>0</v>
      </c>
      <c r="AJ393" s="507">
        <f>Port[[#This Row],[ECL (CNY)]]*Port[[#This Row],[CNY -&gt; THB]]</f>
        <v>484552.16156823811</v>
      </c>
      <c r="AK393" s="507">
        <f>Port[[#This Row],[ECL_Interest (CNY)]]*Port[[#This Row],[CNY -&gt; THB]]</f>
        <v>14173.150725870963</v>
      </c>
      <c r="AL393" s="507">
        <f>Port[[#This Row],[EAD (THB)]]*Port[[#This Row],[PD_avg]]</f>
        <v>538391.29063137562</v>
      </c>
      <c r="AM393" s="507">
        <f>Port[[#This Row],[EAD_Interest (THB)]]*Port[[#This Row],[PD_avg]]</f>
        <v>15747.945250967736</v>
      </c>
      <c r="AN393" s="507">
        <f>Port[[#This Row],[EAD (THB)]]*Port[[#This Row],[LGD_avg]]</f>
        <v>23619600.000000004</v>
      </c>
      <c r="AO393" s="507">
        <f>Port[[#This Row],[EAD_Interest (THB)]]*Port[[#This Row],[LGD_avg]]</f>
        <v>690873.3</v>
      </c>
      <c r="AP393" s="507">
        <f>Port[[#This Row],[EAD_Drawn (THB)]]+Port[[#This Row],[EAD_Interest (THB)]]</f>
        <v>27011637</v>
      </c>
      <c r="AQ39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393" s="522">
        <f>MAX(Port[[#This Row],[ECL (THB)]]+Port[[#This Row],[ECL_Interest (THB)]], Port[[#This Row],[ECL CBIRC (THB)]])</f>
        <v>498725.31229410908</v>
      </c>
    </row>
    <row r="394" spans="1:44">
      <c r="A394" s="2" t="s">
        <v>1085</v>
      </c>
      <c r="B394" s="2" t="s">
        <v>1086</v>
      </c>
      <c r="C394" s="2" t="s">
        <v>328</v>
      </c>
      <c r="D394" s="2" t="s">
        <v>18</v>
      </c>
      <c r="E394" s="2" t="s">
        <v>19</v>
      </c>
      <c r="F394" s="2" t="s">
        <v>20</v>
      </c>
      <c r="G394" s="2" t="s">
        <v>21</v>
      </c>
      <c r="H394">
        <v>1</v>
      </c>
      <c r="I394" s="2" t="s">
        <v>526</v>
      </c>
      <c r="J394" s="505">
        <v>2.0514833509807026E-2</v>
      </c>
      <c r="K394" s="505">
        <v>0.9</v>
      </c>
      <c r="L394" s="3">
        <v>1</v>
      </c>
      <c r="M394" s="3">
        <v>5.2488000000000001</v>
      </c>
      <c r="N394" s="507">
        <v>4500000</v>
      </c>
      <c r="O394" s="507">
        <v>0</v>
      </c>
      <c r="P394" s="507">
        <v>4500000</v>
      </c>
      <c r="Q394" s="507">
        <v>131625</v>
      </c>
      <c r="R394" s="507">
        <v>83085.075714718463</v>
      </c>
      <c r="S394" s="507">
        <v>0</v>
      </c>
      <c r="T394" s="507">
        <v>83085.075714718463</v>
      </c>
      <c r="U394" s="507">
        <v>2430.2384646555147</v>
      </c>
      <c r="V394" s="507">
        <f>Port[[#This Row],[EAD_Drawn (CNY)]]*Port[[#This Row],[CNY -&gt; FCY]]</f>
        <v>4500000</v>
      </c>
      <c r="W394" s="507">
        <f>Port[[#This Row],[EAD_Undrawn (CNY)]]*Port[[#This Row],[CNY -&gt; FCY]]</f>
        <v>0</v>
      </c>
      <c r="X394" s="507">
        <f>Port[[#This Row],[EAD (CNY)]]*Port[[#This Row],[CNY -&gt; FCY]]</f>
        <v>4500000</v>
      </c>
      <c r="Y394" s="507">
        <f>Port[[#This Row],[EAD_Interest (CNY)]]*Port[[#This Row],[CNY -&gt; FCY]]</f>
        <v>131625</v>
      </c>
      <c r="Z394" s="507">
        <f>Port[[#This Row],[ECL_Drawn (CNY)]]*Port[[#This Row],[CNY -&gt; FCY]]</f>
        <v>83085.075714718463</v>
      </c>
      <c r="AA394" s="507">
        <f>Port[[#This Row],[ECL_Undrawn (CNY)]]*Port[[#This Row],[CNY -&gt; FCY]]</f>
        <v>0</v>
      </c>
      <c r="AB394" s="507">
        <f>Port[[#This Row],[ECL (CNY)]]*Port[[#This Row],[CNY -&gt; FCY]]</f>
        <v>83085.075714718463</v>
      </c>
      <c r="AC394" s="507">
        <f>Port[[#This Row],[ECL_Interest (CNY)]]*Port[[#This Row],[CNY -&gt; FCY]]</f>
        <v>2430.2384646555147</v>
      </c>
      <c r="AD394" s="507">
        <f>Port[[#This Row],[EAD_Drawn (CNY)]]*Port[[#This Row],[CNY -&gt; THB]]</f>
        <v>23619600</v>
      </c>
      <c r="AE394" s="507">
        <f>Port[[#This Row],[EAD_Undrawn (CNY)]]*Port[[#This Row],[CNY -&gt; THB]]</f>
        <v>0</v>
      </c>
      <c r="AF394" s="507">
        <f>Port[[#This Row],[EAD (CNY)]]*Port[[#This Row],[CNY -&gt; THB]]</f>
        <v>23619600</v>
      </c>
      <c r="AG394" s="507">
        <f>Port[[#This Row],[EAD_Interest (CNY)]]*Port[[#This Row],[CNY -&gt; THB]]</f>
        <v>690873.3</v>
      </c>
      <c r="AH394" s="507">
        <f>Port[[#This Row],[ECL_Drawn (CNY)]]*Port[[#This Row],[CNY -&gt; THB]]</f>
        <v>436096.94541141426</v>
      </c>
      <c r="AI394" s="507">
        <f>Port[[#This Row],[ECL_Undrawn (CNY)]]*Port[[#This Row],[CNY -&gt; THB]]</f>
        <v>0</v>
      </c>
      <c r="AJ394" s="507">
        <f>Port[[#This Row],[ECL (CNY)]]*Port[[#This Row],[CNY -&gt; THB]]</f>
        <v>436096.94541141426</v>
      </c>
      <c r="AK394" s="507">
        <f>Port[[#This Row],[ECL_Interest (CNY)]]*Port[[#This Row],[CNY -&gt; THB]]</f>
        <v>12755.835653283866</v>
      </c>
      <c r="AL394" s="507">
        <f>Port[[#This Row],[EAD (THB)]]*Port[[#This Row],[PD_avg]]</f>
        <v>484552.16156823805</v>
      </c>
      <c r="AM394" s="507">
        <f>Port[[#This Row],[EAD_Interest (THB)]]*Port[[#This Row],[PD_avg]]</f>
        <v>14173.150725870963</v>
      </c>
      <c r="AN394" s="507">
        <f>Port[[#This Row],[EAD (THB)]]*Port[[#This Row],[LGD_avg]]</f>
        <v>21257640</v>
      </c>
      <c r="AO394" s="507">
        <f>Port[[#This Row],[EAD_Interest (THB)]]*Port[[#This Row],[LGD_avg]]</f>
        <v>621785.97000000009</v>
      </c>
      <c r="AP394" s="507">
        <f>Port[[#This Row],[EAD_Drawn (THB)]]+Port[[#This Row],[EAD_Interest (THB)]]</f>
        <v>24310473.300000001</v>
      </c>
      <c r="AQ39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354294</v>
      </c>
      <c r="AR394" s="522">
        <f>MAX(Port[[#This Row],[ECL (THB)]]+Port[[#This Row],[ECL_Interest (THB)]], Port[[#This Row],[ECL CBIRC (THB)]])</f>
        <v>448852.78106469812</v>
      </c>
    </row>
    <row r="395" spans="1:44">
      <c r="A395" s="2" t="s">
        <v>1087</v>
      </c>
      <c r="B395" s="2" t="s">
        <v>361</v>
      </c>
      <c r="C395" s="2" t="s">
        <v>328</v>
      </c>
      <c r="D395" s="2" t="s">
        <v>18</v>
      </c>
      <c r="E395" s="2" t="s">
        <v>19</v>
      </c>
      <c r="F395" s="2" t="s">
        <v>20</v>
      </c>
      <c r="G395" s="2" t="s">
        <v>21</v>
      </c>
      <c r="H395">
        <v>1</v>
      </c>
      <c r="I395" s="2" t="s">
        <v>526</v>
      </c>
      <c r="J395" s="505">
        <v>2.0514833509807026E-2</v>
      </c>
      <c r="K395" s="505">
        <v>0.90000000000000013</v>
      </c>
      <c r="L395" s="3">
        <v>1</v>
      </c>
      <c r="M395" s="3">
        <v>5.2488000000000001</v>
      </c>
      <c r="N395" s="507">
        <v>328746.65999999997</v>
      </c>
      <c r="O395" s="507">
        <v>0</v>
      </c>
      <c r="P395" s="507">
        <v>328746.65999999997</v>
      </c>
      <c r="Q395" s="507">
        <v>5235.29</v>
      </c>
      <c r="R395" s="507">
        <v>6069.7646971246231</v>
      </c>
      <c r="S395" s="507">
        <v>0</v>
      </c>
      <c r="T395" s="507">
        <v>6069.7646971246231</v>
      </c>
      <c r="U395" s="507">
        <v>96.660992453001867</v>
      </c>
      <c r="V395" s="507">
        <f>Port[[#This Row],[EAD_Drawn (CNY)]]*Port[[#This Row],[CNY -&gt; FCY]]</f>
        <v>328746.65999999997</v>
      </c>
      <c r="W395" s="507">
        <f>Port[[#This Row],[EAD_Undrawn (CNY)]]*Port[[#This Row],[CNY -&gt; FCY]]</f>
        <v>0</v>
      </c>
      <c r="X395" s="507">
        <f>Port[[#This Row],[EAD (CNY)]]*Port[[#This Row],[CNY -&gt; FCY]]</f>
        <v>328746.65999999997</v>
      </c>
      <c r="Y395" s="507">
        <f>Port[[#This Row],[EAD_Interest (CNY)]]*Port[[#This Row],[CNY -&gt; FCY]]</f>
        <v>5235.29</v>
      </c>
      <c r="Z395" s="507">
        <f>Port[[#This Row],[ECL_Drawn (CNY)]]*Port[[#This Row],[CNY -&gt; FCY]]</f>
        <v>6069.7646971246231</v>
      </c>
      <c r="AA395" s="507">
        <f>Port[[#This Row],[ECL_Undrawn (CNY)]]*Port[[#This Row],[CNY -&gt; FCY]]</f>
        <v>0</v>
      </c>
      <c r="AB395" s="507">
        <f>Port[[#This Row],[ECL (CNY)]]*Port[[#This Row],[CNY -&gt; FCY]]</f>
        <v>6069.7646971246231</v>
      </c>
      <c r="AC395" s="507">
        <f>Port[[#This Row],[ECL_Interest (CNY)]]*Port[[#This Row],[CNY -&gt; FCY]]</f>
        <v>96.660992453001867</v>
      </c>
      <c r="AD395" s="507">
        <f>Port[[#This Row],[EAD_Drawn (CNY)]]*Port[[#This Row],[CNY -&gt; THB]]</f>
        <v>1725525.4690079999</v>
      </c>
      <c r="AE395" s="507">
        <f>Port[[#This Row],[EAD_Undrawn (CNY)]]*Port[[#This Row],[CNY -&gt; THB]]</f>
        <v>0</v>
      </c>
      <c r="AF395" s="507">
        <f>Port[[#This Row],[EAD (CNY)]]*Port[[#This Row],[CNY -&gt; THB]]</f>
        <v>1725525.4690079999</v>
      </c>
      <c r="AG395" s="507">
        <f>Port[[#This Row],[EAD_Interest (CNY)]]*Port[[#This Row],[CNY -&gt; THB]]</f>
        <v>27478.990152000002</v>
      </c>
      <c r="AH395" s="507">
        <f>Port[[#This Row],[ECL_Drawn (CNY)]]*Port[[#This Row],[CNY -&gt; THB]]</f>
        <v>31858.980942267724</v>
      </c>
      <c r="AI395" s="507">
        <f>Port[[#This Row],[ECL_Undrawn (CNY)]]*Port[[#This Row],[CNY -&gt; THB]]</f>
        <v>0</v>
      </c>
      <c r="AJ395" s="507">
        <f>Port[[#This Row],[ECL (CNY)]]*Port[[#This Row],[CNY -&gt; THB]]</f>
        <v>31858.980942267724</v>
      </c>
      <c r="AK395" s="507">
        <f>Port[[#This Row],[ECL_Interest (CNY)]]*Port[[#This Row],[CNY -&gt; THB]]</f>
        <v>507.35421718731624</v>
      </c>
      <c r="AL395" s="507">
        <f>Port[[#This Row],[EAD (THB)]]*Port[[#This Row],[PD_avg]]</f>
        <v>35398.867713630803</v>
      </c>
      <c r="AM395" s="507">
        <f>Port[[#This Row],[EAD_Interest (THB)]]*Port[[#This Row],[PD_avg]]</f>
        <v>563.72690798590691</v>
      </c>
      <c r="AN395" s="507">
        <f>Port[[#This Row],[EAD (THB)]]*Port[[#This Row],[LGD_avg]]</f>
        <v>1552972.9221072001</v>
      </c>
      <c r="AO395" s="507">
        <f>Port[[#This Row],[EAD_Interest (THB)]]*Port[[#This Row],[LGD_avg]]</f>
        <v>24731.091136800005</v>
      </c>
      <c r="AP395" s="507">
        <f>Port[[#This Row],[EAD_Drawn (THB)]]+Port[[#This Row],[EAD_Interest (THB)]]</f>
        <v>1753004.4591599999</v>
      </c>
      <c r="AQ39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25882.882035119997</v>
      </c>
      <c r="AR395" s="522">
        <f>MAX(Port[[#This Row],[ECL (THB)]]+Port[[#This Row],[ECL_Interest (THB)]], Port[[#This Row],[ECL CBIRC (THB)]])</f>
        <v>32366.33515945504</v>
      </c>
    </row>
    <row r="396" spans="1:44">
      <c r="A396" s="2" t="s">
        <v>1088</v>
      </c>
      <c r="B396" s="2" t="s">
        <v>372</v>
      </c>
      <c r="C396" s="2" t="s">
        <v>328</v>
      </c>
      <c r="D396" s="2" t="s">
        <v>18</v>
      </c>
      <c r="E396" s="2" t="s">
        <v>19</v>
      </c>
      <c r="F396" s="2" t="s">
        <v>20</v>
      </c>
      <c r="G396" s="2" t="s">
        <v>21</v>
      </c>
      <c r="H396">
        <v>1</v>
      </c>
      <c r="I396" s="2" t="s">
        <v>526</v>
      </c>
      <c r="J396" s="505">
        <v>2.0514833509807026E-2</v>
      </c>
      <c r="K396" s="505">
        <v>0.9</v>
      </c>
      <c r="L396" s="3">
        <v>1</v>
      </c>
      <c r="M396" s="3">
        <v>5.2488000000000001</v>
      </c>
      <c r="N396" s="507">
        <v>112466.58</v>
      </c>
      <c r="O396" s="507">
        <v>0</v>
      </c>
      <c r="P396" s="507">
        <v>112466.58</v>
      </c>
      <c r="Q396" s="507">
        <v>1791.03</v>
      </c>
      <c r="R396" s="507">
        <v>2076.5098477056536</v>
      </c>
      <c r="S396" s="507">
        <v>0</v>
      </c>
      <c r="T396" s="507">
        <v>2076.5098477056536</v>
      </c>
      <c r="U396" s="507">
        <v>33.068414034962707</v>
      </c>
      <c r="V396" s="507">
        <f>Port[[#This Row],[EAD_Drawn (CNY)]]*Port[[#This Row],[CNY -&gt; FCY]]</f>
        <v>112466.58</v>
      </c>
      <c r="W396" s="507">
        <f>Port[[#This Row],[EAD_Undrawn (CNY)]]*Port[[#This Row],[CNY -&gt; FCY]]</f>
        <v>0</v>
      </c>
      <c r="X396" s="507">
        <f>Port[[#This Row],[EAD (CNY)]]*Port[[#This Row],[CNY -&gt; FCY]]</f>
        <v>112466.58</v>
      </c>
      <c r="Y396" s="507">
        <f>Port[[#This Row],[EAD_Interest (CNY)]]*Port[[#This Row],[CNY -&gt; FCY]]</f>
        <v>1791.03</v>
      </c>
      <c r="Z396" s="507">
        <f>Port[[#This Row],[ECL_Drawn (CNY)]]*Port[[#This Row],[CNY -&gt; FCY]]</f>
        <v>2076.5098477056536</v>
      </c>
      <c r="AA396" s="507">
        <f>Port[[#This Row],[ECL_Undrawn (CNY)]]*Port[[#This Row],[CNY -&gt; FCY]]</f>
        <v>0</v>
      </c>
      <c r="AB396" s="507">
        <f>Port[[#This Row],[ECL (CNY)]]*Port[[#This Row],[CNY -&gt; FCY]]</f>
        <v>2076.5098477056536</v>
      </c>
      <c r="AC396" s="507">
        <f>Port[[#This Row],[ECL_Interest (CNY)]]*Port[[#This Row],[CNY -&gt; FCY]]</f>
        <v>33.068414034962707</v>
      </c>
      <c r="AD396" s="507">
        <f>Port[[#This Row],[EAD_Drawn (CNY)]]*Port[[#This Row],[CNY -&gt; THB]]</f>
        <v>590314.58510400006</v>
      </c>
      <c r="AE396" s="507">
        <f>Port[[#This Row],[EAD_Undrawn (CNY)]]*Port[[#This Row],[CNY -&gt; THB]]</f>
        <v>0</v>
      </c>
      <c r="AF396" s="507">
        <f>Port[[#This Row],[EAD (CNY)]]*Port[[#This Row],[CNY -&gt; THB]]</f>
        <v>590314.58510400006</v>
      </c>
      <c r="AG396" s="507">
        <f>Port[[#This Row],[EAD_Interest (CNY)]]*Port[[#This Row],[CNY -&gt; THB]]</f>
        <v>9400.7582640000001</v>
      </c>
      <c r="AH396" s="507">
        <f>Port[[#This Row],[ECL_Drawn (CNY)]]*Port[[#This Row],[CNY -&gt; THB]]</f>
        <v>10899.184888637436</v>
      </c>
      <c r="AI396" s="507">
        <f>Port[[#This Row],[ECL_Undrawn (CNY)]]*Port[[#This Row],[CNY -&gt; THB]]</f>
        <v>0</v>
      </c>
      <c r="AJ396" s="507">
        <f>Port[[#This Row],[ECL (CNY)]]*Port[[#This Row],[CNY -&gt; THB]]</f>
        <v>10899.184888637436</v>
      </c>
      <c r="AK396" s="507">
        <f>Port[[#This Row],[ECL_Interest (CNY)]]*Port[[#This Row],[CNY -&gt; THB]]</f>
        <v>173.56949158671227</v>
      </c>
      <c r="AL396" s="507">
        <f>Port[[#This Row],[EAD (THB)]]*Port[[#This Row],[PD_avg]]</f>
        <v>12110.205431819371</v>
      </c>
      <c r="AM396" s="507">
        <f>Port[[#This Row],[EAD_Interest (THB)]]*Port[[#This Row],[PD_avg]]</f>
        <v>192.85499065190254</v>
      </c>
      <c r="AN396" s="507">
        <f>Port[[#This Row],[EAD (THB)]]*Port[[#This Row],[LGD_avg]]</f>
        <v>531283.12659360003</v>
      </c>
      <c r="AO396" s="507">
        <f>Port[[#This Row],[EAD_Interest (THB)]]*Port[[#This Row],[LGD_avg]]</f>
        <v>8460.6824376000004</v>
      </c>
      <c r="AP396" s="507">
        <f>Port[[#This Row],[EAD_Drawn (THB)]]+Port[[#This Row],[EAD_Interest (THB)]]</f>
        <v>599715.343368</v>
      </c>
      <c r="AQ39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8854.7187765600011</v>
      </c>
      <c r="AR396" s="522">
        <f>MAX(Port[[#This Row],[ECL (THB)]]+Port[[#This Row],[ECL_Interest (THB)]], Port[[#This Row],[ECL CBIRC (THB)]])</f>
        <v>11072.754380224147</v>
      </c>
    </row>
    <row r="397" spans="1:44">
      <c r="A397" s="2" t="s">
        <v>1089</v>
      </c>
      <c r="B397" s="2" t="s">
        <v>368</v>
      </c>
      <c r="C397" s="2" t="s">
        <v>328</v>
      </c>
      <c r="D397" s="2" t="s">
        <v>18</v>
      </c>
      <c r="E397" s="2" t="s">
        <v>19</v>
      </c>
      <c r="F397" s="2" t="s">
        <v>20</v>
      </c>
      <c r="G397" s="2" t="s">
        <v>21</v>
      </c>
      <c r="H397">
        <v>1</v>
      </c>
      <c r="I397" s="2" t="s">
        <v>526</v>
      </c>
      <c r="J397" s="505">
        <v>2.0514833509807026E-2</v>
      </c>
      <c r="K397" s="505">
        <v>0.89999999999999991</v>
      </c>
      <c r="L397" s="3">
        <v>1</v>
      </c>
      <c r="M397" s="3">
        <v>5.2488000000000001</v>
      </c>
      <c r="N397" s="507">
        <v>87929.03</v>
      </c>
      <c r="O397" s="507">
        <v>0</v>
      </c>
      <c r="P397" s="507">
        <v>87929.03</v>
      </c>
      <c r="Q397" s="507">
        <v>1400.27</v>
      </c>
      <c r="R397" s="507">
        <v>1623.4644700159445</v>
      </c>
      <c r="S397" s="507">
        <v>0</v>
      </c>
      <c r="T397" s="507">
        <v>1623.4644700159445</v>
      </c>
      <c r="U397" s="507">
        <v>25.85367532689974</v>
      </c>
      <c r="V397" s="507">
        <f>Port[[#This Row],[EAD_Drawn (CNY)]]*Port[[#This Row],[CNY -&gt; FCY]]</f>
        <v>87929.03</v>
      </c>
      <c r="W397" s="507">
        <f>Port[[#This Row],[EAD_Undrawn (CNY)]]*Port[[#This Row],[CNY -&gt; FCY]]</f>
        <v>0</v>
      </c>
      <c r="X397" s="507">
        <f>Port[[#This Row],[EAD (CNY)]]*Port[[#This Row],[CNY -&gt; FCY]]</f>
        <v>87929.03</v>
      </c>
      <c r="Y397" s="507">
        <f>Port[[#This Row],[EAD_Interest (CNY)]]*Port[[#This Row],[CNY -&gt; FCY]]</f>
        <v>1400.27</v>
      </c>
      <c r="Z397" s="507">
        <f>Port[[#This Row],[ECL_Drawn (CNY)]]*Port[[#This Row],[CNY -&gt; FCY]]</f>
        <v>1623.4644700159445</v>
      </c>
      <c r="AA397" s="507">
        <f>Port[[#This Row],[ECL_Undrawn (CNY)]]*Port[[#This Row],[CNY -&gt; FCY]]</f>
        <v>0</v>
      </c>
      <c r="AB397" s="507">
        <f>Port[[#This Row],[ECL (CNY)]]*Port[[#This Row],[CNY -&gt; FCY]]</f>
        <v>1623.4644700159445</v>
      </c>
      <c r="AC397" s="507">
        <f>Port[[#This Row],[ECL_Interest (CNY)]]*Port[[#This Row],[CNY -&gt; FCY]]</f>
        <v>25.85367532689974</v>
      </c>
      <c r="AD397" s="507">
        <f>Port[[#This Row],[EAD_Drawn (CNY)]]*Port[[#This Row],[CNY -&gt; THB]]</f>
        <v>461521.89266399998</v>
      </c>
      <c r="AE397" s="507">
        <f>Port[[#This Row],[EAD_Undrawn (CNY)]]*Port[[#This Row],[CNY -&gt; THB]]</f>
        <v>0</v>
      </c>
      <c r="AF397" s="507">
        <f>Port[[#This Row],[EAD (CNY)]]*Port[[#This Row],[CNY -&gt; THB]]</f>
        <v>461521.89266399998</v>
      </c>
      <c r="AG397" s="507">
        <f>Port[[#This Row],[EAD_Interest (CNY)]]*Port[[#This Row],[CNY -&gt; THB]]</f>
        <v>7349.7371759999996</v>
      </c>
      <c r="AH397" s="507">
        <f>Port[[#This Row],[ECL_Drawn (CNY)]]*Port[[#This Row],[CNY -&gt; THB]]</f>
        <v>8521.2403102196895</v>
      </c>
      <c r="AI397" s="507">
        <f>Port[[#This Row],[ECL_Undrawn (CNY)]]*Port[[#This Row],[CNY -&gt; THB]]</f>
        <v>0</v>
      </c>
      <c r="AJ397" s="507">
        <f>Port[[#This Row],[ECL (CNY)]]*Port[[#This Row],[CNY -&gt; THB]]</f>
        <v>8521.2403102196895</v>
      </c>
      <c r="AK397" s="507">
        <f>Port[[#This Row],[ECL_Interest (CNY)]]*Port[[#This Row],[CNY -&gt; THB]]</f>
        <v>135.70077105583135</v>
      </c>
      <c r="AL397" s="507">
        <f>Port[[#This Row],[EAD (THB)]]*Port[[#This Row],[PD_avg]]</f>
        <v>9468.0447891329877</v>
      </c>
      <c r="AM397" s="507">
        <f>Port[[#This Row],[EAD_Interest (THB)]]*Port[[#This Row],[PD_avg]]</f>
        <v>150.77863450647925</v>
      </c>
      <c r="AN397" s="507">
        <f>Port[[#This Row],[EAD (THB)]]*Port[[#This Row],[LGD_avg]]</f>
        <v>415369.70339759992</v>
      </c>
      <c r="AO397" s="507">
        <f>Port[[#This Row],[EAD_Interest (THB)]]*Port[[#This Row],[LGD_avg]]</f>
        <v>6614.7634583999989</v>
      </c>
      <c r="AP397" s="507">
        <f>Port[[#This Row],[EAD_Drawn (THB)]]+Port[[#This Row],[EAD_Interest (THB)]]</f>
        <v>468871.62984000001</v>
      </c>
      <c r="AQ39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6922.8283899599992</v>
      </c>
      <c r="AR397" s="522">
        <f>MAX(Port[[#This Row],[ECL (THB)]]+Port[[#This Row],[ECL_Interest (THB)]], Port[[#This Row],[ECL CBIRC (THB)]])</f>
        <v>8656.9410812755214</v>
      </c>
    </row>
    <row r="398" spans="1:44">
      <c r="A398" s="2" t="s">
        <v>1090</v>
      </c>
      <c r="B398" s="2" t="s">
        <v>1091</v>
      </c>
      <c r="C398" s="2" t="s">
        <v>328</v>
      </c>
      <c r="D398" s="2" t="s">
        <v>18</v>
      </c>
      <c r="E398" s="2" t="s">
        <v>19</v>
      </c>
      <c r="F398" s="2" t="s">
        <v>20</v>
      </c>
      <c r="G398" s="2" t="s">
        <v>21</v>
      </c>
      <c r="H398">
        <v>1</v>
      </c>
      <c r="I398" s="2" t="s">
        <v>526</v>
      </c>
      <c r="J398" s="505">
        <v>2.0514833509807026E-2</v>
      </c>
      <c r="K398" s="505">
        <v>0.90000000000000024</v>
      </c>
      <c r="L398" s="3">
        <v>1</v>
      </c>
      <c r="M398" s="3">
        <v>5.2488000000000001</v>
      </c>
      <c r="N398" s="507">
        <v>12735.26</v>
      </c>
      <c r="O398" s="507">
        <v>0</v>
      </c>
      <c r="P398" s="507">
        <v>12735.26</v>
      </c>
      <c r="Q398" s="507">
        <v>202.81</v>
      </c>
      <c r="R398" s="507">
        <v>235.13556474369457</v>
      </c>
      <c r="S398" s="507">
        <v>0</v>
      </c>
      <c r="T398" s="507">
        <v>235.13556474369457</v>
      </c>
      <c r="U398" s="507">
        <v>3.7445520457115666</v>
      </c>
      <c r="V398" s="507">
        <f>Port[[#This Row],[EAD_Drawn (CNY)]]*Port[[#This Row],[CNY -&gt; FCY]]</f>
        <v>12735.26</v>
      </c>
      <c r="W398" s="507">
        <f>Port[[#This Row],[EAD_Undrawn (CNY)]]*Port[[#This Row],[CNY -&gt; FCY]]</f>
        <v>0</v>
      </c>
      <c r="X398" s="507">
        <f>Port[[#This Row],[EAD (CNY)]]*Port[[#This Row],[CNY -&gt; FCY]]</f>
        <v>12735.26</v>
      </c>
      <c r="Y398" s="507">
        <f>Port[[#This Row],[EAD_Interest (CNY)]]*Port[[#This Row],[CNY -&gt; FCY]]</f>
        <v>202.81</v>
      </c>
      <c r="Z398" s="507">
        <f>Port[[#This Row],[ECL_Drawn (CNY)]]*Port[[#This Row],[CNY -&gt; FCY]]</f>
        <v>235.13556474369457</v>
      </c>
      <c r="AA398" s="507">
        <f>Port[[#This Row],[ECL_Undrawn (CNY)]]*Port[[#This Row],[CNY -&gt; FCY]]</f>
        <v>0</v>
      </c>
      <c r="AB398" s="507">
        <f>Port[[#This Row],[ECL (CNY)]]*Port[[#This Row],[CNY -&gt; FCY]]</f>
        <v>235.13556474369457</v>
      </c>
      <c r="AC398" s="507">
        <f>Port[[#This Row],[ECL_Interest (CNY)]]*Port[[#This Row],[CNY -&gt; FCY]]</f>
        <v>3.7445520457115666</v>
      </c>
      <c r="AD398" s="507">
        <f>Port[[#This Row],[EAD_Drawn (CNY)]]*Port[[#This Row],[CNY -&gt; THB]]</f>
        <v>66844.83268800001</v>
      </c>
      <c r="AE398" s="507">
        <f>Port[[#This Row],[EAD_Undrawn (CNY)]]*Port[[#This Row],[CNY -&gt; THB]]</f>
        <v>0</v>
      </c>
      <c r="AF398" s="507">
        <f>Port[[#This Row],[EAD (CNY)]]*Port[[#This Row],[CNY -&gt; THB]]</f>
        <v>66844.83268800001</v>
      </c>
      <c r="AG398" s="507">
        <f>Port[[#This Row],[EAD_Interest (CNY)]]*Port[[#This Row],[CNY -&gt; THB]]</f>
        <v>1064.5091280000001</v>
      </c>
      <c r="AH398" s="507">
        <f>Port[[#This Row],[ECL_Drawn (CNY)]]*Port[[#This Row],[CNY -&gt; THB]]</f>
        <v>1234.1795522267041</v>
      </c>
      <c r="AI398" s="507">
        <f>Port[[#This Row],[ECL_Undrawn (CNY)]]*Port[[#This Row],[CNY -&gt; THB]]</f>
        <v>0</v>
      </c>
      <c r="AJ398" s="507">
        <f>Port[[#This Row],[ECL (CNY)]]*Port[[#This Row],[CNY -&gt; THB]]</f>
        <v>1234.1795522267041</v>
      </c>
      <c r="AK398" s="507">
        <f>Port[[#This Row],[ECL_Interest (CNY)]]*Port[[#This Row],[CNY -&gt; THB]]</f>
        <v>19.654404777530871</v>
      </c>
      <c r="AL398" s="507">
        <f>Port[[#This Row],[EAD (THB)]]*Port[[#This Row],[PD_avg]]</f>
        <v>1371.3106135852267</v>
      </c>
      <c r="AM398" s="507">
        <f>Port[[#This Row],[EAD_Interest (THB)]]*Port[[#This Row],[PD_avg]]</f>
        <v>21.838227530589858</v>
      </c>
      <c r="AN398" s="507">
        <f>Port[[#This Row],[EAD (THB)]]*Port[[#This Row],[LGD_avg]]</f>
        <v>60160.349419200022</v>
      </c>
      <c r="AO398" s="507">
        <f>Port[[#This Row],[EAD_Interest (THB)]]*Port[[#This Row],[LGD_avg]]</f>
        <v>958.0582152000004</v>
      </c>
      <c r="AP398" s="507">
        <f>Port[[#This Row],[EAD_Drawn (THB)]]+Port[[#This Row],[EAD_Interest (THB)]]</f>
        <v>67909.341816000015</v>
      </c>
      <c r="AQ39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1002.6724903200001</v>
      </c>
      <c r="AR398" s="522">
        <f>MAX(Port[[#This Row],[ECL (THB)]]+Port[[#This Row],[ECL_Interest (THB)]], Port[[#This Row],[ECL CBIRC (THB)]])</f>
        <v>1253.8339570042349</v>
      </c>
    </row>
    <row r="399" spans="1:44">
      <c r="A399" s="2" t="s">
        <v>1092</v>
      </c>
      <c r="B399" s="2" t="s">
        <v>1093</v>
      </c>
      <c r="C399" s="2" t="s">
        <v>328</v>
      </c>
      <c r="D399" s="2" t="s">
        <v>18</v>
      </c>
      <c r="E399" s="2" t="s">
        <v>19</v>
      </c>
      <c r="F399" s="2" t="s">
        <v>20</v>
      </c>
      <c r="G399" s="2" t="s">
        <v>21</v>
      </c>
      <c r="H399">
        <v>1</v>
      </c>
      <c r="I399" s="2" t="s">
        <v>526</v>
      </c>
      <c r="J399" s="505">
        <v>2.0514833509807026E-2</v>
      </c>
      <c r="K399" s="505">
        <v>0.90000000000000013</v>
      </c>
      <c r="L399" s="3">
        <v>1</v>
      </c>
      <c r="M399" s="3">
        <v>5.2488000000000001</v>
      </c>
      <c r="N399" s="507">
        <v>155318.81</v>
      </c>
      <c r="O399" s="507">
        <v>0</v>
      </c>
      <c r="P399" s="507">
        <v>155318.81</v>
      </c>
      <c r="Q399" s="507">
        <v>2367.75</v>
      </c>
      <c r="R399" s="507">
        <v>2867.7055752822162</v>
      </c>
      <c r="S399" s="507">
        <v>0</v>
      </c>
      <c r="T399" s="507">
        <v>2867.7055752822162</v>
      </c>
      <c r="U399" s="507">
        <v>43.71659733856103</v>
      </c>
      <c r="V399" s="507">
        <f>Port[[#This Row],[EAD_Drawn (CNY)]]*Port[[#This Row],[CNY -&gt; FCY]]</f>
        <v>155318.81</v>
      </c>
      <c r="W399" s="507">
        <f>Port[[#This Row],[EAD_Undrawn (CNY)]]*Port[[#This Row],[CNY -&gt; FCY]]</f>
        <v>0</v>
      </c>
      <c r="X399" s="507">
        <f>Port[[#This Row],[EAD (CNY)]]*Port[[#This Row],[CNY -&gt; FCY]]</f>
        <v>155318.81</v>
      </c>
      <c r="Y399" s="507">
        <f>Port[[#This Row],[EAD_Interest (CNY)]]*Port[[#This Row],[CNY -&gt; FCY]]</f>
        <v>2367.75</v>
      </c>
      <c r="Z399" s="507">
        <f>Port[[#This Row],[ECL_Drawn (CNY)]]*Port[[#This Row],[CNY -&gt; FCY]]</f>
        <v>2867.7055752822162</v>
      </c>
      <c r="AA399" s="507">
        <f>Port[[#This Row],[ECL_Undrawn (CNY)]]*Port[[#This Row],[CNY -&gt; FCY]]</f>
        <v>0</v>
      </c>
      <c r="AB399" s="507">
        <f>Port[[#This Row],[ECL (CNY)]]*Port[[#This Row],[CNY -&gt; FCY]]</f>
        <v>2867.7055752822162</v>
      </c>
      <c r="AC399" s="507">
        <f>Port[[#This Row],[ECL_Interest (CNY)]]*Port[[#This Row],[CNY -&gt; FCY]]</f>
        <v>43.71659733856103</v>
      </c>
      <c r="AD399" s="507">
        <f>Port[[#This Row],[EAD_Drawn (CNY)]]*Port[[#This Row],[CNY -&gt; THB]]</f>
        <v>815237.36992800003</v>
      </c>
      <c r="AE399" s="507">
        <f>Port[[#This Row],[EAD_Undrawn (CNY)]]*Port[[#This Row],[CNY -&gt; THB]]</f>
        <v>0</v>
      </c>
      <c r="AF399" s="507">
        <f>Port[[#This Row],[EAD (CNY)]]*Port[[#This Row],[CNY -&gt; THB]]</f>
        <v>815237.36992800003</v>
      </c>
      <c r="AG399" s="507">
        <f>Port[[#This Row],[EAD_Interest (CNY)]]*Port[[#This Row],[CNY -&gt; THB]]</f>
        <v>12427.8462</v>
      </c>
      <c r="AH399" s="507">
        <f>Port[[#This Row],[ECL_Drawn (CNY)]]*Port[[#This Row],[CNY -&gt; THB]]</f>
        <v>15052.013023541296</v>
      </c>
      <c r="AI399" s="507">
        <f>Port[[#This Row],[ECL_Undrawn (CNY)]]*Port[[#This Row],[CNY -&gt; THB]]</f>
        <v>0</v>
      </c>
      <c r="AJ399" s="507">
        <f>Port[[#This Row],[ECL (CNY)]]*Port[[#This Row],[CNY -&gt; THB]]</f>
        <v>15052.013023541296</v>
      </c>
      <c r="AK399" s="507">
        <f>Port[[#This Row],[ECL_Interest (CNY)]]*Port[[#This Row],[CNY -&gt; THB]]</f>
        <v>229.45967611063915</v>
      </c>
      <c r="AL399" s="507">
        <f>Port[[#This Row],[EAD (THB)]]*Port[[#This Row],[PD_avg]]</f>
        <v>16724.458915045881</v>
      </c>
      <c r="AM399" s="507">
        <f>Port[[#This Row],[EAD_Interest (THB)]]*Port[[#This Row],[PD_avg]]</f>
        <v>254.95519567848791</v>
      </c>
      <c r="AN399" s="507">
        <f>Port[[#This Row],[EAD (THB)]]*Port[[#This Row],[LGD_avg]]</f>
        <v>733713.63293520012</v>
      </c>
      <c r="AO399" s="507">
        <f>Port[[#This Row],[EAD_Interest (THB)]]*Port[[#This Row],[LGD_avg]]</f>
        <v>11185.061580000001</v>
      </c>
      <c r="AP399" s="507">
        <f>Port[[#This Row],[EAD_Drawn (THB)]]+Port[[#This Row],[EAD_Interest (THB)]]</f>
        <v>827665.21612800006</v>
      </c>
      <c r="AQ39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12228.560548920001</v>
      </c>
      <c r="AR399" s="522">
        <f>MAX(Port[[#This Row],[ECL (THB)]]+Port[[#This Row],[ECL_Interest (THB)]], Port[[#This Row],[ECL CBIRC (THB)]])</f>
        <v>15281.472699651935</v>
      </c>
    </row>
    <row r="400" spans="1:44">
      <c r="A400" s="2" t="s">
        <v>1094</v>
      </c>
      <c r="B400" s="2" t="s">
        <v>1093</v>
      </c>
      <c r="C400" s="2" t="s">
        <v>328</v>
      </c>
      <c r="D400" s="2" t="s">
        <v>18</v>
      </c>
      <c r="E400" s="2" t="s">
        <v>19</v>
      </c>
      <c r="F400" s="2" t="s">
        <v>20</v>
      </c>
      <c r="G400" s="2" t="s">
        <v>21</v>
      </c>
      <c r="H400">
        <v>1</v>
      </c>
      <c r="I400" s="2" t="s">
        <v>526</v>
      </c>
      <c r="J400" s="505">
        <v>2.0514833509807026E-2</v>
      </c>
      <c r="K400" s="505">
        <v>0.9</v>
      </c>
      <c r="L400" s="3">
        <v>1</v>
      </c>
      <c r="M400" s="3">
        <v>5.2488000000000001</v>
      </c>
      <c r="N400" s="507">
        <v>21172.59</v>
      </c>
      <c r="O400" s="507">
        <v>0</v>
      </c>
      <c r="P400" s="507">
        <v>21172.59</v>
      </c>
      <c r="Q400" s="507">
        <v>322.76</v>
      </c>
      <c r="R400" s="507">
        <v>390.91694293926463</v>
      </c>
      <c r="S400" s="507">
        <v>0</v>
      </c>
      <c r="T400" s="507">
        <v>390.91694293926463</v>
      </c>
      <c r="U400" s="507">
        <v>5.9592308972627848</v>
      </c>
      <c r="V400" s="507">
        <f>Port[[#This Row],[EAD_Drawn (CNY)]]*Port[[#This Row],[CNY -&gt; FCY]]</f>
        <v>21172.59</v>
      </c>
      <c r="W400" s="507">
        <f>Port[[#This Row],[EAD_Undrawn (CNY)]]*Port[[#This Row],[CNY -&gt; FCY]]</f>
        <v>0</v>
      </c>
      <c r="X400" s="507">
        <f>Port[[#This Row],[EAD (CNY)]]*Port[[#This Row],[CNY -&gt; FCY]]</f>
        <v>21172.59</v>
      </c>
      <c r="Y400" s="507">
        <f>Port[[#This Row],[EAD_Interest (CNY)]]*Port[[#This Row],[CNY -&gt; FCY]]</f>
        <v>322.76</v>
      </c>
      <c r="Z400" s="507">
        <f>Port[[#This Row],[ECL_Drawn (CNY)]]*Port[[#This Row],[CNY -&gt; FCY]]</f>
        <v>390.91694293926463</v>
      </c>
      <c r="AA400" s="507">
        <f>Port[[#This Row],[ECL_Undrawn (CNY)]]*Port[[#This Row],[CNY -&gt; FCY]]</f>
        <v>0</v>
      </c>
      <c r="AB400" s="507">
        <f>Port[[#This Row],[ECL (CNY)]]*Port[[#This Row],[CNY -&gt; FCY]]</f>
        <v>390.91694293926463</v>
      </c>
      <c r="AC400" s="507">
        <f>Port[[#This Row],[ECL_Interest (CNY)]]*Port[[#This Row],[CNY -&gt; FCY]]</f>
        <v>5.9592308972627848</v>
      </c>
      <c r="AD400" s="507">
        <f>Port[[#This Row],[EAD_Drawn (CNY)]]*Port[[#This Row],[CNY -&gt; THB]]</f>
        <v>111130.690392</v>
      </c>
      <c r="AE400" s="507">
        <f>Port[[#This Row],[EAD_Undrawn (CNY)]]*Port[[#This Row],[CNY -&gt; THB]]</f>
        <v>0</v>
      </c>
      <c r="AF400" s="507">
        <f>Port[[#This Row],[EAD (CNY)]]*Port[[#This Row],[CNY -&gt; THB]]</f>
        <v>111130.690392</v>
      </c>
      <c r="AG400" s="507">
        <f>Port[[#This Row],[EAD_Interest (CNY)]]*Port[[#This Row],[CNY -&gt; THB]]</f>
        <v>1694.1026879999999</v>
      </c>
      <c r="AH400" s="507">
        <f>Port[[#This Row],[ECL_Drawn (CNY)]]*Port[[#This Row],[CNY -&gt; THB]]</f>
        <v>2051.8448500996124</v>
      </c>
      <c r="AI400" s="507">
        <f>Port[[#This Row],[ECL_Undrawn (CNY)]]*Port[[#This Row],[CNY -&gt; THB]]</f>
        <v>0</v>
      </c>
      <c r="AJ400" s="507">
        <f>Port[[#This Row],[ECL (CNY)]]*Port[[#This Row],[CNY -&gt; THB]]</f>
        <v>2051.8448500996124</v>
      </c>
      <c r="AK400" s="507">
        <f>Port[[#This Row],[ECL_Interest (CNY)]]*Port[[#This Row],[CNY -&gt; THB]]</f>
        <v>31.278811133552907</v>
      </c>
      <c r="AL400" s="507">
        <f>Port[[#This Row],[EAD (THB)]]*Port[[#This Row],[PD_avg]]</f>
        <v>2279.8276112217914</v>
      </c>
      <c r="AM400" s="507">
        <f>Port[[#This Row],[EAD_Interest (THB)]]*Port[[#This Row],[PD_avg]]</f>
        <v>34.754234592836553</v>
      </c>
      <c r="AN400" s="507">
        <f>Port[[#This Row],[EAD (THB)]]*Port[[#This Row],[LGD_avg]]</f>
        <v>100017.62135280001</v>
      </c>
      <c r="AO400" s="507">
        <f>Port[[#This Row],[EAD_Interest (THB)]]*Port[[#This Row],[LGD_avg]]</f>
        <v>1524.6924191999999</v>
      </c>
      <c r="AP400" s="507">
        <f>Port[[#This Row],[EAD_Drawn (THB)]]+Port[[#This Row],[EAD_Interest (THB)]]</f>
        <v>112824.79308</v>
      </c>
      <c r="AQ40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1666.96035588</v>
      </c>
      <c r="AR400" s="522">
        <f>MAX(Port[[#This Row],[ECL (THB)]]+Port[[#This Row],[ECL_Interest (THB)]], Port[[#This Row],[ECL CBIRC (THB)]])</f>
        <v>2083.1236612331654</v>
      </c>
    </row>
    <row r="401" spans="1:44">
      <c r="A401" s="2" t="s">
        <v>1095</v>
      </c>
      <c r="B401" s="2" t="s">
        <v>1096</v>
      </c>
      <c r="C401" s="2" t="s">
        <v>328</v>
      </c>
      <c r="D401" s="2" t="s">
        <v>18</v>
      </c>
      <c r="E401" s="2" t="s">
        <v>19</v>
      </c>
      <c r="F401" s="2" t="s">
        <v>20</v>
      </c>
      <c r="G401" s="2" t="s">
        <v>21</v>
      </c>
      <c r="H401">
        <v>1</v>
      </c>
      <c r="I401" s="2" t="s">
        <v>526</v>
      </c>
      <c r="J401" s="505">
        <v>2.0514833509807026E-2</v>
      </c>
      <c r="K401" s="505">
        <v>0.9</v>
      </c>
      <c r="L401" s="3">
        <v>1</v>
      </c>
      <c r="M401" s="3">
        <v>5.2488000000000001</v>
      </c>
      <c r="N401" s="507">
        <v>247401.93</v>
      </c>
      <c r="O401" s="507">
        <v>0</v>
      </c>
      <c r="P401" s="507">
        <v>247401.93</v>
      </c>
      <c r="Q401" s="507">
        <v>3838.85</v>
      </c>
      <c r="R401" s="507">
        <v>4567.8684635594391</v>
      </c>
      <c r="S401" s="507">
        <v>0</v>
      </c>
      <c r="T401" s="507">
        <v>4567.8684635594391</v>
      </c>
      <c r="U401" s="507">
        <v>70.878031757210437</v>
      </c>
      <c r="V401" s="507">
        <f>Port[[#This Row],[EAD_Drawn (CNY)]]*Port[[#This Row],[CNY -&gt; FCY]]</f>
        <v>247401.93</v>
      </c>
      <c r="W401" s="507">
        <f>Port[[#This Row],[EAD_Undrawn (CNY)]]*Port[[#This Row],[CNY -&gt; FCY]]</f>
        <v>0</v>
      </c>
      <c r="X401" s="507">
        <f>Port[[#This Row],[EAD (CNY)]]*Port[[#This Row],[CNY -&gt; FCY]]</f>
        <v>247401.93</v>
      </c>
      <c r="Y401" s="507">
        <f>Port[[#This Row],[EAD_Interest (CNY)]]*Port[[#This Row],[CNY -&gt; FCY]]</f>
        <v>3838.85</v>
      </c>
      <c r="Z401" s="507">
        <f>Port[[#This Row],[ECL_Drawn (CNY)]]*Port[[#This Row],[CNY -&gt; FCY]]</f>
        <v>4567.8684635594391</v>
      </c>
      <c r="AA401" s="507">
        <f>Port[[#This Row],[ECL_Undrawn (CNY)]]*Port[[#This Row],[CNY -&gt; FCY]]</f>
        <v>0</v>
      </c>
      <c r="AB401" s="507">
        <f>Port[[#This Row],[ECL (CNY)]]*Port[[#This Row],[CNY -&gt; FCY]]</f>
        <v>4567.8684635594391</v>
      </c>
      <c r="AC401" s="507">
        <f>Port[[#This Row],[ECL_Interest (CNY)]]*Port[[#This Row],[CNY -&gt; FCY]]</f>
        <v>70.878031757210437</v>
      </c>
      <c r="AD401" s="507">
        <f>Port[[#This Row],[EAD_Drawn (CNY)]]*Port[[#This Row],[CNY -&gt; THB]]</f>
        <v>1298563.250184</v>
      </c>
      <c r="AE401" s="507">
        <f>Port[[#This Row],[EAD_Undrawn (CNY)]]*Port[[#This Row],[CNY -&gt; THB]]</f>
        <v>0</v>
      </c>
      <c r="AF401" s="507">
        <f>Port[[#This Row],[EAD (CNY)]]*Port[[#This Row],[CNY -&gt; THB]]</f>
        <v>1298563.250184</v>
      </c>
      <c r="AG401" s="507">
        <f>Port[[#This Row],[EAD_Interest (CNY)]]*Port[[#This Row],[CNY -&gt; THB]]</f>
        <v>20149.355879999999</v>
      </c>
      <c r="AH401" s="507">
        <f>Port[[#This Row],[ECL_Drawn (CNY)]]*Port[[#This Row],[CNY -&gt; THB]]</f>
        <v>23975.827991530783</v>
      </c>
      <c r="AI401" s="507">
        <f>Port[[#This Row],[ECL_Undrawn (CNY)]]*Port[[#This Row],[CNY -&gt; THB]]</f>
        <v>0</v>
      </c>
      <c r="AJ401" s="507">
        <f>Port[[#This Row],[ECL (CNY)]]*Port[[#This Row],[CNY -&gt; THB]]</f>
        <v>23975.827991530783</v>
      </c>
      <c r="AK401" s="507">
        <f>Port[[#This Row],[ECL_Interest (CNY)]]*Port[[#This Row],[CNY -&gt; THB]]</f>
        <v>372.02461308724617</v>
      </c>
      <c r="AL401" s="507">
        <f>Port[[#This Row],[EAD (THB)]]*Port[[#This Row],[PD_avg]]</f>
        <v>26639.808879478649</v>
      </c>
      <c r="AM401" s="507">
        <f>Port[[#This Row],[EAD_Interest (THB)]]*Port[[#This Row],[PD_avg]]</f>
        <v>413.36068120805123</v>
      </c>
      <c r="AN401" s="507">
        <f>Port[[#This Row],[EAD (THB)]]*Port[[#This Row],[LGD_avg]]</f>
        <v>1168706.9251656001</v>
      </c>
      <c r="AO401" s="507">
        <f>Port[[#This Row],[EAD_Interest (THB)]]*Port[[#This Row],[LGD_avg]]</f>
        <v>18134.420291999999</v>
      </c>
      <c r="AP401" s="507">
        <f>Port[[#This Row],[EAD_Drawn (THB)]]+Port[[#This Row],[EAD_Interest (THB)]]</f>
        <v>1318712.6060639999</v>
      </c>
      <c r="AQ40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19478.448752759999</v>
      </c>
      <c r="AR401" s="522">
        <f>MAX(Port[[#This Row],[ECL (THB)]]+Port[[#This Row],[ECL_Interest (THB)]], Port[[#This Row],[ECL CBIRC (THB)]])</f>
        <v>24347.85260461803</v>
      </c>
    </row>
    <row r="402" spans="1:44">
      <c r="A402" s="2" t="s">
        <v>1097</v>
      </c>
      <c r="B402" s="2" t="s">
        <v>364</v>
      </c>
      <c r="C402" s="2" t="s">
        <v>328</v>
      </c>
      <c r="D402" s="2" t="s">
        <v>18</v>
      </c>
      <c r="E402" s="2" t="s">
        <v>19</v>
      </c>
      <c r="F402" s="2" t="s">
        <v>20</v>
      </c>
      <c r="G402" s="2" t="s">
        <v>21</v>
      </c>
      <c r="H402">
        <v>1</v>
      </c>
      <c r="I402" s="2" t="s">
        <v>526</v>
      </c>
      <c r="J402" s="505">
        <v>2.0514833509807026E-2</v>
      </c>
      <c r="K402" s="505">
        <v>0.9</v>
      </c>
      <c r="L402" s="3">
        <v>1</v>
      </c>
      <c r="M402" s="3">
        <v>5.2488000000000001</v>
      </c>
      <c r="N402" s="507">
        <v>24924.83</v>
      </c>
      <c r="O402" s="507">
        <v>0</v>
      </c>
      <c r="P402" s="507">
        <v>24924.83</v>
      </c>
      <c r="Q402" s="507">
        <v>386.75</v>
      </c>
      <c r="R402" s="507">
        <v>460.19586393921918</v>
      </c>
      <c r="S402" s="507">
        <v>0</v>
      </c>
      <c r="T402" s="507">
        <v>460.19586393921918</v>
      </c>
      <c r="U402" s="507">
        <v>7.140700673926081</v>
      </c>
      <c r="V402" s="507">
        <f>Port[[#This Row],[EAD_Drawn (CNY)]]*Port[[#This Row],[CNY -&gt; FCY]]</f>
        <v>24924.83</v>
      </c>
      <c r="W402" s="507">
        <f>Port[[#This Row],[EAD_Undrawn (CNY)]]*Port[[#This Row],[CNY -&gt; FCY]]</f>
        <v>0</v>
      </c>
      <c r="X402" s="507">
        <f>Port[[#This Row],[EAD (CNY)]]*Port[[#This Row],[CNY -&gt; FCY]]</f>
        <v>24924.83</v>
      </c>
      <c r="Y402" s="507">
        <f>Port[[#This Row],[EAD_Interest (CNY)]]*Port[[#This Row],[CNY -&gt; FCY]]</f>
        <v>386.75</v>
      </c>
      <c r="Z402" s="507">
        <f>Port[[#This Row],[ECL_Drawn (CNY)]]*Port[[#This Row],[CNY -&gt; FCY]]</f>
        <v>460.19586393921918</v>
      </c>
      <c r="AA402" s="507">
        <f>Port[[#This Row],[ECL_Undrawn (CNY)]]*Port[[#This Row],[CNY -&gt; FCY]]</f>
        <v>0</v>
      </c>
      <c r="AB402" s="507">
        <f>Port[[#This Row],[ECL (CNY)]]*Port[[#This Row],[CNY -&gt; FCY]]</f>
        <v>460.19586393921918</v>
      </c>
      <c r="AC402" s="507">
        <f>Port[[#This Row],[ECL_Interest (CNY)]]*Port[[#This Row],[CNY -&gt; FCY]]</f>
        <v>7.140700673926081</v>
      </c>
      <c r="AD402" s="507">
        <f>Port[[#This Row],[EAD_Drawn (CNY)]]*Port[[#This Row],[CNY -&gt; THB]]</f>
        <v>130825.44770400001</v>
      </c>
      <c r="AE402" s="507">
        <f>Port[[#This Row],[EAD_Undrawn (CNY)]]*Port[[#This Row],[CNY -&gt; THB]]</f>
        <v>0</v>
      </c>
      <c r="AF402" s="507">
        <f>Port[[#This Row],[EAD (CNY)]]*Port[[#This Row],[CNY -&gt; THB]]</f>
        <v>130825.44770400001</v>
      </c>
      <c r="AG402" s="507">
        <f>Port[[#This Row],[EAD_Interest (CNY)]]*Port[[#This Row],[CNY -&gt; THB]]</f>
        <v>2029.9734000000001</v>
      </c>
      <c r="AH402" s="507">
        <f>Port[[#This Row],[ECL_Drawn (CNY)]]*Port[[#This Row],[CNY -&gt; THB]]</f>
        <v>2415.4760506441735</v>
      </c>
      <c r="AI402" s="507">
        <f>Port[[#This Row],[ECL_Undrawn (CNY)]]*Port[[#This Row],[CNY -&gt; THB]]</f>
        <v>0</v>
      </c>
      <c r="AJ402" s="507">
        <f>Port[[#This Row],[ECL (CNY)]]*Port[[#This Row],[CNY -&gt; THB]]</f>
        <v>2415.4760506441735</v>
      </c>
      <c r="AK402" s="507">
        <f>Port[[#This Row],[ECL_Interest (CNY)]]*Port[[#This Row],[CNY -&gt; THB]]</f>
        <v>37.480109697303213</v>
      </c>
      <c r="AL402" s="507">
        <f>Port[[#This Row],[EAD (THB)]]*Port[[#This Row],[PD_avg]]</f>
        <v>2683.862278493526</v>
      </c>
      <c r="AM402" s="507">
        <f>Port[[#This Row],[EAD_Interest (THB)]]*Port[[#This Row],[PD_avg]]</f>
        <v>41.644566330336907</v>
      </c>
      <c r="AN402" s="507">
        <f>Port[[#This Row],[EAD (THB)]]*Port[[#This Row],[LGD_avg]]</f>
        <v>117742.90293360001</v>
      </c>
      <c r="AO402" s="507">
        <f>Port[[#This Row],[EAD_Interest (THB)]]*Port[[#This Row],[LGD_avg]]</f>
        <v>1826.9760600000002</v>
      </c>
      <c r="AP402" s="507">
        <f>Port[[#This Row],[EAD_Drawn (THB)]]+Port[[#This Row],[EAD_Interest (THB)]]</f>
        <v>132855.42110400001</v>
      </c>
      <c r="AQ40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1962.38171556</v>
      </c>
      <c r="AR402" s="522">
        <f>MAX(Port[[#This Row],[ECL (THB)]]+Port[[#This Row],[ECL_Interest (THB)]], Port[[#This Row],[ECL CBIRC (THB)]])</f>
        <v>2452.9561603414768</v>
      </c>
    </row>
    <row r="403" spans="1:44">
      <c r="A403" s="2" t="s">
        <v>1098</v>
      </c>
      <c r="B403" s="2" t="s">
        <v>1099</v>
      </c>
      <c r="C403" s="2" t="s">
        <v>328</v>
      </c>
      <c r="D403" s="2" t="s">
        <v>18</v>
      </c>
      <c r="E403" s="2" t="s">
        <v>19</v>
      </c>
      <c r="F403" s="2" t="s">
        <v>20</v>
      </c>
      <c r="G403" s="2" t="s">
        <v>21</v>
      </c>
      <c r="H403">
        <v>1</v>
      </c>
      <c r="I403" s="2" t="s">
        <v>526</v>
      </c>
      <c r="J403" s="505">
        <v>2.0514833509807026E-2</v>
      </c>
      <c r="K403" s="505">
        <v>0.90000000000000024</v>
      </c>
      <c r="L403" s="3">
        <v>1</v>
      </c>
      <c r="M403" s="3">
        <v>5.2488000000000001</v>
      </c>
      <c r="N403" s="507">
        <v>14993.11</v>
      </c>
      <c r="O403" s="507">
        <v>0</v>
      </c>
      <c r="P403" s="507">
        <v>14993.11</v>
      </c>
      <c r="Q403" s="507">
        <v>232.64</v>
      </c>
      <c r="R403" s="507">
        <v>276.82303989980062</v>
      </c>
      <c r="S403" s="507">
        <v>0</v>
      </c>
      <c r="T403" s="507">
        <v>276.82303989980062</v>
      </c>
      <c r="U403" s="507">
        <v>4.2953137809493569</v>
      </c>
      <c r="V403" s="507">
        <f>Port[[#This Row],[EAD_Drawn (CNY)]]*Port[[#This Row],[CNY -&gt; FCY]]</f>
        <v>14993.11</v>
      </c>
      <c r="W403" s="507">
        <f>Port[[#This Row],[EAD_Undrawn (CNY)]]*Port[[#This Row],[CNY -&gt; FCY]]</f>
        <v>0</v>
      </c>
      <c r="X403" s="507">
        <f>Port[[#This Row],[EAD (CNY)]]*Port[[#This Row],[CNY -&gt; FCY]]</f>
        <v>14993.11</v>
      </c>
      <c r="Y403" s="507">
        <f>Port[[#This Row],[EAD_Interest (CNY)]]*Port[[#This Row],[CNY -&gt; FCY]]</f>
        <v>232.64</v>
      </c>
      <c r="Z403" s="507">
        <f>Port[[#This Row],[ECL_Drawn (CNY)]]*Port[[#This Row],[CNY -&gt; FCY]]</f>
        <v>276.82303989980062</v>
      </c>
      <c r="AA403" s="507">
        <f>Port[[#This Row],[ECL_Undrawn (CNY)]]*Port[[#This Row],[CNY -&gt; FCY]]</f>
        <v>0</v>
      </c>
      <c r="AB403" s="507">
        <f>Port[[#This Row],[ECL (CNY)]]*Port[[#This Row],[CNY -&gt; FCY]]</f>
        <v>276.82303989980062</v>
      </c>
      <c r="AC403" s="507">
        <f>Port[[#This Row],[ECL_Interest (CNY)]]*Port[[#This Row],[CNY -&gt; FCY]]</f>
        <v>4.2953137809493569</v>
      </c>
      <c r="AD403" s="507">
        <f>Port[[#This Row],[EAD_Drawn (CNY)]]*Port[[#This Row],[CNY -&gt; THB]]</f>
        <v>78695.835768000004</v>
      </c>
      <c r="AE403" s="507">
        <f>Port[[#This Row],[EAD_Undrawn (CNY)]]*Port[[#This Row],[CNY -&gt; THB]]</f>
        <v>0</v>
      </c>
      <c r="AF403" s="507">
        <f>Port[[#This Row],[EAD (CNY)]]*Port[[#This Row],[CNY -&gt; THB]]</f>
        <v>78695.835768000004</v>
      </c>
      <c r="AG403" s="507">
        <f>Port[[#This Row],[EAD_Interest (CNY)]]*Port[[#This Row],[CNY -&gt; THB]]</f>
        <v>1221.0808319999999</v>
      </c>
      <c r="AH403" s="507">
        <f>Port[[#This Row],[ECL_Drawn (CNY)]]*Port[[#This Row],[CNY -&gt; THB]]</f>
        <v>1452.9887718260736</v>
      </c>
      <c r="AI403" s="507">
        <f>Port[[#This Row],[ECL_Undrawn (CNY)]]*Port[[#This Row],[CNY -&gt; THB]]</f>
        <v>0</v>
      </c>
      <c r="AJ403" s="507">
        <f>Port[[#This Row],[ECL (CNY)]]*Port[[#This Row],[CNY -&gt; THB]]</f>
        <v>1452.9887718260736</v>
      </c>
      <c r="AK403" s="507">
        <f>Port[[#This Row],[ECL_Interest (CNY)]]*Port[[#This Row],[CNY -&gt; THB]]</f>
        <v>22.545242973446985</v>
      </c>
      <c r="AL403" s="507">
        <f>Port[[#This Row],[EAD (THB)]]*Port[[#This Row],[PD_avg]]</f>
        <v>1614.4319686956369</v>
      </c>
      <c r="AM403" s="507">
        <f>Port[[#This Row],[EAD_Interest (THB)]]*Port[[#This Row],[PD_avg]]</f>
        <v>25.05026997049664</v>
      </c>
      <c r="AN403" s="507">
        <f>Port[[#This Row],[EAD (THB)]]*Port[[#This Row],[LGD_avg]]</f>
        <v>70826.252191200023</v>
      </c>
      <c r="AO403" s="507">
        <f>Port[[#This Row],[EAD_Interest (THB)]]*Port[[#This Row],[LGD_avg]]</f>
        <v>1098.9727488000001</v>
      </c>
      <c r="AP403" s="507">
        <f>Port[[#This Row],[EAD_Drawn (THB)]]+Port[[#This Row],[EAD_Interest (THB)]]</f>
        <v>79916.916600000011</v>
      </c>
      <c r="AQ40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1180.4375365200001</v>
      </c>
      <c r="AR403" s="522">
        <f>MAX(Port[[#This Row],[ECL (THB)]]+Port[[#This Row],[ECL_Interest (THB)]], Port[[#This Row],[ECL CBIRC (THB)]])</f>
        <v>1475.5340147995205</v>
      </c>
    </row>
    <row r="404" spans="1:44">
      <c r="A404" s="2" t="s">
        <v>1100</v>
      </c>
      <c r="B404" s="2" t="s">
        <v>361</v>
      </c>
      <c r="C404" s="2" t="s">
        <v>328</v>
      </c>
      <c r="D404" s="2" t="s">
        <v>18</v>
      </c>
      <c r="E404" s="2" t="s">
        <v>19</v>
      </c>
      <c r="F404" s="2" t="s">
        <v>20</v>
      </c>
      <c r="G404" s="2" t="s">
        <v>21</v>
      </c>
      <c r="H404">
        <v>1</v>
      </c>
      <c r="I404" s="2" t="s">
        <v>526</v>
      </c>
      <c r="J404" s="505">
        <v>2.0514833509807026E-2</v>
      </c>
      <c r="K404" s="505">
        <v>0.9</v>
      </c>
      <c r="L404" s="3">
        <v>1</v>
      </c>
      <c r="M404" s="3">
        <v>5.2488000000000001</v>
      </c>
      <c r="N404" s="507">
        <v>964070.96</v>
      </c>
      <c r="O404" s="507">
        <v>0</v>
      </c>
      <c r="P404" s="507">
        <v>964070.96</v>
      </c>
      <c r="Q404" s="507">
        <v>14959.17</v>
      </c>
      <c r="R404" s="507">
        <v>17799.979712435845</v>
      </c>
      <c r="S404" s="507">
        <v>0</v>
      </c>
      <c r="T404" s="507">
        <v>17799.979712435845</v>
      </c>
      <c r="U404" s="507">
        <v>276.19639379540996</v>
      </c>
      <c r="V404" s="507">
        <f>Port[[#This Row],[EAD_Drawn (CNY)]]*Port[[#This Row],[CNY -&gt; FCY]]</f>
        <v>964070.96</v>
      </c>
      <c r="W404" s="507">
        <f>Port[[#This Row],[EAD_Undrawn (CNY)]]*Port[[#This Row],[CNY -&gt; FCY]]</f>
        <v>0</v>
      </c>
      <c r="X404" s="507">
        <f>Port[[#This Row],[EAD (CNY)]]*Port[[#This Row],[CNY -&gt; FCY]]</f>
        <v>964070.96</v>
      </c>
      <c r="Y404" s="507">
        <f>Port[[#This Row],[EAD_Interest (CNY)]]*Port[[#This Row],[CNY -&gt; FCY]]</f>
        <v>14959.17</v>
      </c>
      <c r="Z404" s="507">
        <f>Port[[#This Row],[ECL_Drawn (CNY)]]*Port[[#This Row],[CNY -&gt; FCY]]</f>
        <v>17799.979712435845</v>
      </c>
      <c r="AA404" s="507">
        <f>Port[[#This Row],[ECL_Undrawn (CNY)]]*Port[[#This Row],[CNY -&gt; FCY]]</f>
        <v>0</v>
      </c>
      <c r="AB404" s="507">
        <f>Port[[#This Row],[ECL (CNY)]]*Port[[#This Row],[CNY -&gt; FCY]]</f>
        <v>17799.979712435845</v>
      </c>
      <c r="AC404" s="507">
        <f>Port[[#This Row],[ECL_Interest (CNY)]]*Port[[#This Row],[CNY -&gt; FCY]]</f>
        <v>276.19639379540996</v>
      </c>
      <c r="AD404" s="507">
        <f>Port[[#This Row],[EAD_Drawn (CNY)]]*Port[[#This Row],[CNY -&gt; THB]]</f>
        <v>5060215.654848</v>
      </c>
      <c r="AE404" s="507">
        <f>Port[[#This Row],[EAD_Undrawn (CNY)]]*Port[[#This Row],[CNY -&gt; THB]]</f>
        <v>0</v>
      </c>
      <c r="AF404" s="507">
        <f>Port[[#This Row],[EAD (CNY)]]*Port[[#This Row],[CNY -&gt; THB]]</f>
        <v>5060215.654848</v>
      </c>
      <c r="AG404" s="507">
        <f>Port[[#This Row],[EAD_Interest (CNY)]]*Port[[#This Row],[CNY -&gt; THB]]</f>
        <v>78517.691495999999</v>
      </c>
      <c r="AH404" s="507">
        <f>Port[[#This Row],[ECL_Drawn (CNY)]]*Port[[#This Row],[CNY -&gt; THB]]</f>
        <v>93428.533514633265</v>
      </c>
      <c r="AI404" s="507">
        <f>Port[[#This Row],[ECL_Undrawn (CNY)]]*Port[[#This Row],[CNY -&gt; THB]]</f>
        <v>0</v>
      </c>
      <c r="AJ404" s="507">
        <f>Port[[#This Row],[ECL (CNY)]]*Port[[#This Row],[CNY -&gt; THB]]</f>
        <v>93428.533514633265</v>
      </c>
      <c r="AK404" s="507">
        <f>Port[[#This Row],[ECL_Interest (CNY)]]*Port[[#This Row],[CNY -&gt; THB]]</f>
        <v>1449.6996317533478</v>
      </c>
      <c r="AL404" s="507">
        <f>Port[[#This Row],[EAD (THB)]]*Port[[#This Row],[PD_avg]]</f>
        <v>103809.48168292585</v>
      </c>
      <c r="AM404" s="507">
        <f>Port[[#This Row],[EAD_Interest (THB)]]*Port[[#This Row],[PD_avg]]</f>
        <v>1610.7773686148309</v>
      </c>
      <c r="AN404" s="507">
        <f>Port[[#This Row],[EAD (THB)]]*Port[[#This Row],[LGD_avg]]</f>
        <v>4554194.0893632006</v>
      </c>
      <c r="AO404" s="507">
        <f>Port[[#This Row],[EAD_Interest (THB)]]*Port[[#This Row],[LGD_avg]]</f>
        <v>70665.922346399995</v>
      </c>
      <c r="AP404" s="507">
        <f>Port[[#This Row],[EAD_Drawn (THB)]]+Port[[#This Row],[EAD_Interest (THB)]]</f>
        <v>5138733.3463439997</v>
      </c>
      <c r="AQ40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75903.234822719998</v>
      </c>
      <c r="AR404" s="522">
        <f>MAX(Port[[#This Row],[ECL (THB)]]+Port[[#This Row],[ECL_Interest (THB)]], Port[[#This Row],[ECL CBIRC (THB)]])</f>
        <v>94878.233146386614</v>
      </c>
    </row>
    <row r="405" spans="1:44">
      <c r="A405" s="2" t="s">
        <v>1101</v>
      </c>
      <c r="B405" s="2" t="s">
        <v>361</v>
      </c>
      <c r="C405" s="2" t="s">
        <v>328</v>
      </c>
      <c r="D405" s="2" t="s">
        <v>18</v>
      </c>
      <c r="E405" s="2" t="s">
        <v>19</v>
      </c>
      <c r="F405" s="2" t="s">
        <v>20</v>
      </c>
      <c r="G405" s="2" t="s">
        <v>21</v>
      </c>
      <c r="H405">
        <v>1</v>
      </c>
      <c r="I405" s="2" t="s">
        <v>526</v>
      </c>
      <c r="J405" s="505">
        <v>2.0514833509807026E-2</v>
      </c>
      <c r="K405" s="505">
        <v>0.90000000000000024</v>
      </c>
      <c r="L405" s="3">
        <v>1</v>
      </c>
      <c r="M405" s="3">
        <v>5.2488000000000001</v>
      </c>
      <c r="N405" s="507">
        <v>311534.33</v>
      </c>
      <c r="O405" s="507">
        <v>0</v>
      </c>
      <c r="P405" s="507">
        <v>311534.33</v>
      </c>
      <c r="Q405" s="507">
        <v>4833.97</v>
      </c>
      <c r="R405" s="507">
        <v>5751.9674212853533</v>
      </c>
      <c r="S405" s="507">
        <v>0</v>
      </c>
      <c r="T405" s="507">
        <v>5751.9674212853533</v>
      </c>
      <c r="U405" s="507">
        <v>89.251280767261704</v>
      </c>
      <c r="V405" s="507">
        <f>Port[[#This Row],[EAD_Drawn (CNY)]]*Port[[#This Row],[CNY -&gt; FCY]]</f>
        <v>311534.33</v>
      </c>
      <c r="W405" s="507">
        <f>Port[[#This Row],[EAD_Undrawn (CNY)]]*Port[[#This Row],[CNY -&gt; FCY]]</f>
        <v>0</v>
      </c>
      <c r="X405" s="507">
        <f>Port[[#This Row],[EAD (CNY)]]*Port[[#This Row],[CNY -&gt; FCY]]</f>
        <v>311534.33</v>
      </c>
      <c r="Y405" s="507">
        <f>Port[[#This Row],[EAD_Interest (CNY)]]*Port[[#This Row],[CNY -&gt; FCY]]</f>
        <v>4833.97</v>
      </c>
      <c r="Z405" s="507">
        <f>Port[[#This Row],[ECL_Drawn (CNY)]]*Port[[#This Row],[CNY -&gt; FCY]]</f>
        <v>5751.9674212853533</v>
      </c>
      <c r="AA405" s="507">
        <f>Port[[#This Row],[ECL_Undrawn (CNY)]]*Port[[#This Row],[CNY -&gt; FCY]]</f>
        <v>0</v>
      </c>
      <c r="AB405" s="507">
        <f>Port[[#This Row],[ECL (CNY)]]*Port[[#This Row],[CNY -&gt; FCY]]</f>
        <v>5751.9674212853533</v>
      </c>
      <c r="AC405" s="507">
        <f>Port[[#This Row],[ECL_Interest (CNY)]]*Port[[#This Row],[CNY -&gt; FCY]]</f>
        <v>89.251280767261704</v>
      </c>
      <c r="AD405" s="507">
        <f>Port[[#This Row],[EAD_Drawn (CNY)]]*Port[[#This Row],[CNY -&gt; THB]]</f>
        <v>1635181.391304</v>
      </c>
      <c r="AE405" s="507">
        <f>Port[[#This Row],[EAD_Undrawn (CNY)]]*Port[[#This Row],[CNY -&gt; THB]]</f>
        <v>0</v>
      </c>
      <c r="AF405" s="507">
        <f>Port[[#This Row],[EAD (CNY)]]*Port[[#This Row],[CNY -&gt; THB]]</f>
        <v>1635181.391304</v>
      </c>
      <c r="AG405" s="507">
        <f>Port[[#This Row],[EAD_Interest (CNY)]]*Port[[#This Row],[CNY -&gt; THB]]</f>
        <v>25372.541736000003</v>
      </c>
      <c r="AH405" s="507">
        <f>Port[[#This Row],[ECL_Drawn (CNY)]]*Port[[#This Row],[CNY -&gt; THB]]</f>
        <v>30190.926600842562</v>
      </c>
      <c r="AI405" s="507">
        <f>Port[[#This Row],[ECL_Undrawn (CNY)]]*Port[[#This Row],[CNY -&gt; THB]]</f>
        <v>0</v>
      </c>
      <c r="AJ405" s="507">
        <f>Port[[#This Row],[ECL (CNY)]]*Port[[#This Row],[CNY -&gt; THB]]</f>
        <v>30190.926600842562</v>
      </c>
      <c r="AK405" s="507">
        <f>Port[[#This Row],[ECL_Interest (CNY)]]*Port[[#This Row],[CNY -&gt; THB]]</f>
        <v>468.46212249120322</v>
      </c>
      <c r="AL405" s="507">
        <f>Port[[#This Row],[EAD (THB)]]*Port[[#This Row],[PD_avg]]</f>
        <v>33545.474000936178</v>
      </c>
      <c r="AM405" s="507">
        <f>Port[[#This Row],[EAD_Interest (THB)]]*Port[[#This Row],[PD_avg]]</f>
        <v>520.51346943467024</v>
      </c>
      <c r="AN405" s="507">
        <f>Port[[#This Row],[EAD (THB)]]*Port[[#This Row],[LGD_avg]]</f>
        <v>1471663.2521736005</v>
      </c>
      <c r="AO405" s="507">
        <f>Port[[#This Row],[EAD_Interest (THB)]]*Port[[#This Row],[LGD_avg]]</f>
        <v>22835.287562400008</v>
      </c>
      <c r="AP405" s="507">
        <f>Port[[#This Row],[EAD_Drawn (THB)]]+Port[[#This Row],[EAD_Interest (THB)]]</f>
        <v>1660553.93304</v>
      </c>
      <c r="AQ40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24527.720869559998</v>
      </c>
      <c r="AR405" s="522">
        <f>MAX(Port[[#This Row],[ECL (THB)]]+Port[[#This Row],[ECL_Interest (THB)]], Port[[#This Row],[ECL CBIRC (THB)]])</f>
        <v>30659.388723333766</v>
      </c>
    </row>
    <row r="406" spans="1:44">
      <c r="A406" s="2" t="s">
        <v>1102</v>
      </c>
      <c r="B406" s="2" t="s">
        <v>347</v>
      </c>
      <c r="C406" s="2" t="s">
        <v>328</v>
      </c>
      <c r="D406" s="2" t="s">
        <v>348</v>
      </c>
      <c r="E406" s="2" t="s">
        <v>19</v>
      </c>
      <c r="F406" s="2" t="s">
        <v>20</v>
      </c>
      <c r="G406" s="2" t="s">
        <v>21</v>
      </c>
      <c r="H406">
        <v>1</v>
      </c>
      <c r="I406" s="2" t="s">
        <v>526</v>
      </c>
      <c r="J406" s="505">
        <v>2.0514833509807026E-2</v>
      </c>
      <c r="K406" s="505">
        <v>0.9</v>
      </c>
      <c r="L406" s="3">
        <v>1</v>
      </c>
      <c r="M406" s="3">
        <v>5.2488000000000001</v>
      </c>
      <c r="N406" s="507">
        <v>574447.55000000005</v>
      </c>
      <c r="O406" s="507">
        <v>0</v>
      </c>
      <c r="P406" s="507">
        <v>574447.55000000005</v>
      </c>
      <c r="Q406" s="507">
        <v>8913.51</v>
      </c>
      <c r="R406" s="507">
        <v>10606.226263529894</v>
      </c>
      <c r="S406" s="507">
        <v>0</v>
      </c>
      <c r="T406" s="507">
        <v>10606.226263529894</v>
      </c>
      <c r="U406" s="507">
        <v>164.57325627420002</v>
      </c>
      <c r="V406" s="507">
        <f>Port[[#This Row],[EAD_Drawn (CNY)]]*Port[[#This Row],[CNY -&gt; FCY]]</f>
        <v>574447.55000000005</v>
      </c>
      <c r="W406" s="507">
        <f>Port[[#This Row],[EAD_Undrawn (CNY)]]*Port[[#This Row],[CNY -&gt; FCY]]</f>
        <v>0</v>
      </c>
      <c r="X406" s="507">
        <f>Port[[#This Row],[EAD (CNY)]]*Port[[#This Row],[CNY -&gt; FCY]]</f>
        <v>574447.55000000005</v>
      </c>
      <c r="Y406" s="507">
        <f>Port[[#This Row],[EAD_Interest (CNY)]]*Port[[#This Row],[CNY -&gt; FCY]]</f>
        <v>8913.51</v>
      </c>
      <c r="Z406" s="507">
        <f>Port[[#This Row],[ECL_Drawn (CNY)]]*Port[[#This Row],[CNY -&gt; FCY]]</f>
        <v>10606.226263529894</v>
      </c>
      <c r="AA406" s="507">
        <f>Port[[#This Row],[ECL_Undrawn (CNY)]]*Port[[#This Row],[CNY -&gt; FCY]]</f>
        <v>0</v>
      </c>
      <c r="AB406" s="507">
        <f>Port[[#This Row],[ECL (CNY)]]*Port[[#This Row],[CNY -&gt; FCY]]</f>
        <v>10606.226263529894</v>
      </c>
      <c r="AC406" s="507">
        <f>Port[[#This Row],[ECL_Interest (CNY)]]*Port[[#This Row],[CNY -&gt; FCY]]</f>
        <v>164.57325627420002</v>
      </c>
      <c r="AD406" s="507">
        <f>Port[[#This Row],[EAD_Drawn (CNY)]]*Port[[#This Row],[CNY -&gt; THB]]</f>
        <v>3015160.3004400004</v>
      </c>
      <c r="AE406" s="507">
        <f>Port[[#This Row],[EAD_Undrawn (CNY)]]*Port[[#This Row],[CNY -&gt; THB]]</f>
        <v>0</v>
      </c>
      <c r="AF406" s="507">
        <f>Port[[#This Row],[EAD (CNY)]]*Port[[#This Row],[CNY -&gt; THB]]</f>
        <v>3015160.3004400004</v>
      </c>
      <c r="AG406" s="507">
        <f>Port[[#This Row],[EAD_Interest (CNY)]]*Port[[#This Row],[CNY -&gt; THB]]</f>
        <v>46785.231288000003</v>
      </c>
      <c r="AH406" s="507">
        <f>Port[[#This Row],[ECL_Drawn (CNY)]]*Port[[#This Row],[CNY -&gt; THB]]</f>
        <v>55669.960412015709</v>
      </c>
      <c r="AI406" s="507">
        <f>Port[[#This Row],[ECL_Undrawn (CNY)]]*Port[[#This Row],[CNY -&gt; THB]]</f>
        <v>0</v>
      </c>
      <c r="AJ406" s="507">
        <f>Port[[#This Row],[ECL (CNY)]]*Port[[#This Row],[CNY -&gt; THB]]</f>
        <v>55669.960412015709</v>
      </c>
      <c r="AK406" s="507">
        <f>Port[[#This Row],[ECL_Interest (CNY)]]*Port[[#This Row],[CNY -&gt; THB]]</f>
        <v>863.81210753202106</v>
      </c>
      <c r="AL406" s="507">
        <f>Port[[#This Row],[EAD (THB)]]*Port[[#This Row],[PD_avg]]</f>
        <v>61855.511568906339</v>
      </c>
      <c r="AM406" s="507">
        <f>Port[[#This Row],[EAD_Interest (THB)]]*Port[[#This Row],[PD_avg]]</f>
        <v>959.79123059113454</v>
      </c>
      <c r="AN406" s="507">
        <f>Port[[#This Row],[EAD (THB)]]*Port[[#This Row],[LGD_avg]]</f>
        <v>2713644.2703960002</v>
      </c>
      <c r="AO406" s="507">
        <f>Port[[#This Row],[EAD_Interest (THB)]]*Port[[#This Row],[LGD_avg]]</f>
        <v>42106.708159200003</v>
      </c>
      <c r="AP406" s="507">
        <f>Port[[#This Row],[EAD_Drawn (THB)]]+Port[[#This Row],[EAD_Interest (THB)]]</f>
        <v>3061945.5317280004</v>
      </c>
      <c r="AQ40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45227.404506600004</v>
      </c>
      <c r="AR406" s="522">
        <f>MAX(Port[[#This Row],[ECL (THB)]]+Port[[#This Row],[ECL_Interest (THB)]], Port[[#This Row],[ECL CBIRC (THB)]])</f>
        <v>56533.772519547732</v>
      </c>
    </row>
    <row r="407" spans="1:44">
      <c r="A407" s="2" t="s">
        <v>1103</v>
      </c>
      <c r="B407" s="2" t="s">
        <v>365</v>
      </c>
      <c r="C407" s="2" t="s">
        <v>328</v>
      </c>
      <c r="D407" s="2" t="s">
        <v>18</v>
      </c>
      <c r="E407" s="2" t="s">
        <v>19</v>
      </c>
      <c r="F407" s="2" t="s">
        <v>20</v>
      </c>
      <c r="G407" s="2" t="s">
        <v>21</v>
      </c>
      <c r="H407">
        <v>1</v>
      </c>
      <c r="I407" s="2" t="s">
        <v>526</v>
      </c>
      <c r="J407" s="505">
        <v>2.0514833509807026E-2</v>
      </c>
      <c r="K407" s="505">
        <v>0.90000000000000013</v>
      </c>
      <c r="L407" s="3">
        <v>1</v>
      </c>
      <c r="M407" s="3">
        <v>5.2488000000000001</v>
      </c>
      <c r="N407" s="507">
        <v>133221.22</v>
      </c>
      <c r="O407" s="507">
        <v>0</v>
      </c>
      <c r="P407" s="507">
        <v>133221.22</v>
      </c>
      <c r="Q407" s="507">
        <v>2067.15</v>
      </c>
      <c r="R407" s="507">
        <v>2459.710033446037</v>
      </c>
      <c r="S407" s="507">
        <v>0</v>
      </c>
      <c r="T407" s="507">
        <v>2459.710033446037</v>
      </c>
      <c r="U407" s="507">
        <v>38.166514280817843</v>
      </c>
      <c r="V407" s="507">
        <f>Port[[#This Row],[EAD_Drawn (CNY)]]*Port[[#This Row],[CNY -&gt; FCY]]</f>
        <v>133221.22</v>
      </c>
      <c r="W407" s="507">
        <f>Port[[#This Row],[EAD_Undrawn (CNY)]]*Port[[#This Row],[CNY -&gt; FCY]]</f>
        <v>0</v>
      </c>
      <c r="X407" s="507">
        <f>Port[[#This Row],[EAD (CNY)]]*Port[[#This Row],[CNY -&gt; FCY]]</f>
        <v>133221.22</v>
      </c>
      <c r="Y407" s="507">
        <f>Port[[#This Row],[EAD_Interest (CNY)]]*Port[[#This Row],[CNY -&gt; FCY]]</f>
        <v>2067.15</v>
      </c>
      <c r="Z407" s="507">
        <f>Port[[#This Row],[ECL_Drawn (CNY)]]*Port[[#This Row],[CNY -&gt; FCY]]</f>
        <v>2459.710033446037</v>
      </c>
      <c r="AA407" s="507">
        <f>Port[[#This Row],[ECL_Undrawn (CNY)]]*Port[[#This Row],[CNY -&gt; FCY]]</f>
        <v>0</v>
      </c>
      <c r="AB407" s="507">
        <f>Port[[#This Row],[ECL (CNY)]]*Port[[#This Row],[CNY -&gt; FCY]]</f>
        <v>2459.710033446037</v>
      </c>
      <c r="AC407" s="507">
        <f>Port[[#This Row],[ECL_Interest (CNY)]]*Port[[#This Row],[CNY -&gt; FCY]]</f>
        <v>38.166514280817843</v>
      </c>
      <c r="AD407" s="507">
        <f>Port[[#This Row],[EAD_Drawn (CNY)]]*Port[[#This Row],[CNY -&gt; THB]]</f>
        <v>699251.539536</v>
      </c>
      <c r="AE407" s="507">
        <f>Port[[#This Row],[EAD_Undrawn (CNY)]]*Port[[#This Row],[CNY -&gt; THB]]</f>
        <v>0</v>
      </c>
      <c r="AF407" s="507">
        <f>Port[[#This Row],[EAD (CNY)]]*Port[[#This Row],[CNY -&gt; THB]]</f>
        <v>699251.539536</v>
      </c>
      <c r="AG407" s="507">
        <f>Port[[#This Row],[EAD_Interest (CNY)]]*Port[[#This Row],[CNY -&gt; THB]]</f>
        <v>10850.056920000001</v>
      </c>
      <c r="AH407" s="507">
        <f>Port[[#This Row],[ECL_Drawn (CNY)]]*Port[[#This Row],[CNY -&gt; THB]]</f>
        <v>12910.52602355156</v>
      </c>
      <c r="AI407" s="507">
        <f>Port[[#This Row],[ECL_Undrawn (CNY)]]*Port[[#This Row],[CNY -&gt; THB]]</f>
        <v>0</v>
      </c>
      <c r="AJ407" s="507">
        <f>Port[[#This Row],[ECL (CNY)]]*Port[[#This Row],[CNY -&gt; THB]]</f>
        <v>12910.52602355156</v>
      </c>
      <c r="AK407" s="507">
        <f>Port[[#This Row],[ECL_Interest (CNY)]]*Port[[#This Row],[CNY -&gt; THB]]</f>
        <v>200.32840015715669</v>
      </c>
      <c r="AL407" s="507">
        <f>Port[[#This Row],[EAD (THB)]]*Port[[#This Row],[PD_avg]]</f>
        <v>14345.028915057286</v>
      </c>
      <c r="AM407" s="507">
        <f>Port[[#This Row],[EAD_Interest (THB)]]*Port[[#This Row],[PD_avg]]</f>
        <v>222.58711128572963</v>
      </c>
      <c r="AN407" s="507">
        <f>Port[[#This Row],[EAD (THB)]]*Port[[#This Row],[LGD_avg]]</f>
        <v>629326.38558240014</v>
      </c>
      <c r="AO407" s="507">
        <f>Port[[#This Row],[EAD_Interest (THB)]]*Port[[#This Row],[LGD_avg]]</f>
        <v>9765.0512280000021</v>
      </c>
      <c r="AP407" s="507">
        <f>Port[[#This Row],[EAD_Drawn (THB)]]+Port[[#This Row],[EAD_Interest (THB)]]</f>
        <v>710101.596456</v>
      </c>
      <c r="AQ40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10488.773093039999</v>
      </c>
      <c r="AR407" s="522">
        <f>MAX(Port[[#This Row],[ECL (THB)]]+Port[[#This Row],[ECL_Interest (THB)]], Port[[#This Row],[ECL CBIRC (THB)]])</f>
        <v>13110.854423708717</v>
      </c>
    </row>
    <row r="408" spans="1:44">
      <c r="A408" s="2" t="s">
        <v>1104</v>
      </c>
      <c r="B408" s="2" t="s">
        <v>362</v>
      </c>
      <c r="C408" s="2" t="s">
        <v>328</v>
      </c>
      <c r="D408" s="2" t="s">
        <v>18</v>
      </c>
      <c r="E408" s="2" t="s">
        <v>19</v>
      </c>
      <c r="F408" s="2" t="s">
        <v>20</v>
      </c>
      <c r="G408" s="2" t="s">
        <v>21</v>
      </c>
      <c r="H408">
        <v>1</v>
      </c>
      <c r="I408" s="2" t="s">
        <v>526</v>
      </c>
      <c r="J408" s="505">
        <v>2.0514833509807026E-2</v>
      </c>
      <c r="K408" s="505">
        <v>0.90000000000000024</v>
      </c>
      <c r="L408" s="3">
        <v>1</v>
      </c>
      <c r="M408" s="3">
        <v>5.2488000000000001</v>
      </c>
      <c r="N408" s="507">
        <v>384182.35</v>
      </c>
      <c r="O408" s="507">
        <v>0</v>
      </c>
      <c r="P408" s="507">
        <v>384182.35</v>
      </c>
      <c r="Q408" s="507">
        <v>5961.23</v>
      </c>
      <c r="R408" s="507">
        <v>7093.2932528907713</v>
      </c>
      <c r="S408" s="507">
        <v>0</v>
      </c>
      <c r="T408" s="507">
        <v>7093.2932528907713</v>
      </c>
      <c r="U408" s="507">
        <v>110.06427686730025</v>
      </c>
      <c r="V408" s="507">
        <f>Port[[#This Row],[EAD_Drawn (CNY)]]*Port[[#This Row],[CNY -&gt; FCY]]</f>
        <v>384182.35</v>
      </c>
      <c r="W408" s="507">
        <f>Port[[#This Row],[EAD_Undrawn (CNY)]]*Port[[#This Row],[CNY -&gt; FCY]]</f>
        <v>0</v>
      </c>
      <c r="X408" s="507">
        <f>Port[[#This Row],[EAD (CNY)]]*Port[[#This Row],[CNY -&gt; FCY]]</f>
        <v>384182.35</v>
      </c>
      <c r="Y408" s="507">
        <f>Port[[#This Row],[EAD_Interest (CNY)]]*Port[[#This Row],[CNY -&gt; FCY]]</f>
        <v>5961.23</v>
      </c>
      <c r="Z408" s="507">
        <f>Port[[#This Row],[ECL_Drawn (CNY)]]*Port[[#This Row],[CNY -&gt; FCY]]</f>
        <v>7093.2932528907713</v>
      </c>
      <c r="AA408" s="507">
        <f>Port[[#This Row],[ECL_Undrawn (CNY)]]*Port[[#This Row],[CNY -&gt; FCY]]</f>
        <v>0</v>
      </c>
      <c r="AB408" s="507">
        <f>Port[[#This Row],[ECL (CNY)]]*Port[[#This Row],[CNY -&gt; FCY]]</f>
        <v>7093.2932528907713</v>
      </c>
      <c r="AC408" s="507">
        <f>Port[[#This Row],[ECL_Interest (CNY)]]*Port[[#This Row],[CNY -&gt; FCY]]</f>
        <v>110.06427686730025</v>
      </c>
      <c r="AD408" s="507">
        <f>Port[[#This Row],[EAD_Drawn (CNY)]]*Port[[#This Row],[CNY -&gt; THB]]</f>
        <v>2016496.31868</v>
      </c>
      <c r="AE408" s="507">
        <f>Port[[#This Row],[EAD_Undrawn (CNY)]]*Port[[#This Row],[CNY -&gt; THB]]</f>
        <v>0</v>
      </c>
      <c r="AF408" s="507">
        <f>Port[[#This Row],[EAD (CNY)]]*Port[[#This Row],[CNY -&gt; THB]]</f>
        <v>2016496.31868</v>
      </c>
      <c r="AG408" s="507">
        <f>Port[[#This Row],[EAD_Interest (CNY)]]*Port[[#This Row],[CNY -&gt; THB]]</f>
        <v>31289.304023999997</v>
      </c>
      <c r="AH408" s="507">
        <f>Port[[#This Row],[ECL_Drawn (CNY)]]*Port[[#This Row],[CNY -&gt; THB]]</f>
        <v>37231.27762577308</v>
      </c>
      <c r="AI408" s="507">
        <f>Port[[#This Row],[ECL_Undrawn (CNY)]]*Port[[#This Row],[CNY -&gt; THB]]</f>
        <v>0</v>
      </c>
      <c r="AJ408" s="507">
        <f>Port[[#This Row],[ECL (CNY)]]*Port[[#This Row],[CNY -&gt; THB]]</f>
        <v>37231.27762577308</v>
      </c>
      <c r="AK408" s="507">
        <f>Port[[#This Row],[ECL_Interest (CNY)]]*Port[[#This Row],[CNY -&gt; THB]]</f>
        <v>577.70537642108559</v>
      </c>
      <c r="AL408" s="507">
        <f>Port[[#This Row],[EAD (THB)]]*Port[[#This Row],[PD_avg]]</f>
        <v>41368.086250858971</v>
      </c>
      <c r="AM408" s="507">
        <f>Port[[#This Row],[EAD_Interest (THB)]]*Port[[#This Row],[PD_avg]]</f>
        <v>641.89486269009501</v>
      </c>
      <c r="AN408" s="507">
        <f>Port[[#This Row],[EAD (THB)]]*Port[[#This Row],[LGD_avg]]</f>
        <v>1814846.6868120006</v>
      </c>
      <c r="AO408" s="507">
        <f>Port[[#This Row],[EAD_Interest (THB)]]*Port[[#This Row],[LGD_avg]]</f>
        <v>28160.373621600007</v>
      </c>
      <c r="AP408" s="507">
        <f>Port[[#This Row],[EAD_Drawn (THB)]]+Port[[#This Row],[EAD_Interest (THB)]]</f>
        <v>2047785.622704</v>
      </c>
      <c r="AQ40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30247.4447802</v>
      </c>
      <c r="AR408" s="522">
        <f>MAX(Port[[#This Row],[ECL (THB)]]+Port[[#This Row],[ECL_Interest (THB)]], Port[[#This Row],[ECL CBIRC (THB)]])</f>
        <v>37808.983002194167</v>
      </c>
    </row>
    <row r="409" spans="1:44">
      <c r="A409" s="2" t="s">
        <v>1105</v>
      </c>
      <c r="B409" s="2" t="s">
        <v>362</v>
      </c>
      <c r="C409" s="2" t="s">
        <v>328</v>
      </c>
      <c r="D409" s="2" t="s">
        <v>18</v>
      </c>
      <c r="E409" s="2" t="s">
        <v>19</v>
      </c>
      <c r="F409" s="2" t="s">
        <v>20</v>
      </c>
      <c r="G409" s="2" t="s">
        <v>21</v>
      </c>
      <c r="H409">
        <v>1</v>
      </c>
      <c r="I409" s="2" t="s">
        <v>526</v>
      </c>
      <c r="J409" s="505">
        <v>2.0514833509807026E-2</v>
      </c>
      <c r="K409" s="505">
        <v>0.9</v>
      </c>
      <c r="L409" s="3">
        <v>1</v>
      </c>
      <c r="M409" s="3">
        <v>5.2488000000000001</v>
      </c>
      <c r="N409" s="507">
        <v>128047.39</v>
      </c>
      <c r="O409" s="507">
        <v>0</v>
      </c>
      <c r="P409" s="507">
        <v>128047.39</v>
      </c>
      <c r="Q409" s="507">
        <v>1986.87</v>
      </c>
      <c r="R409" s="507">
        <v>2364.1837984937961</v>
      </c>
      <c r="S409" s="507">
        <v>0</v>
      </c>
      <c r="T409" s="507">
        <v>2364.1837984937961</v>
      </c>
      <c r="U409" s="507">
        <v>36.684276530067265</v>
      </c>
      <c r="V409" s="507">
        <f>Port[[#This Row],[EAD_Drawn (CNY)]]*Port[[#This Row],[CNY -&gt; FCY]]</f>
        <v>128047.39</v>
      </c>
      <c r="W409" s="507">
        <f>Port[[#This Row],[EAD_Undrawn (CNY)]]*Port[[#This Row],[CNY -&gt; FCY]]</f>
        <v>0</v>
      </c>
      <c r="X409" s="507">
        <f>Port[[#This Row],[EAD (CNY)]]*Port[[#This Row],[CNY -&gt; FCY]]</f>
        <v>128047.39</v>
      </c>
      <c r="Y409" s="507">
        <f>Port[[#This Row],[EAD_Interest (CNY)]]*Port[[#This Row],[CNY -&gt; FCY]]</f>
        <v>1986.87</v>
      </c>
      <c r="Z409" s="507">
        <f>Port[[#This Row],[ECL_Drawn (CNY)]]*Port[[#This Row],[CNY -&gt; FCY]]</f>
        <v>2364.1837984937961</v>
      </c>
      <c r="AA409" s="507">
        <f>Port[[#This Row],[ECL_Undrawn (CNY)]]*Port[[#This Row],[CNY -&gt; FCY]]</f>
        <v>0</v>
      </c>
      <c r="AB409" s="507">
        <f>Port[[#This Row],[ECL (CNY)]]*Port[[#This Row],[CNY -&gt; FCY]]</f>
        <v>2364.1837984937961</v>
      </c>
      <c r="AC409" s="507">
        <f>Port[[#This Row],[ECL_Interest (CNY)]]*Port[[#This Row],[CNY -&gt; FCY]]</f>
        <v>36.684276530067265</v>
      </c>
      <c r="AD409" s="507">
        <f>Port[[#This Row],[EAD_Drawn (CNY)]]*Port[[#This Row],[CNY -&gt; THB]]</f>
        <v>672095.14063200005</v>
      </c>
      <c r="AE409" s="507">
        <f>Port[[#This Row],[EAD_Undrawn (CNY)]]*Port[[#This Row],[CNY -&gt; THB]]</f>
        <v>0</v>
      </c>
      <c r="AF409" s="507">
        <f>Port[[#This Row],[EAD (CNY)]]*Port[[#This Row],[CNY -&gt; THB]]</f>
        <v>672095.14063200005</v>
      </c>
      <c r="AG409" s="507">
        <f>Port[[#This Row],[EAD_Interest (CNY)]]*Port[[#This Row],[CNY -&gt; THB]]</f>
        <v>10428.683256</v>
      </c>
      <c r="AH409" s="507">
        <f>Port[[#This Row],[ECL_Drawn (CNY)]]*Port[[#This Row],[CNY -&gt; THB]]</f>
        <v>12409.127921534237</v>
      </c>
      <c r="AI409" s="507">
        <f>Port[[#This Row],[ECL_Undrawn (CNY)]]*Port[[#This Row],[CNY -&gt; THB]]</f>
        <v>0</v>
      </c>
      <c r="AJ409" s="507">
        <f>Port[[#This Row],[ECL (CNY)]]*Port[[#This Row],[CNY -&gt; THB]]</f>
        <v>12409.127921534237</v>
      </c>
      <c r="AK409" s="507">
        <f>Port[[#This Row],[ECL_Interest (CNY)]]*Port[[#This Row],[CNY -&gt; THB]]</f>
        <v>192.54843065101707</v>
      </c>
      <c r="AL409" s="507">
        <f>Port[[#This Row],[EAD (THB)]]*Port[[#This Row],[PD_avg]]</f>
        <v>13787.91991281582</v>
      </c>
      <c r="AM409" s="507">
        <f>Port[[#This Row],[EAD_Interest (THB)]]*Port[[#This Row],[PD_avg]]</f>
        <v>213.94270072335226</v>
      </c>
      <c r="AN409" s="507">
        <f>Port[[#This Row],[EAD (THB)]]*Port[[#This Row],[LGD_avg]]</f>
        <v>604885.62656880007</v>
      </c>
      <c r="AO409" s="507">
        <f>Port[[#This Row],[EAD_Interest (THB)]]*Port[[#This Row],[LGD_avg]]</f>
        <v>9385.8149303999999</v>
      </c>
      <c r="AP409" s="507">
        <f>Port[[#This Row],[EAD_Drawn (THB)]]+Port[[#This Row],[EAD_Interest (THB)]]</f>
        <v>682523.8238880001</v>
      </c>
      <c r="AQ40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10081.427109480001</v>
      </c>
      <c r="AR409" s="522">
        <f>MAX(Port[[#This Row],[ECL (THB)]]+Port[[#This Row],[ECL_Interest (THB)]], Port[[#This Row],[ECL CBIRC (THB)]])</f>
        <v>12601.676352185254</v>
      </c>
    </row>
    <row r="410" spans="1:44">
      <c r="A410" s="2" t="s">
        <v>1106</v>
      </c>
      <c r="B410" s="2" t="s">
        <v>337</v>
      </c>
      <c r="C410" s="2" t="s">
        <v>328</v>
      </c>
      <c r="D410" s="2" t="s">
        <v>18</v>
      </c>
      <c r="E410" s="2" t="s">
        <v>19</v>
      </c>
      <c r="F410" s="2" t="s">
        <v>20</v>
      </c>
      <c r="G410" s="2" t="s">
        <v>21</v>
      </c>
      <c r="H410">
        <v>1</v>
      </c>
      <c r="I410" s="2" t="s">
        <v>526</v>
      </c>
      <c r="J410" s="505">
        <v>2.0514833509807026E-2</v>
      </c>
      <c r="K410" s="505">
        <v>0.90000000000000013</v>
      </c>
      <c r="L410" s="3">
        <v>1</v>
      </c>
      <c r="M410" s="3">
        <v>5.2488000000000001</v>
      </c>
      <c r="N410" s="507">
        <v>4275453.8499999996</v>
      </c>
      <c r="O410" s="507">
        <v>0</v>
      </c>
      <c r="P410" s="507">
        <v>4275453.8499999996</v>
      </c>
      <c r="Q410" s="507">
        <v>65176.92</v>
      </c>
      <c r="R410" s="507">
        <v>78939.201520452116</v>
      </c>
      <c r="S410" s="507">
        <v>0</v>
      </c>
      <c r="T410" s="507">
        <v>78939.201520452116</v>
      </c>
      <c r="U410" s="507">
        <v>1203.3842962338108</v>
      </c>
      <c r="V410" s="507">
        <f>Port[[#This Row],[EAD_Drawn (CNY)]]*Port[[#This Row],[CNY -&gt; FCY]]</f>
        <v>4275453.8499999996</v>
      </c>
      <c r="W410" s="507">
        <f>Port[[#This Row],[EAD_Undrawn (CNY)]]*Port[[#This Row],[CNY -&gt; FCY]]</f>
        <v>0</v>
      </c>
      <c r="X410" s="507">
        <f>Port[[#This Row],[EAD (CNY)]]*Port[[#This Row],[CNY -&gt; FCY]]</f>
        <v>4275453.8499999996</v>
      </c>
      <c r="Y410" s="507">
        <f>Port[[#This Row],[EAD_Interest (CNY)]]*Port[[#This Row],[CNY -&gt; FCY]]</f>
        <v>65176.92</v>
      </c>
      <c r="Z410" s="507">
        <f>Port[[#This Row],[ECL_Drawn (CNY)]]*Port[[#This Row],[CNY -&gt; FCY]]</f>
        <v>78939.201520452116</v>
      </c>
      <c r="AA410" s="507">
        <f>Port[[#This Row],[ECL_Undrawn (CNY)]]*Port[[#This Row],[CNY -&gt; FCY]]</f>
        <v>0</v>
      </c>
      <c r="AB410" s="507">
        <f>Port[[#This Row],[ECL (CNY)]]*Port[[#This Row],[CNY -&gt; FCY]]</f>
        <v>78939.201520452116</v>
      </c>
      <c r="AC410" s="507">
        <f>Port[[#This Row],[ECL_Interest (CNY)]]*Port[[#This Row],[CNY -&gt; FCY]]</f>
        <v>1203.3842962338108</v>
      </c>
      <c r="AD410" s="507">
        <f>Port[[#This Row],[EAD_Drawn (CNY)]]*Port[[#This Row],[CNY -&gt; THB]]</f>
        <v>22441002.167879999</v>
      </c>
      <c r="AE410" s="507">
        <f>Port[[#This Row],[EAD_Undrawn (CNY)]]*Port[[#This Row],[CNY -&gt; THB]]</f>
        <v>0</v>
      </c>
      <c r="AF410" s="507">
        <f>Port[[#This Row],[EAD (CNY)]]*Port[[#This Row],[CNY -&gt; THB]]</f>
        <v>22441002.167879999</v>
      </c>
      <c r="AG410" s="507">
        <f>Port[[#This Row],[EAD_Interest (CNY)]]*Port[[#This Row],[CNY -&gt; THB]]</f>
        <v>342100.61769599997</v>
      </c>
      <c r="AH410" s="507">
        <f>Port[[#This Row],[ECL_Drawn (CNY)]]*Port[[#This Row],[CNY -&gt; THB]]</f>
        <v>414336.08094054909</v>
      </c>
      <c r="AI410" s="507">
        <f>Port[[#This Row],[ECL_Undrawn (CNY)]]*Port[[#This Row],[CNY -&gt; THB]]</f>
        <v>0</v>
      </c>
      <c r="AJ410" s="507">
        <f>Port[[#This Row],[ECL (CNY)]]*Port[[#This Row],[CNY -&gt; THB]]</f>
        <v>414336.08094054909</v>
      </c>
      <c r="AK410" s="507">
        <f>Port[[#This Row],[ECL_Interest (CNY)]]*Port[[#This Row],[CNY -&gt; THB]]</f>
        <v>6316.3234940720267</v>
      </c>
      <c r="AL410" s="507">
        <f>Port[[#This Row],[EAD (THB)]]*Port[[#This Row],[PD_avg]]</f>
        <v>460373.42326727672</v>
      </c>
      <c r="AM410" s="507">
        <f>Port[[#This Row],[EAD_Interest (THB)]]*Port[[#This Row],[PD_avg]]</f>
        <v>7018.1372156355828</v>
      </c>
      <c r="AN410" s="507">
        <f>Port[[#This Row],[EAD (THB)]]*Port[[#This Row],[LGD_avg]]</f>
        <v>20196901.951092001</v>
      </c>
      <c r="AO410" s="507">
        <f>Port[[#This Row],[EAD_Interest (THB)]]*Port[[#This Row],[LGD_avg]]</f>
        <v>307890.5559264</v>
      </c>
      <c r="AP410" s="507">
        <f>Port[[#This Row],[EAD_Drawn (THB)]]+Port[[#This Row],[EAD_Interest (THB)]]</f>
        <v>22783102.785575997</v>
      </c>
      <c r="AQ4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336615.03251819999</v>
      </c>
      <c r="AR410" s="522">
        <f>MAX(Port[[#This Row],[ECL (THB)]]+Port[[#This Row],[ECL_Interest (THB)]], Port[[#This Row],[ECL CBIRC (THB)]])</f>
        <v>420652.4044346211</v>
      </c>
    </row>
    <row r="411" spans="1:44">
      <c r="A411" s="2" t="s">
        <v>1107</v>
      </c>
      <c r="B411" s="2" t="s">
        <v>337</v>
      </c>
      <c r="C411" s="2" t="s">
        <v>328</v>
      </c>
      <c r="D411" s="2" t="s">
        <v>18</v>
      </c>
      <c r="E411" s="2" t="s">
        <v>19</v>
      </c>
      <c r="F411" s="2" t="s">
        <v>20</v>
      </c>
      <c r="G411" s="2" t="s">
        <v>21</v>
      </c>
      <c r="H411">
        <v>1</v>
      </c>
      <c r="I411" s="2" t="s">
        <v>526</v>
      </c>
      <c r="J411" s="505">
        <v>2.0514833509807026E-2</v>
      </c>
      <c r="K411" s="505">
        <v>0.9</v>
      </c>
      <c r="L411" s="3">
        <v>1</v>
      </c>
      <c r="M411" s="3">
        <v>5.2488000000000001</v>
      </c>
      <c r="N411" s="507">
        <v>1580459.95</v>
      </c>
      <c r="O411" s="507">
        <v>0</v>
      </c>
      <c r="P411" s="507">
        <v>1580459.95</v>
      </c>
      <c r="Q411" s="507">
        <v>24093.23</v>
      </c>
      <c r="R411" s="507">
        <v>29180.585468851143</v>
      </c>
      <c r="S411" s="507">
        <v>0</v>
      </c>
      <c r="T411" s="507">
        <v>29180.585468851143</v>
      </c>
      <c r="U411" s="507">
        <v>444.84174194713921</v>
      </c>
      <c r="V411" s="507">
        <f>Port[[#This Row],[EAD_Drawn (CNY)]]*Port[[#This Row],[CNY -&gt; FCY]]</f>
        <v>1580459.95</v>
      </c>
      <c r="W411" s="507">
        <f>Port[[#This Row],[EAD_Undrawn (CNY)]]*Port[[#This Row],[CNY -&gt; FCY]]</f>
        <v>0</v>
      </c>
      <c r="X411" s="507">
        <f>Port[[#This Row],[EAD (CNY)]]*Port[[#This Row],[CNY -&gt; FCY]]</f>
        <v>1580459.95</v>
      </c>
      <c r="Y411" s="507">
        <f>Port[[#This Row],[EAD_Interest (CNY)]]*Port[[#This Row],[CNY -&gt; FCY]]</f>
        <v>24093.23</v>
      </c>
      <c r="Z411" s="507">
        <f>Port[[#This Row],[ECL_Drawn (CNY)]]*Port[[#This Row],[CNY -&gt; FCY]]</f>
        <v>29180.585468851143</v>
      </c>
      <c r="AA411" s="507">
        <f>Port[[#This Row],[ECL_Undrawn (CNY)]]*Port[[#This Row],[CNY -&gt; FCY]]</f>
        <v>0</v>
      </c>
      <c r="AB411" s="507">
        <f>Port[[#This Row],[ECL (CNY)]]*Port[[#This Row],[CNY -&gt; FCY]]</f>
        <v>29180.585468851143</v>
      </c>
      <c r="AC411" s="507">
        <f>Port[[#This Row],[ECL_Interest (CNY)]]*Port[[#This Row],[CNY -&gt; FCY]]</f>
        <v>444.84174194713921</v>
      </c>
      <c r="AD411" s="507">
        <f>Port[[#This Row],[EAD_Drawn (CNY)]]*Port[[#This Row],[CNY -&gt; THB]]</f>
        <v>8295518.1855600001</v>
      </c>
      <c r="AE411" s="507">
        <f>Port[[#This Row],[EAD_Undrawn (CNY)]]*Port[[#This Row],[CNY -&gt; THB]]</f>
        <v>0</v>
      </c>
      <c r="AF411" s="507">
        <f>Port[[#This Row],[EAD (CNY)]]*Port[[#This Row],[CNY -&gt; THB]]</f>
        <v>8295518.1855600001</v>
      </c>
      <c r="AG411" s="507">
        <f>Port[[#This Row],[EAD_Interest (CNY)]]*Port[[#This Row],[CNY -&gt; THB]]</f>
        <v>126460.54562400001</v>
      </c>
      <c r="AH411" s="507">
        <f>Port[[#This Row],[ECL_Drawn (CNY)]]*Port[[#This Row],[CNY -&gt; THB]]</f>
        <v>153163.05700890589</v>
      </c>
      <c r="AI411" s="507">
        <f>Port[[#This Row],[ECL_Undrawn (CNY)]]*Port[[#This Row],[CNY -&gt; THB]]</f>
        <v>0</v>
      </c>
      <c r="AJ411" s="507">
        <f>Port[[#This Row],[ECL (CNY)]]*Port[[#This Row],[CNY -&gt; THB]]</f>
        <v>153163.05700890589</v>
      </c>
      <c r="AK411" s="507">
        <f>Port[[#This Row],[ECL_Interest (CNY)]]*Port[[#This Row],[CNY -&gt; THB]]</f>
        <v>2334.8853351321445</v>
      </c>
      <c r="AL411" s="507">
        <f>Port[[#This Row],[EAD (THB)]]*Port[[#This Row],[PD_avg]]</f>
        <v>170181.17445433987</v>
      </c>
      <c r="AM411" s="507">
        <f>Port[[#This Row],[EAD_Interest (THB)]]*Port[[#This Row],[PD_avg]]</f>
        <v>2594.3170390357154</v>
      </c>
      <c r="AN411" s="507">
        <f>Port[[#This Row],[EAD (THB)]]*Port[[#This Row],[LGD_avg]]</f>
        <v>7465966.3670040006</v>
      </c>
      <c r="AO411" s="507">
        <f>Port[[#This Row],[EAD_Interest (THB)]]*Port[[#This Row],[LGD_avg]]</f>
        <v>113814.49106160001</v>
      </c>
      <c r="AP411" s="507">
        <f>Port[[#This Row],[EAD_Drawn (THB)]]+Port[[#This Row],[EAD_Interest (THB)]]</f>
        <v>8421978.7311840001</v>
      </c>
      <c r="AQ4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124432.7727834</v>
      </c>
      <c r="AR411" s="522">
        <f>MAX(Port[[#This Row],[ECL (THB)]]+Port[[#This Row],[ECL_Interest (THB)]], Port[[#This Row],[ECL CBIRC (THB)]])</f>
        <v>155497.94234403802</v>
      </c>
    </row>
    <row r="412" spans="1:44">
      <c r="A412" s="2" t="s">
        <v>1108</v>
      </c>
      <c r="B412" s="2" t="s">
        <v>337</v>
      </c>
      <c r="C412" s="2" t="s">
        <v>328</v>
      </c>
      <c r="D412" s="2" t="s">
        <v>18</v>
      </c>
      <c r="E412" s="2" t="s">
        <v>19</v>
      </c>
      <c r="F412" s="2" t="s">
        <v>20</v>
      </c>
      <c r="G412" s="2" t="s">
        <v>21</v>
      </c>
      <c r="H412">
        <v>1</v>
      </c>
      <c r="I412" s="2" t="s">
        <v>526</v>
      </c>
      <c r="J412" s="505">
        <v>2.0514833509807026E-2</v>
      </c>
      <c r="K412" s="505">
        <v>0.89999999999999991</v>
      </c>
      <c r="L412" s="3">
        <v>1</v>
      </c>
      <c r="M412" s="3">
        <v>5.2488000000000001</v>
      </c>
      <c r="N412" s="507">
        <v>1414686.14</v>
      </c>
      <c r="O412" s="507">
        <v>0</v>
      </c>
      <c r="P412" s="507">
        <v>1414686.14</v>
      </c>
      <c r="Q412" s="507">
        <v>21566.1</v>
      </c>
      <c r="R412" s="507">
        <v>26119.845567658394</v>
      </c>
      <c r="S412" s="507">
        <v>0</v>
      </c>
      <c r="T412" s="507">
        <v>26119.845567658394</v>
      </c>
      <c r="U412" s="507">
        <v>398.18245586026444</v>
      </c>
      <c r="V412" s="507">
        <f>Port[[#This Row],[EAD_Drawn (CNY)]]*Port[[#This Row],[CNY -&gt; FCY]]</f>
        <v>1414686.14</v>
      </c>
      <c r="W412" s="507">
        <f>Port[[#This Row],[EAD_Undrawn (CNY)]]*Port[[#This Row],[CNY -&gt; FCY]]</f>
        <v>0</v>
      </c>
      <c r="X412" s="507">
        <f>Port[[#This Row],[EAD (CNY)]]*Port[[#This Row],[CNY -&gt; FCY]]</f>
        <v>1414686.14</v>
      </c>
      <c r="Y412" s="507">
        <f>Port[[#This Row],[EAD_Interest (CNY)]]*Port[[#This Row],[CNY -&gt; FCY]]</f>
        <v>21566.1</v>
      </c>
      <c r="Z412" s="507">
        <f>Port[[#This Row],[ECL_Drawn (CNY)]]*Port[[#This Row],[CNY -&gt; FCY]]</f>
        <v>26119.845567658394</v>
      </c>
      <c r="AA412" s="507">
        <f>Port[[#This Row],[ECL_Undrawn (CNY)]]*Port[[#This Row],[CNY -&gt; FCY]]</f>
        <v>0</v>
      </c>
      <c r="AB412" s="507">
        <f>Port[[#This Row],[ECL (CNY)]]*Port[[#This Row],[CNY -&gt; FCY]]</f>
        <v>26119.845567658394</v>
      </c>
      <c r="AC412" s="507">
        <f>Port[[#This Row],[ECL_Interest (CNY)]]*Port[[#This Row],[CNY -&gt; FCY]]</f>
        <v>398.18245586026444</v>
      </c>
      <c r="AD412" s="507">
        <f>Port[[#This Row],[EAD_Drawn (CNY)]]*Port[[#This Row],[CNY -&gt; THB]]</f>
        <v>7425404.6116319997</v>
      </c>
      <c r="AE412" s="507">
        <f>Port[[#This Row],[EAD_Undrawn (CNY)]]*Port[[#This Row],[CNY -&gt; THB]]</f>
        <v>0</v>
      </c>
      <c r="AF412" s="507">
        <f>Port[[#This Row],[EAD (CNY)]]*Port[[#This Row],[CNY -&gt; THB]]</f>
        <v>7425404.6116319997</v>
      </c>
      <c r="AG412" s="507">
        <f>Port[[#This Row],[EAD_Interest (CNY)]]*Port[[#This Row],[CNY -&gt; THB]]</f>
        <v>113196.14568</v>
      </c>
      <c r="AH412" s="507">
        <f>Port[[#This Row],[ECL_Drawn (CNY)]]*Port[[#This Row],[CNY -&gt; THB]]</f>
        <v>137097.84541552537</v>
      </c>
      <c r="AI412" s="507">
        <f>Port[[#This Row],[ECL_Undrawn (CNY)]]*Port[[#This Row],[CNY -&gt; THB]]</f>
        <v>0</v>
      </c>
      <c r="AJ412" s="507">
        <f>Port[[#This Row],[ECL (CNY)]]*Port[[#This Row],[CNY -&gt; THB]]</f>
        <v>137097.84541552537</v>
      </c>
      <c r="AK412" s="507">
        <f>Port[[#This Row],[ECL_Interest (CNY)]]*Port[[#This Row],[CNY -&gt; THB]]</f>
        <v>2089.9800743193559</v>
      </c>
      <c r="AL412" s="507">
        <f>Port[[#This Row],[EAD (THB)]]*Port[[#This Row],[PD_avg]]</f>
        <v>152330.93935058377</v>
      </c>
      <c r="AM412" s="507">
        <f>Port[[#This Row],[EAD_Interest (THB)]]*Port[[#This Row],[PD_avg]]</f>
        <v>2322.2000825770619</v>
      </c>
      <c r="AN412" s="507">
        <f>Port[[#This Row],[EAD (THB)]]*Port[[#This Row],[LGD_avg]]</f>
        <v>6682864.1504687993</v>
      </c>
      <c r="AO412" s="507">
        <f>Port[[#This Row],[EAD_Interest (THB)]]*Port[[#This Row],[LGD_avg]]</f>
        <v>101876.531112</v>
      </c>
      <c r="AP412" s="507">
        <f>Port[[#This Row],[EAD_Drawn (THB)]]+Port[[#This Row],[EAD_Interest (THB)]]</f>
        <v>7538600.7573119998</v>
      </c>
      <c r="AQ4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111381.06917448</v>
      </c>
      <c r="AR412" s="522">
        <f>MAX(Port[[#This Row],[ECL (THB)]]+Port[[#This Row],[ECL_Interest (THB)]], Port[[#This Row],[ECL CBIRC (THB)]])</f>
        <v>139187.82548984472</v>
      </c>
    </row>
    <row r="413" spans="1:44">
      <c r="A413" s="2" t="s">
        <v>1109</v>
      </c>
      <c r="B413" s="2" t="s">
        <v>1110</v>
      </c>
      <c r="C413" s="2" t="s">
        <v>328</v>
      </c>
      <c r="D413" s="2" t="s">
        <v>18</v>
      </c>
      <c r="E413" s="2" t="s">
        <v>19</v>
      </c>
      <c r="F413" s="2" t="s">
        <v>20</v>
      </c>
      <c r="G413" s="2" t="s">
        <v>21</v>
      </c>
      <c r="H413">
        <v>1</v>
      </c>
      <c r="I413" s="2" t="s">
        <v>526</v>
      </c>
      <c r="J413" s="505">
        <v>2.0514833509807026E-2</v>
      </c>
      <c r="K413" s="505">
        <v>0.90000000000000013</v>
      </c>
      <c r="L413" s="3">
        <v>1</v>
      </c>
      <c r="M413" s="3">
        <v>5.2488000000000001</v>
      </c>
      <c r="N413" s="507">
        <v>121075.89</v>
      </c>
      <c r="O413" s="507">
        <v>0</v>
      </c>
      <c r="P413" s="507">
        <v>121075.89</v>
      </c>
      <c r="Q413" s="507">
        <v>1845.73</v>
      </c>
      <c r="R413" s="507">
        <v>2235.4665528615387</v>
      </c>
      <c r="S413" s="507">
        <v>0</v>
      </c>
      <c r="T413" s="507">
        <v>2235.4665528615387</v>
      </c>
      <c r="U413" s="507">
        <v>34.07835928865051</v>
      </c>
      <c r="V413" s="507">
        <f>Port[[#This Row],[EAD_Drawn (CNY)]]*Port[[#This Row],[CNY -&gt; FCY]]</f>
        <v>121075.89</v>
      </c>
      <c r="W413" s="507">
        <f>Port[[#This Row],[EAD_Undrawn (CNY)]]*Port[[#This Row],[CNY -&gt; FCY]]</f>
        <v>0</v>
      </c>
      <c r="X413" s="507">
        <f>Port[[#This Row],[EAD (CNY)]]*Port[[#This Row],[CNY -&gt; FCY]]</f>
        <v>121075.89</v>
      </c>
      <c r="Y413" s="507">
        <f>Port[[#This Row],[EAD_Interest (CNY)]]*Port[[#This Row],[CNY -&gt; FCY]]</f>
        <v>1845.73</v>
      </c>
      <c r="Z413" s="507">
        <f>Port[[#This Row],[ECL_Drawn (CNY)]]*Port[[#This Row],[CNY -&gt; FCY]]</f>
        <v>2235.4665528615387</v>
      </c>
      <c r="AA413" s="507">
        <f>Port[[#This Row],[ECL_Undrawn (CNY)]]*Port[[#This Row],[CNY -&gt; FCY]]</f>
        <v>0</v>
      </c>
      <c r="AB413" s="507">
        <f>Port[[#This Row],[ECL (CNY)]]*Port[[#This Row],[CNY -&gt; FCY]]</f>
        <v>2235.4665528615387</v>
      </c>
      <c r="AC413" s="507">
        <f>Port[[#This Row],[ECL_Interest (CNY)]]*Port[[#This Row],[CNY -&gt; FCY]]</f>
        <v>34.07835928865051</v>
      </c>
      <c r="AD413" s="507">
        <f>Port[[#This Row],[EAD_Drawn (CNY)]]*Port[[#This Row],[CNY -&gt; THB]]</f>
        <v>635503.13143199997</v>
      </c>
      <c r="AE413" s="507">
        <f>Port[[#This Row],[EAD_Undrawn (CNY)]]*Port[[#This Row],[CNY -&gt; THB]]</f>
        <v>0</v>
      </c>
      <c r="AF413" s="507">
        <f>Port[[#This Row],[EAD (CNY)]]*Port[[#This Row],[CNY -&gt; THB]]</f>
        <v>635503.13143199997</v>
      </c>
      <c r="AG413" s="507">
        <f>Port[[#This Row],[EAD_Interest (CNY)]]*Port[[#This Row],[CNY -&gt; THB]]</f>
        <v>9687.8676240000004</v>
      </c>
      <c r="AH413" s="507">
        <f>Port[[#This Row],[ECL_Drawn (CNY)]]*Port[[#This Row],[CNY -&gt; THB]]</f>
        <v>11733.516842659645</v>
      </c>
      <c r="AI413" s="507">
        <f>Port[[#This Row],[ECL_Undrawn (CNY)]]*Port[[#This Row],[CNY -&gt; THB]]</f>
        <v>0</v>
      </c>
      <c r="AJ413" s="507">
        <f>Port[[#This Row],[ECL (CNY)]]*Port[[#This Row],[CNY -&gt; THB]]</f>
        <v>11733.516842659645</v>
      </c>
      <c r="AK413" s="507">
        <f>Port[[#This Row],[ECL_Interest (CNY)]]*Port[[#This Row],[CNY -&gt; THB]]</f>
        <v>178.8704922342688</v>
      </c>
      <c r="AL413" s="507">
        <f>Port[[#This Row],[EAD (THB)]]*Port[[#This Row],[PD_avg]]</f>
        <v>13037.240936288492</v>
      </c>
      <c r="AM413" s="507">
        <f>Port[[#This Row],[EAD_Interest (THB)]]*Port[[#This Row],[PD_avg]]</f>
        <v>198.74499137140978</v>
      </c>
      <c r="AN413" s="507">
        <f>Port[[#This Row],[EAD (THB)]]*Port[[#This Row],[LGD_avg]]</f>
        <v>571952.81828880007</v>
      </c>
      <c r="AO413" s="507">
        <f>Port[[#This Row],[EAD_Interest (THB)]]*Port[[#This Row],[LGD_avg]]</f>
        <v>8719.0808616000013</v>
      </c>
      <c r="AP413" s="507">
        <f>Port[[#This Row],[EAD_Drawn (THB)]]+Port[[#This Row],[EAD_Interest (THB)]]</f>
        <v>645190.99905599991</v>
      </c>
      <c r="AQ4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9532.5469714799983</v>
      </c>
      <c r="AR413" s="522">
        <f>MAX(Port[[#This Row],[ECL (THB)]]+Port[[#This Row],[ECL_Interest (THB)]], Port[[#This Row],[ECL CBIRC (THB)]])</f>
        <v>11912.387334893914</v>
      </c>
    </row>
    <row r="414" spans="1:44">
      <c r="A414" s="2" t="s">
        <v>1111</v>
      </c>
      <c r="B414" s="2" t="s">
        <v>376</v>
      </c>
      <c r="C414" s="2" t="s">
        <v>328</v>
      </c>
      <c r="D414" s="2" t="s">
        <v>18</v>
      </c>
      <c r="E414" s="2" t="s">
        <v>19</v>
      </c>
      <c r="F414" s="2" t="s">
        <v>20</v>
      </c>
      <c r="G414" s="2" t="s">
        <v>21</v>
      </c>
      <c r="H414">
        <v>1</v>
      </c>
      <c r="I414" s="2" t="s">
        <v>526</v>
      </c>
      <c r="J414" s="505">
        <v>2.0514833509807026E-2</v>
      </c>
      <c r="K414" s="505">
        <v>0.90000000000000013</v>
      </c>
      <c r="L414" s="3">
        <v>1</v>
      </c>
      <c r="M414" s="3">
        <v>5.2488000000000001</v>
      </c>
      <c r="N414" s="507">
        <v>130710.1</v>
      </c>
      <c r="O414" s="507">
        <v>0</v>
      </c>
      <c r="P414" s="507">
        <v>130710.1</v>
      </c>
      <c r="Q414" s="507">
        <v>1992.6</v>
      </c>
      <c r="R414" s="507">
        <v>2413.3463455952051</v>
      </c>
      <c r="S414" s="507">
        <v>0</v>
      </c>
      <c r="T414" s="507">
        <v>2413.3463455952051</v>
      </c>
      <c r="U414" s="507">
        <v>36.790071526477334</v>
      </c>
      <c r="V414" s="507">
        <f>Port[[#This Row],[EAD_Drawn (CNY)]]*Port[[#This Row],[CNY -&gt; FCY]]</f>
        <v>130710.1</v>
      </c>
      <c r="W414" s="507">
        <f>Port[[#This Row],[EAD_Undrawn (CNY)]]*Port[[#This Row],[CNY -&gt; FCY]]</f>
        <v>0</v>
      </c>
      <c r="X414" s="507">
        <f>Port[[#This Row],[EAD (CNY)]]*Port[[#This Row],[CNY -&gt; FCY]]</f>
        <v>130710.1</v>
      </c>
      <c r="Y414" s="507">
        <f>Port[[#This Row],[EAD_Interest (CNY)]]*Port[[#This Row],[CNY -&gt; FCY]]</f>
        <v>1992.6</v>
      </c>
      <c r="Z414" s="507">
        <f>Port[[#This Row],[ECL_Drawn (CNY)]]*Port[[#This Row],[CNY -&gt; FCY]]</f>
        <v>2413.3463455952051</v>
      </c>
      <c r="AA414" s="507">
        <f>Port[[#This Row],[ECL_Undrawn (CNY)]]*Port[[#This Row],[CNY -&gt; FCY]]</f>
        <v>0</v>
      </c>
      <c r="AB414" s="507">
        <f>Port[[#This Row],[ECL (CNY)]]*Port[[#This Row],[CNY -&gt; FCY]]</f>
        <v>2413.3463455952051</v>
      </c>
      <c r="AC414" s="507">
        <f>Port[[#This Row],[ECL_Interest (CNY)]]*Port[[#This Row],[CNY -&gt; FCY]]</f>
        <v>36.790071526477334</v>
      </c>
      <c r="AD414" s="507">
        <f>Port[[#This Row],[EAD_Drawn (CNY)]]*Port[[#This Row],[CNY -&gt; THB]]</f>
        <v>686071.17288000009</v>
      </c>
      <c r="AE414" s="507">
        <f>Port[[#This Row],[EAD_Undrawn (CNY)]]*Port[[#This Row],[CNY -&gt; THB]]</f>
        <v>0</v>
      </c>
      <c r="AF414" s="507">
        <f>Port[[#This Row],[EAD (CNY)]]*Port[[#This Row],[CNY -&gt; THB]]</f>
        <v>686071.17288000009</v>
      </c>
      <c r="AG414" s="507">
        <f>Port[[#This Row],[EAD_Interest (CNY)]]*Port[[#This Row],[CNY -&gt; THB]]</f>
        <v>10458.758879999999</v>
      </c>
      <c r="AH414" s="507">
        <f>Port[[#This Row],[ECL_Drawn (CNY)]]*Port[[#This Row],[CNY -&gt; THB]]</f>
        <v>12667.172298760113</v>
      </c>
      <c r="AI414" s="507">
        <f>Port[[#This Row],[ECL_Undrawn (CNY)]]*Port[[#This Row],[CNY -&gt; THB]]</f>
        <v>0</v>
      </c>
      <c r="AJ414" s="507">
        <f>Port[[#This Row],[ECL (CNY)]]*Port[[#This Row],[CNY -&gt; THB]]</f>
        <v>12667.172298760113</v>
      </c>
      <c r="AK414" s="507">
        <f>Port[[#This Row],[ECL_Interest (CNY)]]*Port[[#This Row],[CNY -&gt; THB]]</f>
        <v>193.10372742817424</v>
      </c>
      <c r="AL414" s="507">
        <f>Port[[#This Row],[EAD (THB)]]*Port[[#This Row],[PD_avg]]</f>
        <v>14074.635887511235</v>
      </c>
      <c r="AM414" s="507">
        <f>Port[[#This Row],[EAD_Interest (THB)]]*Port[[#This Row],[PD_avg]]</f>
        <v>214.55969714241579</v>
      </c>
      <c r="AN414" s="507">
        <f>Port[[#This Row],[EAD (THB)]]*Port[[#This Row],[LGD_avg]]</f>
        <v>617464.05559200014</v>
      </c>
      <c r="AO414" s="507">
        <f>Port[[#This Row],[EAD_Interest (THB)]]*Port[[#This Row],[LGD_avg]]</f>
        <v>9412.8829920000007</v>
      </c>
      <c r="AP414" s="507">
        <f>Port[[#This Row],[EAD_Drawn (THB)]]+Port[[#This Row],[EAD_Interest (THB)]]</f>
        <v>696529.93176000006</v>
      </c>
      <c r="AQ4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10291.067593200001</v>
      </c>
      <c r="AR414" s="522">
        <f>MAX(Port[[#This Row],[ECL (THB)]]+Port[[#This Row],[ECL_Interest (THB)]], Port[[#This Row],[ECL CBIRC (THB)]])</f>
        <v>12860.276026188287</v>
      </c>
    </row>
    <row r="415" spans="1:44">
      <c r="A415" s="2" t="s">
        <v>1112</v>
      </c>
      <c r="B415" s="2" t="s">
        <v>369</v>
      </c>
      <c r="C415" s="2" t="s">
        <v>328</v>
      </c>
      <c r="D415" s="2" t="s">
        <v>30</v>
      </c>
      <c r="E415" s="2" t="s">
        <v>19</v>
      </c>
      <c r="F415" s="2" t="s">
        <v>20</v>
      </c>
      <c r="G415" s="2" t="s">
        <v>21</v>
      </c>
      <c r="H415">
        <v>1</v>
      </c>
      <c r="I415" s="2" t="s">
        <v>526</v>
      </c>
      <c r="J415" s="505">
        <v>2.0514833509807026E-2</v>
      </c>
      <c r="K415" s="505">
        <v>0.9</v>
      </c>
      <c r="L415" s="3">
        <v>1</v>
      </c>
      <c r="M415" s="3">
        <v>5.2488000000000001</v>
      </c>
      <c r="N415" s="507">
        <v>110795.24</v>
      </c>
      <c r="O415" s="507">
        <v>0</v>
      </c>
      <c r="P415" s="507">
        <v>110795.24</v>
      </c>
      <c r="Q415" s="507">
        <v>1689.01</v>
      </c>
      <c r="R415" s="507">
        <v>2045.6513120512009</v>
      </c>
      <c r="S415" s="507">
        <v>0</v>
      </c>
      <c r="T415" s="507">
        <v>2045.6513120512009</v>
      </c>
      <c r="U415" s="507">
        <v>31.184783051759251</v>
      </c>
      <c r="V415" s="507">
        <f>Port[[#This Row],[EAD_Drawn (CNY)]]*Port[[#This Row],[CNY -&gt; FCY]]</f>
        <v>110795.24</v>
      </c>
      <c r="W415" s="507">
        <f>Port[[#This Row],[EAD_Undrawn (CNY)]]*Port[[#This Row],[CNY -&gt; FCY]]</f>
        <v>0</v>
      </c>
      <c r="X415" s="507">
        <f>Port[[#This Row],[EAD (CNY)]]*Port[[#This Row],[CNY -&gt; FCY]]</f>
        <v>110795.24</v>
      </c>
      <c r="Y415" s="507">
        <f>Port[[#This Row],[EAD_Interest (CNY)]]*Port[[#This Row],[CNY -&gt; FCY]]</f>
        <v>1689.01</v>
      </c>
      <c r="Z415" s="507">
        <f>Port[[#This Row],[ECL_Drawn (CNY)]]*Port[[#This Row],[CNY -&gt; FCY]]</f>
        <v>2045.6513120512009</v>
      </c>
      <c r="AA415" s="507">
        <f>Port[[#This Row],[ECL_Undrawn (CNY)]]*Port[[#This Row],[CNY -&gt; FCY]]</f>
        <v>0</v>
      </c>
      <c r="AB415" s="507">
        <f>Port[[#This Row],[ECL (CNY)]]*Port[[#This Row],[CNY -&gt; FCY]]</f>
        <v>2045.6513120512009</v>
      </c>
      <c r="AC415" s="507">
        <f>Port[[#This Row],[ECL_Interest (CNY)]]*Port[[#This Row],[CNY -&gt; FCY]]</f>
        <v>31.184783051759251</v>
      </c>
      <c r="AD415" s="507">
        <f>Port[[#This Row],[EAD_Drawn (CNY)]]*Port[[#This Row],[CNY -&gt; THB]]</f>
        <v>581542.055712</v>
      </c>
      <c r="AE415" s="507">
        <f>Port[[#This Row],[EAD_Undrawn (CNY)]]*Port[[#This Row],[CNY -&gt; THB]]</f>
        <v>0</v>
      </c>
      <c r="AF415" s="507">
        <f>Port[[#This Row],[EAD (CNY)]]*Port[[#This Row],[CNY -&gt; THB]]</f>
        <v>581542.055712</v>
      </c>
      <c r="AG415" s="507">
        <f>Port[[#This Row],[EAD_Interest (CNY)]]*Port[[#This Row],[CNY -&gt; THB]]</f>
        <v>8865.2756879999997</v>
      </c>
      <c r="AH415" s="507">
        <f>Port[[#This Row],[ECL_Drawn (CNY)]]*Port[[#This Row],[CNY -&gt; THB]]</f>
        <v>10737.214606694344</v>
      </c>
      <c r="AI415" s="507">
        <f>Port[[#This Row],[ECL_Undrawn (CNY)]]*Port[[#This Row],[CNY -&gt; THB]]</f>
        <v>0</v>
      </c>
      <c r="AJ415" s="507">
        <f>Port[[#This Row],[ECL (CNY)]]*Port[[#This Row],[CNY -&gt; THB]]</f>
        <v>10737.214606694344</v>
      </c>
      <c r="AK415" s="507">
        <f>Port[[#This Row],[ECL_Interest (CNY)]]*Port[[#This Row],[CNY -&gt; THB]]</f>
        <v>163.68268928207397</v>
      </c>
      <c r="AL415" s="507">
        <f>Port[[#This Row],[EAD (THB)]]*Port[[#This Row],[PD_avg]]</f>
        <v>11930.238451882602</v>
      </c>
      <c r="AM415" s="507">
        <f>Port[[#This Row],[EAD_Interest (THB)]]*Port[[#This Row],[PD_avg]]</f>
        <v>181.86965475785993</v>
      </c>
      <c r="AN415" s="507">
        <f>Port[[#This Row],[EAD (THB)]]*Port[[#This Row],[LGD_avg]]</f>
        <v>523387.8501408</v>
      </c>
      <c r="AO415" s="507">
        <f>Port[[#This Row],[EAD_Interest (THB)]]*Port[[#This Row],[LGD_avg]]</f>
        <v>7978.7481191999996</v>
      </c>
      <c r="AP415" s="507">
        <f>Port[[#This Row],[EAD_Drawn (THB)]]+Port[[#This Row],[EAD_Interest (THB)]]</f>
        <v>590407.33140000002</v>
      </c>
      <c r="AQ4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8723.13083568</v>
      </c>
      <c r="AR415" s="522">
        <f>MAX(Port[[#This Row],[ECL (THB)]]+Port[[#This Row],[ECL_Interest (THB)]], Port[[#This Row],[ECL CBIRC (THB)]])</f>
        <v>10900.897295976418</v>
      </c>
    </row>
    <row r="416" spans="1:44">
      <c r="A416" s="2" t="s">
        <v>1113</v>
      </c>
      <c r="B416" s="2" t="s">
        <v>367</v>
      </c>
      <c r="C416" s="2" t="s">
        <v>328</v>
      </c>
      <c r="D416" s="2" t="s">
        <v>18</v>
      </c>
      <c r="E416" s="2" t="s">
        <v>19</v>
      </c>
      <c r="F416" s="2" t="s">
        <v>20</v>
      </c>
      <c r="G416" s="2" t="s">
        <v>21</v>
      </c>
      <c r="H416">
        <v>1</v>
      </c>
      <c r="I416" s="2" t="s">
        <v>526</v>
      </c>
      <c r="J416" s="505">
        <v>2.0514833509807026E-2</v>
      </c>
      <c r="K416" s="505">
        <v>0.9</v>
      </c>
      <c r="L416" s="3">
        <v>1</v>
      </c>
      <c r="M416" s="3">
        <v>5.2488000000000001</v>
      </c>
      <c r="N416" s="507">
        <v>114214.01</v>
      </c>
      <c r="O416" s="507">
        <v>0</v>
      </c>
      <c r="P416" s="507">
        <v>114214.01</v>
      </c>
      <c r="Q416" s="507">
        <v>1741.13</v>
      </c>
      <c r="R416" s="507">
        <v>2108.7732596736914</v>
      </c>
      <c r="S416" s="507">
        <v>0</v>
      </c>
      <c r="T416" s="507">
        <v>2108.7732596736914</v>
      </c>
      <c r="U416" s="507">
        <v>32.147092862037283</v>
      </c>
      <c r="V416" s="507">
        <f>Port[[#This Row],[EAD_Drawn (CNY)]]*Port[[#This Row],[CNY -&gt; FCY]]</f>
        <v>114214.01</v>
      </c>
      <c r="W416" s="507">
        <f>Port[[#This Row],[EAD_Undrawn (CNY)]]*Port[[#This Row],[CNY -&gt; FCY]]</f>
        <v>0</v>
      </c>
      <c r="X416" s="507">
        <f>Port[[#This Row],[EAD (CNY)]]*Port[[#This Row],[CNY -&gt; FCY]]</f>
        <v>114214.01</v>
      </c>
      <c r="Y416" s="507">
        <f>Port[[#This Row],[EAD_Interest (CNY)]]*Port[[#This Row],[CNY -&gt; FCY]]</f>
        <v>1741.13</v>
      </c>
      <c r="Z416" s="507">
        <f>Port[[#This Row],[ECL_Drawn (CNY)]]*Port[[#This Row],[CNY -&gt; FCY]]</f>
        <v>2108.7732596736914</v>
      </c>
      <c r="AA416" s="507">
        <f>Port[[#This Row],[ECL_Undrawn (CNY)]]*Port[[#This Row],[CNY -&gt; FCY]]</f>
        <v>0</v>
      </c>
      <c r="AB416" s="507">
        <f>Port[[#This Row],[ECL (CNY)]]*Port[[#This Row],[CNY -&gt; FCY]]</f>
        <v>2108.7732596736914</v>
      </c>
      <c r="AC416" s="507">
        <f>Port[[#This Row],[ECL_Interest (CNY)]]*Port[[#This Row],[CNY -&gt; FCY]]</f>
        <v>32.147092862037283</v>
      </c>
      <c r="AD416" s="507">
        <f>Port[[#This Row],[EAD_Drawn (CNY)]]*Port[[#This Row],[CNY -&gt; THB]]</f>
        <v>599486.495688</v>
      </c>
      <c r="AE416" s="507">
        <f>Port[[#This Row],[EAD_Undrawn (CNY)]]*Port[[#This Row],[CNY -&gt; THB]]</f>
        <v>0</v>
      </c>
      <c r="AF416" s="507">
        <f>Port[[#This Row],[EAD (CNY)]]*Port[[#This Row],[CNY -&gt; THB]]</f>
        <v>599486.495688</v>
      </c>
      <c r="AG416" s="507">
        <f>Port[[#This Row],[EAD_Interest (CNY)]]*Port[[#This Row],[CNY -&gt; THB]]</f>
        <v>9138.8431440000004</v>
      </c>
      <c r="AH416" s="507">
        <f>Port[[#This Row],[ECL_Drawn (CNY)]]*Port[[#This Row],[CNY -&gt; THB]]</f>
        <v>11068.529085375272</v>
      </c>
      <c r="AI416" s="507">
        <f>Port[[#This Row],[ECL_Undrawn (CNY)]]*Port[[#This Row],[CNY -&gt; THB]]</f>
        <v>0</v>
      </c>
      <c r="AJ416" s="507">
        <f>Port[[#This Row],[ECL (CNY)]]*Port[[#This Row],[CNY -&gt; THB]]</f>
        <v>11068.529085375272</v>
      </c>
      <c r="AK416" s="507">
        <f>Port[[#This Row],[ECL_Interest (CNY)]]*Port[[#This Row],[CNY -&gt; THB]]</f>
        <v>168.73366101426129</v>
      </c>
      <c r="AL416" s="507">
        <f>Port[[#This Row],[EAD (THB)]]*Port[[#This Row],[PD_avg]]</f>
        <v>12298.365650416968</v>
      </c>
      <c r="AM416" s="507">
        <f>Port[[#This Row],[EAD_Interest (THB)]]*Port[[#This Row],[PD_avg]]</f>
        <v>187.48184557140141</v>
      </c>
      <c r="AN416" s="507">
        <f>Port[[#This Row],[EAD (THB)]]*Port[[#This Row],[LGD_avg]]</f>
        <v>539537.8461192</v>
      </c>
      <c r="AO416" s="507">
        <f>Port[[#This Row],[EAD_Interest (THB)]]*Port[[#This Row],[LGD_avg]]</f>
        <v>8224.9588296000002</v>
      </c>
      <c r="AP416" s="507">
        <f>Port[[#This Row],[EAD_Drawn (THB)]]+Port[[#This Row],[EAD_Interest (THB)]]</f>
        <v>608625.33883200004</v>
      </c>
      <c r="AQ4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8992.2974353199988</v>
      </c>
      <c r="AR416" s="522">
        <f>MAX(Port[[#This Row],[ECL (THB)]]+Port[[#This Row],[ECL_Interest (THB)]], Port[[#This Row],[ECL CBIRC (THB)]])</f>
        <v>11237.262746389533</v>
      </c>
    </row>
    <row r="417" spans="1:44">
      <c r="A417" s="2" t="s">
        <v>1114</v>
      </c>
      <c r="B417" s="2" t="s">
        <v>1099</v>
      </c>
      <c r="C417" s="2" t="s">
        <v>328</v>
      </c>
      <c r="D417" s="2" t="s">
        <v>18</v>
      </c>
      <c r="E417" s="2" t="s">
        <v>19</v>
      </c>
      <c r="F417" s="2" t="s">
        <v>20</v>
      </c>
      <c r="G417" s="2" t="s">
        <v>21</v>
      </c>
      <c r="H417">
        <v>1</v>
      </c>
      <c r="I417" s="2" t="s">
        <v>526</v>
      </c>
      <c r="J417" s="505">
        <v>2.0514833509807026E-2</v>
      </c>
      <c r="K417" s="505">
        <v>0.8999999999999998</v>
      </c>
      <c r="L417" s="3">
        <v>1</v>
      </c>
      <c r="M417" s="3">
        <v>5.2488000000000001</v>
      </c>
      <c r="N417" s="507">
        <v>27861.7</v>
      </c>
      <c r="O417" s="507">
        <v>0</v>
      </c>
      <c r="P417" s="507">
        <v>27861.7</v>
      </c>
      <c r="Q417" s="507">
        <v>424.74</v>
      </c>
      <c r="R417" s="507">
        <v>514.42032312017136</v>
      </c>
      <c r="S417" s="507">
        <v>0</v>
      </c>
      <c r="T417" s="507">
        <v>514.42032312017136</v>
      </c>
      <c r="U417" s="507">
        <v>7.8421233464598927</v>
      </c>
      <c r="V417" s="507">
        <f>Port[[#This Row],[EAD_Drawn (CNY)]]*Port[[#This Row],[CNY -&gt; FCY]]</f>
        <v>27861.7</v>
      </c>
      <c r="W417" s="507">
        <f>Port[[#This Row],[EAD_Undrawn (CNY)]]*Port[[#This Row],[CNY -&gt; FCY]]</f>
        <v>0</v>
      </c>
      <c r="X417" s="507">
        <f>Port[[#This Row],[EAD (CNY)]]*Port[[#This Row],[CNY -&gt; FCY]]</f>
        <v>27861.7</v>
      </c>
      <c r="Y417" s="507">
        <f>Port[[#This Row],[EAD_Interest (CNY)]]*Port[[#This Row],[CNY -&gt; FCY]]</f>
        <v>424.74</v>
      </c>
      <c r="Z417" s="507">
        <f>Port[[#This Row],[ECL_Drawn (CNY)]]*Port[[#This Row],[CNY -&gt; FCY]]</f>
        <v>514.42032312017136</v>
      </c>
      <c r="AA417" s="507">
        <f>Port[[#This Row],[ECL_Undrawn (CNY)]]*Port[[#This Row],[CNY -&gt; FCY]]</f>
        <v>0</v>
      </c>
      <c r="AB417" s="507">
        <f>Port[[#This Row],[ECL (CNY)]]*Port[[#This Row],[CNY -&gt; FCY]]</f>
        <v>514.42032312017136</v>
      </c>
      <c r="AC417" s="507">
        <f>Port[[#This Row],[ECL_Interest (CNY)]]*Port[[#This Row],[CNY -&gt; FCY]]</f>
        <v>7.8421233464598927</v>
      </c>
      <c r="AD417" s="507">
        <f>Port[[#This Row],[EAD_Drawn (CNY)]]*Port[[#This Row],[CNY -&gt; THB]]</f>
        <v>146240.49096</v>
      </c>
      <c r="AE417" s="507">
        <f>Port[[#This Row],[EAD_Undrawn (CNY)]]*Port[[#This Row],[CNY -&gt; THB]]</f>
        <v>0</v>
      </c>
      <c r="AF417" s="507">
        <f>Port[[#This Row],[EAD (CNY)]]*Port[[#This Row],[CNY -&gt; THB]]</f>
        <v>146240.49096</v>
      </c>
      <c r="AG417" s="507">
        <f>Port[[#This Row],[EAD_Interest (CNY)]]*Port[[#This Row],[CNY -&gt; THB]]</f>
        <v>2229.3753120000001</v>
      </c>
      <c r="AH417" s="507">
        <f>Port[[#This Row],[ECL_Drawn (CNY)]]*Port[[#This Row],[CNY -&gt; THB]]</f>
        <v>2700.0893919931555</v>
      </c>
      <c r="AI417" s="507">
        <f>Port[[#This Row],[ECL_Undrawn (CNY)]]*Port[[#This Row],[CNY -&gt; THB]]</f>
        <v>0</v>
      </c>
      <c r="AJ417" s="507">
        <f>Port[[#This Row],[ECL (CNY)]]*Port[[#This Row],[CNY -&gt; THB]]</f>
        <v>2700.0893919931555</v>
      </c>
      <c r="AK417" s="507">
        <f>Port[[#This Row],[ECL_Interest (CNY)]]*Port[[#This Row],[CNY -&gt; THB]]</f>
        <v>41.161737020898684</v>
      </c>
      <c r="AL417" s="507">
        <f>Port[[#This Row],[EAD (THB)]]*Port[[#This Row],[PD_avg]]</f>
        <v>3000.0993244368392</v>
      </c>
      <c r="AM417" s="507">
        <f>Port[[#This Row],[EAD_Interest (THB)]]*Port[[#This Row],[PD_avg]]</f>
        <v>45.7352633565541</v>
      </c>
      <c r="AN417" s="507">
        <f>Port[[#This Row],[EAD (THB)]]*Port[[#This Row],[LGD_avg]]</f>
        <v>131616.44186399996</v>
      </c>
      <c r="AO417" s="507">
        <f>Port[[#This Row],[EAD_Interest (THB)]]*Port[[#This Row],[LGD_avg]]</f>
        <v>2006.4377807999997</v>
      </c>
      <c r="AP417" s="507">
        <f>Port[[#This Row],[EAD_Drawn (THB)]]+Port[[#This Row],[EAD_Interest (THB)]]</f>
        <v>148469.86627199998</v>
      </c>
      <c r="AQ4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2193.6073643999998</v>
      </c>
      <c r="AR417" s="522">
        <f>MAX(Port[[#This Row],[ECL (THB)]]+Port[[#This Row],[ECL_Interest (THB)]], Port[[#This Row],[ECL CBIRC (THB)]])</f>
        <v>2741.2511290140542</v>
      </c>
    </row>
    <row r="418" spans="1:44">
      <c r="A418" s="2" t="s">
        <v>1115</v>
      </c>
      <c r="B418" s="2" t="s">
        <v>360</v>
      </c>
      <c r="C418" s="2" t="s">
        <v>328</v>
      </c>
      <c r="D418" s="2" t="s">
        <v>18</v>
      </c>
      <c r="E418" s="2" t="s">
        <v>19</v>
      </c>
      <c r="F418" s="2" t="s">
        <v>20</v>
      </c>
      <c r="G418" s="2" t="s">
        <v>21</v>
      </c>
      <c r="H418">
        <v>1</v>
      </c>
      <c r="I418" s="2" t="s">
        <v>526</v>
      </c>
      <c r="J418" s="505">
        <v>2.0514833509807026E-2</v>
      </c>
      <c r="K418" s="505">
        <v>0.90000000000000024</v>
      </c>
      <c r="L418" s="3">
        <v>1</v>
      </c>
      <c r="M418" s="3">
        <v>5.2488000000000001</v>
      </c>
      <c r="N418" s="507">
        <v>247923.59</v>
      </c>
      <c r="O418" s="507">
        <v>0</v>
      </c>
      <c r="P418" s="507">
        <v>247923.59</v>
      </c>
      <c r="Q418" s="507">
        <v>3779.46</v>
      </c>
      <c r="R418" s="507">
        <v>4577.5000548032931</v>
      </c>
      <c r="S418" s="507">
        <v>0</v>
      </c>
      <c r="T418" s="507">
        <v>4577.5000548032931</v>
      </c>
      <c r="U418" s="507">
        <v>69.781493391277749</v>
      </c>
      <c r="V418" s="507">
        <f>Port[[#This Row],[EAD_Drawn (CNY)]]*Port[[#This Row],[CNY -&gt; FCY]]</f>
        <v>247923.59</v>
      </c>
      <c r="W418" s="507">
        <f>Port[[#This Row],[EAD_Undrawn (CNY)]]*Port[[#This Row],[CNY -&gt; FCY]]</f>
        <v>0</v>
      </c>
      <c r="X418" s="507">
        <f>Port[[#This Row],[EAD (CNY)]]*Port[[#This Row],[CNY -&gt; FCY]]</f>
        <v>247923.59</v>
      </c>
      <c r="Y418" s="507">
        <f>Port[[#This Row],[EAD_Interest (CNY)]]*Port[[#This Row],[CNY -&gt; FCY]]</f>
        <v>3779.46</v>
      </c>
      <c r="Z418" s="507">
        <f>Port[[#This Row],[ECL_Drawn (CNY)]]*Port[[#This Row],[CNY -&gt; FCY]]</f>
        <v>4577.5000548032931</v>
      </c>
      <c r="AA418" s="507">
        <f>Port[[#This Row],[ECL_Undrawn (CNY)]]*Port[[#This Row],[CNY -&gt; FCY]]</f>
        <v>0</v>
      </c>
      <c r="AB418" s="507">
        <f>Port[[#This Row],[ECL (CNY)]]*Port[[#This Row],[CNY -&gt; FCY]]</f>
        <v>4577.5000548032931</v>
      </c>
      <c r="AC418" s="507">
        <f>Port[[#This Row],[ECL_Interest (CNY)]]*Port[[#This Row],[CNY -&gt; FCY]]</f>
        <v>69.781493391277749</v>
      </c>
      <c r="AD418" s="507">
        <f>Port[[#This Row],[EAD_Drawn (CNY)]]*Port[[#This Row],[CNY -&gt; THB]]</f>
        <v>1301301.339192</v>
      </c>
      <c r="AE418" s="507">
        <f>Port[[#This Row],[EAD_Undrawn (CNY)]]*Port[[#This Row],[CNY -&gt; THB]]</f>
        <v>0</v>
      </c>
      <c r="AF418" s="507">
        <f>Port[[#This Row],[EAD (CNY)]]*Port[[#This Row],[CNY -&gt; THB]]</f>
        <v>1301301.339192</v>
      </c>
      <c r="AG418" s="507">
        <f>Port[[#This Row],[EAD_Interest (CNY)]]*Port[[#This Row],[CNY -&gt; THB]]</f>
        <v>19837.629648000002</v>
      </c>
      <c r="AH418" s="507">
        <f>Port[[#This Row],[ECL_Drawn (CNY)]]*Port[[#This Row],[CNY -&gt; THB]]</f>
        <v>24026.382287651526</v>
      </c>
      <c r="AI418" s="507">
        <f>Port[[#This Row],[ECL_Undrawn (CNY)]]*Port[[#This Row],[CNY -&gt; THB]]</f>
        <v>0</v>
      </c>
      <c r="AJ418" s="507">
        <f>Port[[#This Row],[ECL (CNY)]]*Port[[#This Row],[CNY -&gt; THB]]</f>
        <v>24026.382287651526</v>
      </c>
      <c r="AK418" s="507">
        <f>Port[[#This Row],[ECL_Interest (CNY)]]*Port[[#This Row],[CNY -&gt; THB]]</f>
        <v>366.26910251213866</v>
      </c>
      <c r="AL418" s="507">
        <f>Port[[#This Row],[EAD (THB)]]*Port[[#This Row],[PD_avg]]</f>
        <v>26695.980319612801</v>
      </c>
      <c r="AM418" s="507">
        <f>Port[[#This Row],[EAD_Interest (THB)]]*Port[[#This Row],[PD_avg]]</f>
        <v>406.96566945793182</v>
      </c>
      <c r="AN418" s="507">
        <f>Port[[#This Row],[EAD (THB)]]*Port[[#This Row],[LGD_avg]]</f>
        <v>1171171.2052728003</v>
      </c>
      <c r="AO418" s="507">
        <f>Port[[#This Row],[EAD_Interest (THB)]]*Port[[#This Row],[LGD_avg]]</f>
        <v>17853.866683200005</v>
      </c>
      <c r="AP418" s="507">
        <f>Port[[#This Row],[EAD_Drawn (THB)]]+Port[[#This Row],[EAD_Interest (THB)]]</f>
        <v>1321138.96884</v>
      </c>
      <c r="AQ4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19519.520087879999</v>
      </c>
      <c r="AR418" s="522">
        <f>MAX(Port[[#This Row],[ECL (THB)]]+Port[[#This Row],[ECL_Interest (THB)]], Port[[#This Row],[ECL CBIRC (THB)]])</f>
        <v>24392.651390163664</v>
      </c>
    </row>
    <row r="419" spans="1:44">
      <c r="A419" s="2" t="s">
        <v>1116</v>
      </c>
      <c r="B419" s="2" t="s">
        <v>1117</v>
      </c>
      <c r="C419" s="2" t="s">
        <v>328</v>
      </c>
      <c r="D419" s="2" t="s">
        <v>18</v>
      </c>
      <c r="E419" s="2" t="s">
        <v>19</v>
      </c>
      <c r="F419" s="2" t="s">
        <v>20</v>
      </c>
      <c r="G419" s="2" t="s">
        <v>21</v>
      </c>
      <c r="H419">
        <v>1</v>
      </c>
      <c r="I419" s="2" t="s">
        <v>526</v>
      </c>
      <c r="J419" s="505">
        <v>2.0514833509807026E-2</v>
      </c>
      <c r="K419" s="505">
        <v>0.8999999999999998</v>
      </c>
      <c r="L419" s="3">
        <v>1</v>
      </c>
      <c r="M419" s="3">
        <v>5.2488000000000001</v>
      </c>
      <c r="N419" s="507">
        <v>120177.14</v>
      </c>
      <c r="O419" s="507">
        <v>0</v>
      </c>
      <c r="P419" s="507">
        <v>120177.14</v>
      </c>
      <c r="Q419" s="507">
        <v>1832.03</v>
      </c>
      <c r="R419" s="507">
        <v>2218.8726169062929</v>
      </c>
      <c r="S419" s="507">
        <v>0</v>
      </c>
      <c r="T419" s="507">
        <v>2218.8726169062929</v>
      </c>
      <c r="U419" s="507">
        <v>33.825411391474596</v>
      </c>
      <c r="V419" s="507">
        <f>Port[[#This Row],[EAD_Drawn (CNY)]]*Port[[#This Row],[CNY -&gt; FCY]]</f>
        <v>120177.14</v>
      </c>
      <c r="W419" s="507">
        <f>Port[[#This Row],[EAD_Undrawn (CNY)]]*Port[[#This Row],[CNY -&gt; FCY]]</f>
        <v>0</v>
      </c>
      <c r="X419" s="507">
        <f>Port[[#This Row],[EAD (CNY)]]*Port[[#This Row],[CNY -&gt; FCY]]</f>
        <v>120177.14</v>
      </c>
      <c r="Y419" s="507">
        <f>Port[[#This Row],[EAD_Interest (CNY)]]*Port[[#This Row],[CNY -&gt; FCY]]</f>
        <v>1832.03</v>
      </c>
      <c r="Z419" s="507">
        <f>Port[[#This Row],[ECL_Drawn (CNY)]]*Port[[#This Row],[CNY -&gt; FCY]]</f>
        <v>2218.8726169062929</v>
      </c>
      <c r="AA419" s="507">
        <f>Port[[#This Row],[ECL_Undrawn (CNY)]]*Port[[#This Row],[CNY -&gt; FCY]]</f>
        <v>0</v>
      </c>
      <c r="AB419" s="507">
        <f>Port[[#This Row],[ECL (CNY)]]*Port[[#This Row],[CNY -&gt; FCY]]</f>
        <v>2218.8726169062929</v>
      </c>
      <c r="AC419" s="507">
        <f>Port[[#This Row],[ECL_Interest (CNY)]]*Port[[#This Row],[CNY -&gt; FCY]]</f>
        <v>33.825411391474596</v>
      </c>
      <c r="AD419" s="507">
        <f>Port[[#This Row],[EAD_Drawn (CNY)]]*Port[[#This Row],[CNY -&gt; THB]]</f>
        <v>630785.77243200003</v>
      </c>
      <c r="AE419" s="507">
        <f>Port[[#This Row],[EAD_Undrawn (CNY)]]*Port[[#This Row],[CNY -&gt; THB]]</f>
        <v>0</v>
      </c>
      <c r="AF419" s="507">
        <f>Port[[#This Row],[EAD (CNY)]]*Port[[#This Row],[CNY -&gt; THB]]</f>
        <v>630785.77243200003</v>
      </c>
      <c r="AG419" s="507">
        <f>Port[[#This Row],[EAD_Interest (CNY)]]*Port[[#This Row],[CNY -&gt; THB]]</f>
        <v>9615.9590640000006</v>
      </c>
      <c r="AH419" s="507">
        <f>Port[[#This Row],[ECL_Drawn (CNY)]]*Port[[#This Row],[CNY -&gt; THB]]</f>
        <v>11646.41859161775</v>
      </c>
      <c r="AI419" s="507">
        <f>Port[[#This Row],[ECL_Undrawn (CNY)]]*Port[[#This Row],[CNY -&gt; THB]]</f>
        <v>0</v>
      </c>
      <c r="AJ419" s="507">
        <f>Port[[#This Row],[ECL (CNY)]]*Port[[#This Row],[CNY -&gt; THB]]</f>
        <v>11646.41859161775</v>
      </c>
      <c r="AK419" s="507">
        <f>Port[[#This Row],[ECL_Interest (CNY)]]*Port[[#This Row],[CNY -&gt; THB]]</f>
        <v>177.54281931157186</v>
      </c>
      <c r="AL419" s="507">
        <f>Port[[#This Row],[EAD (THB)]]*Port[[#This Row],[PD_avg]]</f>
        <v>12940.465101797503</v>
      </c>
      <c r="AM419" s="507">
        <f>Port[[#This Row],[EAD_Interest (THB)]]*Port[[#This Row],[PD_avg]]</f>
        <v>197.26979923507983</v>
      </c>
      <c r="AN419" s="507">
        <f>Port[[#This Row],[EAD (THB)]]*Port[[#This Row],[LGD_avg]]</f>
        <v>567707.19518879987</v>
      </c>
      <c r="AO419" s="507">
        <f>Port[[#This Row],[EAD_Interest (THB)]]*Port[[#This Row],[LGD_avg]]</f>
        <v>8654.3631575999989</v>
      </c>
      <c r="AP419" s="507">
        <f>Port[[#This Row],[EAD_Drawn (THB)]]+Port[[#This Row],[EAD_Interest (THB)]]</f>
        <v>640401.73149600008</v>
      </c>
      <c r="AQ4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9461.7865864800006</v>
      </c>
      <c r="AR419" s="522">
        <f>MAX(Port[[#This Row],[ECL (THB)]]+Port[[#This Row],[ECL_Interest (THB)]], Port[[#This Row],[ECL CBIRC (THB)]])</f>
        <v>11823.961410929322</v>
      </c>
    </row>
    <row r="420" spans="1:44">
      <c r="A420" s="2" t="s">
        <v>1118</v>
      </c>
      <c r="B420" s="2" t="s">
        <v>1119</v>
      </c>
      <c r="C420" s="2" t="s">
        <v>328</v>
      </c>
      <c r="D420" s="2" t="s">
        <v>18</v>
      </c>
      <c r="E420" s="2" t="s">
        <v>19</v>
      </c>
      <c r="F420" s="2" t="s">
        <v>20</v>
      </c>
      <c r="G420" s="2" t="s">
        <v>21</v>
      </c>
      <c r="H420">
        <v>1</v>
      </c>
      <c r="I420" s="2" t="s">
        <v>526</v>
      </c>
      <c r="J420" s="505">
        <v>2.0514833509807026E-2</v>
      </c>
      <c r="K420" s="505">
        <v>0.90000000000000024</v>
      </c>
      <c r="L420" s="3">
        <v>1</v>
      </c>
      <c r="M420" s="3">
        <v>5.2488000000000001</v>
      </c>
      <c r="N420" s="507">
        <v>137428.5</v>
      </c>
      <c r="O420" s="507">
        <v>0</v>
      </c>
      <c r="P420" s="507">
        <v>137428.5</v>
      </c>
      <c r="Q420" s="507">
        <v>1945.38</v>
      </c>
      <c r="R420" s="507">
        <v>2537.390517302264</v>
      </c>
      <c r="S420" s="507">
        <v>0</v>
      </c>
      <c r="T420" s="507">
        <v>2537.390517302264</v>
      </c>
      <c r="U420" s="507">
        <v>35.918232131977561</v>
      </c>
      <c r="V420" s="507">
        <f>Port[[#This Row],[EAD_Drawn (CNY)]]*Port[[#This Row],[CNY -&gt; FCY]]</f>
        <v>137428.5</v>
      </c>
      <c r="W420" s="507">
        <f>Port[[#This Row],[EAD_Undrawn (CNY)]]*Port[[#This Row],[CNY -&gt; FCY]]</f>
        <v>0</v>
      </c>
      <c r="X420" s="507">
        <f>Port[[#This Row],[EAD (CNY)]]*Port[[#This Row],[CNY -&gt; FCY]]</f>
        <v>137428.5</v>
      </c>
      <c r="Y420" s="507">
        <f>Port[[#This Row],[EAD_Interest (CNY)]]*Port[[#This Row],[CNY -&gt; FCY]]</f>
        <v>1945.38</v>
      </c>
      <c r="Z420" s="507">
        <f>Port[[#This Row],[ECL_Drawn (CNY)]]*Port[[#This Row],[CNY -&gt; FCY]]</f>
        <v>2537.390517302264</v>
      </c>
      <c r="AA420" s="507">
        <f>Port[[#This Row],[ECL_Undrawn (CNY)]]*Port[[#This Row],[CNY -&gt; FCY]]</f>
        <v>0</v>
      </c>
      <c r="AB420" s="507">
        <f>Port[[#This Row],[ECL (CNY)]]*Port[[#This Row],[CNY -&gt; FCY]]</f>
        <v>2537.390517302264</v>
      </c>
      <c r="AC420" s="507">
        <f>Port[[#This Row],[ECL_Interest (CNY)]]*Port[[#This Row],[CNY -&gt; FCY]]</f>
        <v>35.918232131977561</v>
      </c>
      <c r="AD420" s="507">
        <f>Port[[#This Row],[EAD_Drawn (CNY)]]*Port[[#This Row],[CNY -&gt; THB]]</f>
        <v>721334.7108</v>
      </c>
      <c r="AE420" s="507">
        <f>Port[[#This Row],[EAD_Undrawn (CNY)]]*Port[[#This Row],[CNY -&gt; THB]]</f>
        <v>0</v>
      </c>
      <c r="AF420" s="507">
        <f>Port[[#This Row],[EAD (CNY)]]*Port[[#This Row],[CNY -&gt; THB]]</f>
        <v>721334.7108</v>
      </c>
      <c r="AG420" s="507">
        <f>Port[[#This Row],[EAD_Interest (CNY)]]*Port[[#This Row],[CNY -&gt; THB]]</f>
        <v>10210.910544</v>
      </c>
      <c r="AH420" s="507">
        <f>Port[[#This Row],[ECL_Drawn (CNY)]]*Port[[#This Row],[CNY -&gt; THB]]</f>
        <v>13318.255347216123</v>
      </c>
      <c r="AI420" s="507">
        <f>Port[[#This Row],[ECL_Undrawn (CNY)]]*Port[[#This Row],[CNY -&gt; THB]]</f>
        <v>0</v>
      </c>
      <c r="AJ420" s="507">
        <f>Port[[#This Row],[ECL (CNY)]]*Port[[#This Row],[CNY -&gt; THB]]</f>
        <v>13318.255347216123</v>
      </c>
      <c r="AK420" s="507">
        <f>Port[[#This Row],[ECL_Interest (CNY)]]*Port[[#This Row],[CNY -&gt; THB]]</f>
        <v>188.52761681432384</v>
      </c>
      <c r="AL420" s="507">
        <f>Port[[#This Row],[EAD (THB)]]*Port[[#This Row],[PD_avg]]</f>
        <v>14798.061496906801</v>
      </c>
      <c r="AM420" s="507">
        <f>Port[[#This Row],[EAD_Interest (THB)]]*Port[[#This Row],[PD_avg]]</f>
        <v>209.4751297936931</v>
      </c>
      <c r="AN420" s="507">
        <f>Port[[#This Row],[EAD (THB)]]*Port[[#This Row],[LGD_avg]]</f>
        <v>649201.23972000019</v>
      </c>
      <c r="AO420" s="507">
        <f>Port[[#This Row],[EAD_Interest (THB)]]*Port[[#This Row],[LGD_avg]]</f>
        <v>9189.8194896000023</v>
      </c>
      <c r="AP420" s="507">
        <f>Port[[#This Row],[EAD_Drawn (THB)]]+Port[[#This Row],[EAD_Interest (THB)]]</f>
        <v>731545.62134399998</v>
      </c>
      <c r="AQ4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10820.020661999999</v>
      </c>
      <c r="AR420" s="522">
        <f>MAX(Port[[#This Row],[ECL (THB)]]+Port[[#This Row],[ECL_Interest (THB)]], Port[[#This Row],[ECL CBIRC (THB)]])</f>
        <v>13506.782964030448</v>
      </c>
    </row>
    <row r="421" spans="1:44">
      <c r="A421" s="2" t="s">
        <v>1120</v>
      </c>
      <c r="B421" s="2" t="s">
        <v>374</v>
      </c>
      <c r="C421" s="2" t="s">
        <v>328</v>
      </c>
      <c r="D421" s="2" t="s">
        <v>18</v>
      </c>
      <c r="E421" s="2" t="s">
        <v>19</v>
      </c>
      <c r="F421" s="2" t="s">
        <v>20</v>
      </c>
      <c r="G421" s="2" t="s">
        <v>21</v>
      </c>
      <c r="H421">
        <v>1</v>
      </c>
      <c r="I421" s="2" t="s">
        <v>526</v>
      </c>
      <c r="J421" s="505">
        <v>2.0514833509807026E-2</v>
      </c>
      <c r="K421" s="505">
        <v>0.90000000000000013</v>
      </c>
      <c r="L421" s="3">
        <v>1</v>
      </c>
      <c r="M421" s="3">
        <v>5.2488000000000001</v>
      </c>
      <c r="N421" s="507">
        <v>186729.76</v>
      </c>
      <c r="O421" s="507">
        <v>0</v>
      </c>
      <c r="P421" s="507">
        <v>186729.76</v>
      </c>
      <c r="Q421" s="507">
        <v>2567.02</v>
      </c>
      <c r="R421" s="507">
        <v>3447.6569439536015</v>
      </c>
      <c r="S421" s="507">
        <v>0</v>
      </c>
      <c r="T421" s="507">
        <v>3447.6569439536015</v>
      </c>
      <c r="U421" s="507">
        <v>47.395789124710348</v>
      </c>
      <c r="V421" s="507">
        <f>Port[[#This Row],[EAD_Drawn (CNY)]]*Port[[#This Row],[CNY -&gt; FCY]]</f>
        <v>186729.76</v>
      </c>
      <c r="W421" s="507">
        <f>Port[[#This Row],[EAD_Undrawn (CNY)]]*Port[[#This Row],[CNY -&gt; FCY]]</f>
        <v>0</v>
      </c>
      <c r="X421" s="507">
        <f>Port[[#This Row],[EAD (CNY)]]*Port[[#This Row],[CNY -&gt; FCY]]</f>
        <v>186729.76</v>
      </c>
      <c r="Y421" s="507">
        <f>Port[[#This Row],[EAD_Interest (CNY)]]*Port[[#This Row],[CNY -&gt; FCY]]</f>
        <v>2567.02</v>
      </c>
      <c r="Z421" s="507">
        <f>Port[[#This Row],[ECL_Drawn (CNY)]]*Port[[#This Row],[CNY -&gt; FCY]]</f>
        <v>3447.6569439536015</v>
      </c>
      <c r="AA421" s="507">
        <f>Port[[#This Row],[ECL_Undrawn (CNY)]]*Port[[#This Row],[CNY -&gt; FCY]]</f>
        <v>0</v>
      </c>
      <c r="AB421" s="507">
        <f>Port[[#This Row],[ECL (CNY)]]*Port[[#This Row],[CNY -&gt; FCY]]</f>
        <v>3447.6569439536015</v>
      </c>
      <c r="AC421" s="507">
        <f>Port[[#This Row],[ECL_Interest (CNY)]]*Port[[#This Row],[CNY -&gt; FCY]]</f>
        <v>47.395789124710348</v>
      </c>
      <c r="AD421" s="507">
        <f>Port[[#This Row],[EAD_Drawn (CNY)]]*Port[[#This Row],[CNY -&gt; THB]]</f>
        <v>980107.16428800009</v>
      </c>
      <c r="AE421" s="507">
        <f>Port[[#This Row],[EAD_Undrawn (CNY)]]*Port[[#This Row],[CNY -&gt; THB]]</f>
        <v>0</v>
      </c>
      <c r="AF421" s="507">
        <f>Port[[#This Row],[EAD (CNY)]]*Port[[#This Row],[CNY -&gt; THB]]</f>
        <v>980107.16428800009</v>
      </c>
      <c r="AG421" s="507">
        <f>Port[[#This Row],[EAD_Interest (CNY)]]*Port[[#This Row],[CNY -&gt; THB]]</f>
        <v>13473.774576</v>
      </c>
      <c r="AH421" s="507">
        <f>Port[[#This Row],[ECL_Drawn (CNY)]]*Port[[#This Row],[CNY -&gt; THB]]</f>
        <v>18096.061767423664</v>
      </c>
      <c r="AI421" s="507">
        <f>Port[[#This Row],[ECL_Undrawn (CNY)]]*Port[[#This Row],[CNY -&gt; THB]]</f>
        <v>0</v>
      </c>
      <c r="AJ421" s="507">
        <f>Port[[#This Row],[ECL (CNY)]]*Port[[#This Row],[CNY -&gt; THB]]</f>
        <v>18096.061767423664</v>
      </c>
      <c r="AK421" s="507">
        <f>Port[[#This Row],[ECL_Interest (CNY)]]*Port[[#This Row],[CNY -&gt; THB]]</f>
        <v>248.77101795777969</v>
      </c>
      <c r="AL421" s="507">
        <f>Port[[#This Row],[EAD (THB)]]*Port[[#This Row],[PD_avg]]</f>
        <v>20106.735297137406</v>
      </c>
      <c r="AM421" s="507">
        <f>Port[[#This Row],[EAD_Interest (THB)]]*Port[[#This Row],[PD_avg]]</f>
        <v>276.41224217531072</v>
      </c>
      <c r="AN421" s="507">
        <f>Port[[#This Row],[EAD (THB)]]*Port[[#This Row],[LGD_avg]]</f>
        <v>882096.44785920018</v>
      </c>
      <c r="AO421" s="507">
        <f>Port[[#This Row],[EAD_Interest (THB)]]*Port[[#This Row],[LGD_avg]]</f>
        <v>12126.397118400002</v>
      </c>
      <c r="AP421" s="507">
        <f>Port[[#This Row],[EAD_Drawn (THB)]]+Port[[#This Row],[EAD_Interest (THB)]]</f>
        <v>993580.93886400014</v>
      </c>
      <c r="AQ4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14701.607464320001</v>
      </c>
      <c r="AR421" s="522">
        <f>MAX(Port[[#This Row],[ECL (THB)]]+Port[[#This Row],[ECL_Interest (THB)]], Port[[#This Row],[ECL CBIRC (THB)]])</f>
        <v>18344.832785381444</v>
      </c>
    </row>
    <row r="422" spans="1:44">
      <c r="A422" s="2" t="s">
        <v>1121</v>
      </c>
      <c r="B422" s="2" t="s">
        <v>366</v>
      </c>
      <c r="C422" s="2" t="s">
        <v>328</v>
      </c>
      <c r="D422" s="2" t="s">
        <v>18</v>
      </c>
      <c r="E422" s="2" t="s">
        <v>19</v>
      </c>
      <c r="F422" s="2" t="s">
        <v>20</v>
      </c>
      <c r="G422" s="2" t="s">
        <v>21</v>
      </c>
      <c r="H422">
        <v>1</v>
      </c>
      <c r="I422" s="2" t="s">
        <v>526</v>
      </c>
      <c r="J422" s="505">
        <v>2.0514833509807026E-2</v>
      </c>
      <c r="K422" s="505">
        <v>0.9</v>
      </c>
      <c r="L422" s="3">
        <v>1</v>
      </c>
      <c r="M422" s="3">
        <v>5.2488000000000001</v>
      </c>
      <c r="N422" s="507">
        <v>315535.69</v>
      </c>
      <c r="O422" s="507">
        <v>0</v>
      </c>
      <c r="P422" s="507">
        <v>315535.69</v>
      </c>
      <c r="Q422" s="507">
        <v>4337.74</v>
      </c>
      <c r="R422" s="507">
        <v>5825.8459320768734</v>
      </c>
      <c r="S422" s="507">
        <v>0</v>
      </c>
      <c r="T422" s="507">
        <v>5825.8459320768734</v>
      </c>
      <c r="U422" s="507">
        <v>80.089212517947288</v>
      </c>
      <c r="V422" s="507">
        <f>Port[[#This Row],[EAD_Drawn (CNY)]]*Port[[#This Row],[CNY -&gt; FCY]]</f>
        <v>315535.69</v>
      </c>
      <c r="W422" s="507">
        <f>Port[[#This Row],[EAD_Undrawn (CNY)]]*Port[[#This Row],[CNY -&gt; FCY]]</f>
        <v>0</v>
      </c>
      <c r="X422" s="507">
        <f>Port[[#This Row],[EAD (CNY)]]*Port[[#This Row],[CNY -&gt; FCY]]</f>
        <v>315535.69</v>
      </c>
      <c r="Y422" s="507">
        <f>Port[[#This Row],[EAD_Interest (CNY)]]*Port[[#This Row],[CNY -&gt; FCY]]</f>
        <v>4337.74</v>
      </c>
      <c r="Z422" s="507">
        <f>Port[[#This Row],[ECL_Drawn (CNY)]]*Port[[#This Row],[CNY -&gt; FCY]]</f>
        <v>5825.8459320768734</v>
      </c>
      <c r="AA422" s="507">
        <f>Port[[#This Row],[ECL_Undrawn (CNY)]]*Port[[#This Row],[CNY -&gt; FCY]]</f>
        <v>0</v>
      </c>
      <c r="AB422" s="507">
        <f>Port[[#This Row],[ECL (CNY)]]*Port[[#This Row],[CNY -&gt; FCY]]</f>
        <v>5825.8459320768734</v>
      </c>
      <c r="AC422" s="507">
        <f>Port[[#This Row],[ECL_Interest (CNY)]]*Port[[#This Row],[CNY -&gt; FCY]]</f>
        <v>80.089212517947288</v>
      </c>
      <c r="AD422" s="507">
        <f>Port[[#This Row],[EAD_Drawn (CNY)]]*Port[[#This Row],[CNY -&gt; THB]]</f>
        <v>1656183.729672</v>
      </c>
      <c r="AE422" s="507">
        <f>Port[[#This Row],[EAD_Undrawn (CNY)]]*Port[[#This Row],[CNY -&gt; THB]]</f>
        <v>0</v>
      </c>
      <c r="AF422" s="507">
        <f>Port[[#This Row],[EAD (CNY)]]*Port[[#This Row],[CNY -&gt; THB]]</f>
        <v>1656183.729672</v>
      </c>
      <c r="AG422" s="507">
        <f>Port[[#This Row],[EAD_Interest (CNY)]]*Port[[#This Row],[CNY -&gt; THB]]</f>
        <v>22767.929712000001</v>
      </c>
      <c r="AH422" s="507">
        <f>Port[[#This Row],[ECL_Drawn (CNY)]]*Port[[#This Row],[CNY -&gt; THB]]</f>
        <v>30578.700128285094</v>
      </c>
      <c r="AI422" s="507">
        <f>Port[[#This Row],[ECL_Undrawn (CNY)]]*Port[[#This Row],[CNY -&gt; THB]]</f>
        <v>0</v>
      </c>
      <c r="AJ422" s="507">
        <f>Port[[#This Row],[ECL (CNY)]]*Port[[#This Row],[CNY -&gt; THB]]</f>
        <v>30578.700128285094</v>
      </c>
      <c r="AK422" s="507">
        <f>Port[[#This Row],[ECL_Interest (CNY)]]*Port[[#This Row],[CNY -&gt; THB]]</f>
        <v>420.37225866420175</v>
      </c>
      <c r="AL422" s="507">
        <f>Port[[#This Row],[EAD (THB)]]*Port[[#This Row],[PD_avg]]</f>
        <v>33976.333475872329</v>
      </c>
      <c r="AM422" s="507">
        <f>Port[[#This Row],[EAD_Interest (THB)]]*Port[[#This Row],[PD_avg]]</f>
        <v>467.08028740466864</v>
      </c>
      <c r="AN422" s="507">
        <f>Port[[#This Row],[EAD (THB)]]*Port[[#This Row],[LGD_avg]]</f>
        <v>1490565.3567048002</v>
      </c>
      <c r="AO422" s="507">
        <f>Port[[#This Row],[EAD_Interest (THB)]]*Port[[#This Row],[LGD_avg]]</f>
        <v>20491.136740800001</v>
      </c>
      <c r="AP422" s="507">
        <f>Port[[#This Row],[EAD_Drawn (THB)]]+Port[[#This Row],[EAD_Interest (THB)]]</f>
        <v>1678951.6593840001</v>
      </c>
      <c r="AQ4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24842.75594508</v>
      </c>
      <c r="AR422" s="522">
        <f>MAX(Port[[#This Row],[ECL (THB)]]+Port[[#This Row],[ECL_Interest (THB)]], Port[[#This Row],[ECL CBIRC (THB)]])</f>
        <v>30999.072386949298</v>
      </c>
    </row>
    <row r="423" spans="1:44">
      <c r="A423" s="2" t="s">
        <v>1122</v>
      </c>
      <c r="B423" s="2" t="s">
        <v>1123</v>
      </c>
      <c r="C423" s="2" t="s">
        <v>328</v>
      </c>
      <c r="D423" s="2" t="s">
        <v>18</v>
      </c>
      <c r="E423" s="2" t="s">
        <v>19</v>
      </c>
      <c r="F423" s="2" t="s">
        <v>20</v>
      </c>
      <c r="G423" s="2" t="s">
        <v>21</v>
      </c>
      <c r="H423">
        <v>1</v>
      </c>
      <c r="I423" s="2" t="s">
        <v>526</v>
      </c>
      <c r="J423" s="505">
        <v>2.0514833509807026E-2</v>
      </c>
      <c r="K423" s="505">
        <v>0.9</v>
      </c>
      <c r="L423" s="3">
        <v>1</v>
      </c>
      <c r="M423" s="3">
        <v>5.2488000000000001</v>
      </c>
      <c r="N423" s="507">
        <v>37492.400000000001</v>
      </c>
      <c r="O423" s="507">
        <v>0</v>
      </c>
      <c r="P423" s="507">
        <v>37492.400000000001</v>
      </c>
      <c r="Q423" s="507">
        <v>505.21</v>
      </c>
      <c r="R423" s="507">
        <v>692.23530949478015</v>
      </c>
      <c r="S423" s="507">
        <v>0</v>
      </c>
      <c r="T423" s="507">
        <v>692.23530949478015</v>
      </c>
      <c r="U423" s="507">
        <v>9.3278691337406485</v>
      </c>
      <c r="V423" s="507">
        <f>Port[[#This Row],[EAD_Drawn (CNY)]]*Port[[#This Row],[CNY -&gt; FCY]]</f>
        <v>37492.400000000001</v>
      </c>
      <c r="W423" s="507">
        <f>Port[[#This Row],[EAD_Undrawn (CNY)]]*Port[[#This Row],[CNY -&gt; FCY]]</f>
        <v>0</v>
      </c>
      <c r="X423" s="507">
        <f>Port[[#This Row],[EAD (CNY)]]*Port[[#This Row],[CNY -&gt; FCY]]</f>
        <v>37492.400000000001</v>
      </c>
      <c r="Y423" s="507">
        <f>Port[[#This Row],[EAD_Interest (CNY)]]*Port[[#This Row],[CNY -&gt; FCY]]</f>
        <v>505.21</v>
      </c>
      <c r="Z423" s="507">
        <f>Port[[#This Row],[ECL_Drawn (CNY)]]*Port[[#This Row],[CNY -&gt; FCY]]</f>
        <v>692.23530949478015</v>
      </c>
      <c r="AA423" s="507">
        <f>Port[[#This Row],[ECL_Undrawn (CNY)]]*Port[[#This Row],[CNY -&gt; FCY]]</f>
        <v>0</v>
      </c>
      <c r="AB423" s="507">
        <f>Port[[#This Row],[ECL (CNY)]]*Port[[#This Row],[CNY -&gt; FCY]]</f>
        <v>692.23530949478015</v>
      </c>
      <c r="AC423" s="507">
        <f>Port[[#This Row],[ECL_Interest (CNY)]]*Port[[#This Row],[CNY -&gt; FCY]]</f>
        <v>9.3278691337406485</v>
      </c>
      <c r="AD423" s="507">
        <f>Port[[#This Row],[EAD_Drawn (CNY)]]*Port[[#This Row],[CNY -&gt; THB]]</f>
        <v>196790.10912000001</v>
      </c>
      <c r="AE423" s="507">
        <f>Port[[#This Row],[EAD_Undrawn (CNY)]]*Port[[#This Row],[CNY -&gt; THB]]</f>
        <v>0</v>
      </c>
      <c r="AF423" s="507">
        <f>Port[[#This Row],[EAD (CNY)]]*Port[[#This Row],[CNY -&gt; THB]]</f>
        <v>196790.10912000001</v>
      </c>
      <c r="AG423" s="507">
        <f>Port[[#This Row],[EAD_Interest (CNY)]]*Port[[#This Row],[CNY -&gt; THB]]</f>
        <v>2651.7462479999999</v>
      </c>
      <c r="AH423" s="507">
        <f>Port[[#This Row],[ECL_Drawn (CNY)]]*Port[[#This Row],[CNY -&gt; THB]]</f>
        <v>3633.4046924762019</v>
      </c>
      <c r="AI423" s="507">
        <f>Port[[#This Row],[ECL_Undrawn (CNY)]]*Port[[#This Row],[CNY -&gt; THB]]</f>
        <v>0</v>
      </c>
      <c r="AJ423" s="507">
        <f>Port[[#This Row],[ECL (CNY)]]*Port[[#This Row],[CNY -&gt; THB]]</f>
        <v>3633.4046924762019</v>
      </c>
      <c r="AK423" s="507">
        <f>Port[[#This Row],[ECL_Interest (CNY)]]*Port[[#This Row],[CNY -&gt; THB]]</f>
        <v>48.960119509177915</v>
      </c>
      <c r="AL423" s="507">
        <f>Port[[#This Row],[EAD (THB)]]*Port[[#This Row],[PD_avg]]</f>
        <v>4037.1163249735573</v>
      </c>
      <c r="AM423" s="507">
        <f>Port[[#This Row],[EAD_Interest (THB)]]*Port[[#This Row],[PD_avg]]</f>
        <v>54.400132787975451</v>
      </c>
      <c r="AN423" s="507">
        <f>Port[[#This Row],[EAD (THB)]]*Port[[#This Row],[LGD_avg]]</f>
        <v>177111.09820800001</v>
      </c>
      <c r="AO423" s="507">
        <f>Port[[#This Row],[EAD_Interest (THB)]]*Port[[#This Row],[LGD_avg]]</f>
        <v>2386.5716232</v>
      </c>
      <c r="AP423" s="507">
        <f>Port[[#This Row],[EAD_Drawn (THB)]]+Port[[#This Row],[EAD_Interest (THB)]]</f>
        <v>199441.85536800002</v>
      </c>
      <c r="AQ4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2951.8516368000001</v>
      </c>
      <c r="AR423" s="522">
        <f>MAX(Port[[#This Row],[ECL (THB)]]+Port[[#This Row],[ECL_Interest (THB)]], Port[[#This Row],[ECL CBIRC (THB)]])</f>
        <v>3682.3648119853797</v>
      </c>
    </row>
    <row r="424" spans="1:44">
      <c r="A424" s="2" t="s">
        <v>1124</v>
      </c>
      <c r="B424" s="2" t="s">
        <v>1125</v>
      </c>
      <c r="C424" s="2" t="s">
        <v>328</v>
      </c>
      <c r="D424" s="2" t="s">
        <v>18</v>
      </c>
      <c r="E424" s="2" t="s">
        <v>19</v>
      </c>
      <c r="F424" s="2" t="s">
        <v>20</v>
      </c>
      <c r="G424" s="2" t="s">
        <v>21</v>
      </c>
      <c r="H424">
        <v>1</v>
      </c>
      <c r="I424" s="2" t="s">
        <v>526</v>
      </c>
      <c r="J424" s="505">
        <v>2.0514833509807026E-2</v>
      </c>
      <c r="K424" s="505">
        <v>0.90000000000000024</v>
      </c>
      <c r="L424" s="3">
        <v>1</v>
      </c>
      <c r="M424" s="3">
        <v>5.2488000000000001</v>
      </c>
      <c r="N424" s="507">
        <v>286877.57</v>
      </c>
      <c r="O424" s="507">
        <v>0</v>
      </c>
      <c r="P424" s="507">
        <v>286877.57</v>
      </c>
      <c r="Q424" s="507">
        <v>3865.68</v>
      </c>
      <c r="R424" s="507">
        <v>5296.7210276232108</v>
      </c>
      <c r="S424" s="507">
        <v>0</v>
      </c>
      <c r="T424" s="507">
        <v>5296.7210276232108</v>
      </c>
      <c r="U424" s="507">
        <v>71.373403441971746</v>
      </c>
      <c r="V424" s="507">
        <f>Port[[#This Row],[EAD_Drawn (CNY)]]*Port[[#This Row],[CNY -&gt; FCY]]</f>
        <v>286877.57</v>
      </c>
      <c r="W424" s="507">
        <f>Port[[#This Row],[EAD_Undrawn (CNY)]]*Port[[#This Row],[CNY -&gt; FCY]]</f>
        <v>0</v>
      </c>
      <c r="X424" s="507">
        <f>Port[[#This Row],[EAD (CNY)]]*Port[[#This Row],[CNY -&gt; FCY]]</f>
        <v>286877.57</v>
      </c>
      <c r="Y424" s="507">
        <f>Port[[#This Row],[EAD_Interest (CNY)]]*Port[[#This Row],[CNY -&gt; FCY]]</f>
        <v>3865.68</v>
      </c>
      <c r="Z424" s="507">
        <f>Port[[#This Row],[ECL_Drawn (CNY)]]*Port[[#This Row],[CNY -&gt; FCY]]</f>
        <v>5296.7210276232108</v>
      </c>
      <c r="AA424" s="507">
        <f>Port[[#This Row],[ECL_Undrawn (CNY)]]*Port[[#This Row],[CNY -&gt; FCY]]</f>
        <v>0</v>
      </c>
      <c r="AB424" s="507">
        <f>Port[[#This Row],[ECL (CNY)]]*Port[[#This Row],[CNY -&gt; FCY]]</f>
        <v>5296.7210276232108</v>
      </c>
      <c r="AC424" s="507">
        <f>Port[[#This Row],[ECL_Interest (CNY)]]*Port[[#This Row],[CNY -&gt; FCY]]</f>
        <v>71.373403441971746</v>
      </c>
      <c r="AD424" s="507">
        <f>Port[[#This Row],[EAD_Drawn (CNY)]]*Port[[#This Row],[CNY -&gt; THB]]</f>
        <v>1505762.989416</v>
      </c>
      <c r="AE424" s="507">
        <f>Port[[#This Row],[EAD_Undrawn (CNY)]]*Port[[#This Row],[CNY -&gt; THB]]</f>
        <v>0</v>
      </c>
      <c r="AF424" s="507">
        <f>Port[[#This Row],[EAD (CNY)]]*Port[[#This Row],[CNY -&gt; THB]]</f>
        <v>1505762.989416</v>
      </c>
      <c r="AG424" s="507">
        <f>Port[[#This Row],[EAD_Interest (CNY)]]*Port[[#This Row],[CNY -&gt; THB]]</f>
        <v>20290.181184000001</v>
      </c>
      <c r="AH424" s="507">
        <f>Port[[#This Row],[ECL_Drawn (CNY)]]*Port[[#This Row],[CNY -&gt; THB]]</f>
        <v>27801.429329788709</v>
      </c>
      <c r="AI424" s="507">
        <f>Port[[#This Row],[ECL_Undrawn (CNY)]]*Port[[#This Row],[CNY -&gt; THB]]</f>
        <v>0</v>
      </c>
      <c r="AJ424" s="507">
        <f>Port[[#This Row],[ECL (CNY)]]*Port[[#This Row],[CNY -&gt; THB]]</f>
        <v>27801.429329788709</v>
      </c>
      <c r="AK424" s="507">
        <f>Port[[#This Row],[ECL_Interest (CNY)]]*Port[[#This Row],[CNY -&gt; THB]]</f>
        <v>374.62471998622129</v>
      </c>
      <c r="AL424" s="507">
        <f>Port[[#This Row],[EAD (THB)]]*Port[[#This Row],[PD_avg]]</f>
        <v>30890.477033098559</v>
      </c>
      <c r="AM424" s="507">
        <f>Port[[#This Row],[EAD_Interest (THB)]]*Port[[#This Row],[PD_avg]]</f>
        <v>416.2496888735792</v>
      </c>
      <c r="AN424" s="507">
        <f>Port[[#This Row],[EAD (THB)]]*Port[[#This Row],[LGD_avg]]</f>
        <v>1355186.6904744003</v>
      </c>
      <c r="AO424" s="507">
        <f>Port[[#This Row],[EAD_Interest (THB)]]*Port[[#This Row],[LGD_avg]]</f>
        <v>18261.163065600005</v>
      </c>
      <c r="AP424" s="507">
        <f>Port[[#This Row],[EAD_Drawn (THB)]]+Port[[#This Row],[EAD_Interest (THB)]]</f>
        <v>1526053.1706000001</v>
      </c>
      <c r="AQ4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22586.444841239998</v>
      </c>
      <c r="AR424" s="522">
        <f>MAX(Port[[#This Row],[ECL (THB)]]+Port[[#This Row],[ECL_Interest (THB)]], Port[[#This Row],[ECL CBIRC (THB)]])</f>
        <v>28176.054049774932</v>
      </c>
    </row>
    <row r="425" spans="1:44">
      <c r="A425" s="2" t="s">
        <v>1126</v>
      </c>
      <c r="B425" s="2" t="s">
        <v>370</v>
      </c>
      <c r="C425" s="2" t="s">
        <v>328</v>
      </c>
      <c r="D425" s="2" t="s">
        <v>18</v>
      </c>
      <c r="E425" s="2" t="s">
        <v>19</v>
      </c>
      <c r="F425" s="2" t="s">
        <v>20</v>
      </c>
      <c r="G425" s="2" t="s">
        <v>21</v>
      </c>
      <c r="H425">
        <v>1</v>
      </c>
      <c r="I425" s="2" t="s">
        <v>526</v>
      </c>
      <c r="J425" s="505">
        <v>2.0514833509807026E-2</v>
      </c>
      <c r="K425" s="505">
        <v>0.89999999999999991</v>
      </c>
      <c r="L425" s="3">
        <v>1</v>
      </c>
      <c r="M425" s="3">
        <v>5.2488000000000001</v>
      </c>
      <c r="N425" s="507">
        <v>101850.08</v>
      </c>
      <c r="O425" s="507">
        <v>0</v>
      </c>
      <c r="P425" s="507">
        <v>101850.08</v>
      </c>
      <c r="Q425" s="507">
        <v>1358.57</v>
      </c>
      <c r="R425" s="507">
        <v>1880.493690744474</v>
      </c>
      <c r="S425" s="507">
        <v>0</v>
      </c>
      <c r="T425" s="507">
        <v>1880.493690744474</v>
      </c>
      <c r="U425" s="507">
        <v>25.083753625276678</v>
      </c>
      <c r="V425" s="507">
        <f>Port[[#This Row],[EAD_Drawn (CNY)]]*Port[[#This Row],[CNY -&gt; FCY]]</f>
        <v>101850.08</v>
      </c>
      <c r="W425" s="507">
        <f>Port[[#This Row],[EAD_Undrawn (CNY)]]*Port[[#This Row],[CNY -&gt; FCY]]</f>
        <v>0</v>
      </c>
      <c r="X425" s="507">
        <f>Port[[#This Row],[EAD (CNY)]]*Port[[#This Row],[CNY -&gt; FCY]]</f>
        <v>101850.08</v>
      </c>
      <c r="Y425" s="507">
        <f>Port[[#This Row],[EAD_Interest (CNY)]]*Port[[#This Row],[CNY -&gt; FCY]]</f>
        <v>1358.57</v>
      </c>
      <c r="Z425" s="507">
        <f>Port[[#This Row],[ECL_Drawn (CNY)]]*Port[[#This Row],[CNY -&gt; FCY]]</f>
        <v>1880.493690744474</v>
      </c>
      <c r="AA425" s="507">
        <f>Port[[#This Row],[ECL_Undrawn (CNY)]]*Port[[#This Row],[CNY -&gt; FCY]]</f>
        <v>0</v>
      </c>
      <c r="AB425" s="507">
        <f>Port[[#This Row],[ECL (CNY)]]*Port[[#This Row],[CNY -&gt; FCY]]</f>
        <v>1880.493690744474</v>
      </c>
      <c r="AC425" s="507">
        <f>Port[[#This Row],[ECL_Interest (CNY)]]*Port[[#This Row],[CNY -&gt; FCY]]</f>
        <v>25.083753625276678</v>
      </c>
      <c r="AD425" s="507">
        <f>Port[[#This Row],[EAD_Drawn (CNY)]]*Port[[#This Row],[CNY -&gt; THB]]</f>
        <v>534590.69990400004</v>
      </c>
      <c r="AE425" s="507">
        <f>Port[[#This Row],[EAD_Undrawn (CNY)]]*Port[[#This Row],[CNY -&gt; THB]]</f>
        <v>0</v>
      </c>
      <c r="AF425" s="507">
        <f>Port[[#This Row],[EAD (CNY)]]*Port[[#This Row],[CNY -&gt; THB]]</f>
        <v>534590.69990400004</v>
      </c>
      <c r="AG425" s="507">
        <f>Port[[#This Row],[EAD_Interest (CNY)]]*Port[[#This Row],[CNY -&gt; THB]]</f>
        <v>7130.8622159999995</v>
      </c>
      <c r="AH425" s="507">
        <f>Port[[#This Row],[ECL_Drawn (CNY)]]*Port[[#This Row],[CNY -&gt; THB]]</f>
        <v>9870.3352839795953</v>
      </c>
      <c r="AI425" s="507">
        <f>Port[[#This Row],[ECL_Undrawn (CNY)]]*Port[[#This Row],[CNY -&gt; THB]]</f>
        <v>0</v>
      </c>
      <c r="AJ425" s="507">
        <f>Port[[#This Row],[ECL (CNY)]]*Port[[#This Row],[CNY -&gt; THB]]</f>
        <v>9870.3352839795953</v>
      </c>
      <c r="AK425" s="507">
        <f>Port[[#This Row],[ECL_Interest (CNY)]]*Port[[#This Row],[CNY -&gt; THB]]</f>
        <v>131.65960602835224</v>
      </c>
      <c r="AL425" s="507">
        <f>Port[[#This Row],[EAD (THB)]]*Port[[#This Row],[PD_avg]]</f>
        <v>10967.039204421772</v>
      </c>
      <c r="AM425" s="507">
        <f>Port[[#This Row],[EAD_Interest (THB)]]*Port[[#This Row],[PD_avg]]</f>
        <v>146.28845114261358</v>
      </c>
      <c r="AN425" s="507">
        <f>Port[[#This Row],[EAD (THB)]]*Port[[#This Row],[LGD_avg]]</f>
        <v>481131.62991359999</v>
      </c>
      <c r="AO425" s="507">
        <f>Port[[#This Row],[EAD_Interest (THB)]]*Port[[#This Row],[LGD_avg]]</f>
        <v>6417.775994399999</v>
      </c>
      <c r="AP425" s="507">
        <f>Port[[#This Row],[EAD_Drawn (THB)]]+Port[[#This Row],[EAD_Interest (THB)]]</f>
        <v>541721.56212000002</v>
      </c>
      <c r="AQ4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8018.8604985600005</v>
      </c>
      <c r="AR425" s="522">
        <f>MAX(Port[[#This Row],[ECL (THB)]]+Port[[#This Row],[ECL_Interest (THB)]], Port[[#This Row],[ECL CBIRC (THB)]])</f>
        <v>10001.994890007947</v>
      </c>
    </row>
    <row r="426" spans="1:44">
      <c r="A426" s="2" t="s">
        <v>1127</v>
      </c>
      <c r="B426" s="2" t="s">
        <v>368</v>
      </c>
      <c r="C426" s="2" t="s">
        <v>328</v>
      </c>
      <c r="D426" s="2" t="s">
        <v>18</v>
      </c>
      <c r="E426" s="2" t="s">
        <v>19</v>
      </c>
      <c r="F426" s="2" t="s">
        <v>20</v>
      </c>
      <c r="G426" s="2" t="s">
        <v>21</v>
      </c>
      <c r="H426">
        <v>1</v>
      </c>
      <c r="I426" s="2" t="s">
        <v>526</v>
      </c>
      <c r="J426" s="505">
        <v>2.0514833509807026E-2</v>
      </c>
      <c r="K426" s="505">
        <v>0.9</v>
      </c>
      <c r="L426" s="3">
        <v>1</v>
      </c>
      <c r="M426" s="3">
        <v>5.2488000000000001</v>
      </c>
      <c r="N426" s="507">
        <v>185155.63</v>
      </c>
      <c r="O426" s="507">
        <v>0</v>
      </c>
      <c r="P426" s="507">
        <v>185155.63</v>
      </c>
      <c r="Q426" s="507">
        <v>2444.5700000000002</v>
      </c>
      <c r="R426" s="507">
        <v>3418.5932305680881</v>
      </c>
      <c r="S426" s="507">
        <v>0</v>
      </c>
      <c r="T426" s="507">
        <v>3418.5932305680881</v>
      </c>
      <c r="U426" s="507">
        <v>45.134951897762065</v>
      </c>
      <c r="V426" s="507">
        <f>Port[[#This Row],[EAD_Drawn (CNY)]]*Port[[#This Row],[CNY -&gt; FCY]]</f>
        <v>185155.63</v>
      </c>
      <c r="W426" s="507">
        <f>Port[[#This Row],[EAD_Undrawn (CNY)]]*Port[[#This Row],[CNY -&gt; FCY]]</f>
        <v>0</v>
      </c>
      <c r="X426" s="507">
        <f>Port[[#This Row],[EAD (CNY)]]*Port[[#This Row],[CNY -&gt; FCY]]</f>
        <v>185155.63</v>
      </c>
      <c r="Y426" s="507">
        <f>Port[[#This Row],[EAD_Interest (CNY)]]*Port[[#This Row],[CNY -&gt; FCY]]</f>
        <v>2444.5700000000002</v>
      </c>
      <c r="Z426" s="507">
        <f>Port[[#This Row],[ECL_Drawn (CNY)]]*Port[[#This Row],[CNY -&gt; FCY]]</f>
        <v>3418.5932305680881</v>
      </c>
      <c r="AA426" s="507">
        <f>Port[[#This Row],[ECL_Undrawn (CNY)]]*Port[[#This Row],[CNY -&gt; FCY]]</f>
        <v>0</v>
      </c>
      <c r="AB426" s="507">
        <f>Port[[#This Row],[ECL (CNY)]]*Port[[#This Row],[CNY -&gt; FCY]]</f>
        <v>3418.5932305680881</v>
      </c>
      <c r="AC426" s="507">
        <f>Port[[#This Row],[ECL_Interest (CNY)]]*Port[[#This Row],[CNY -&gt; FCY]]</f>
        <v>45.134951897762065</v>
      </c>
      <c r="AD426" s="507">
        <f>Port[[#This Row],[EAD_Drawn (CNY)]]*Port[[#This Row],[CNY -&gt; THB]]</f>
        <v>971844.87074400007</v>
      </c>
      <c r="AE426" s="507">
        <f>Port[[#This Row],[EAD_Undrawn (CNY)]]*Port[[#This Row],[CNY -&gt; THB]]</f>
        <v>0</v>
      </c>
      <c r="AF426" s="507">
        <f>Port[[#This Row],[EAD (CNY)]]*Port[[#This Row],[CNY -&gt; THB]]</f>
        <v>971844.87074400007</v>
      </c>
      <c r="AG426" s="507">
        <f>Port[[#This Row],[EAD_Interest (CNY)]]*Port[[#This Row],[CNY -&gt; THB]]</f>
        <v>12831.059016000001</v>
      </c>
      <c r="AH426" s="507">
        <f>Port[[#This Row],[ECL_Drawn (CNY)]]*Port[[#This Row],[CNY -&gt; THB]]</f>
        <v>17943.51214860578</v>
      </c>
      <c r="AI426" s="507">
        <f>Port[[#This Row],[ECL_Undrawn (CNY)]]*Port[[#This Row],[CNY -&gt; THB]]</f>
        <v>0</v>
      </c>
      <c r="AJ426" s="507">
        <f>Port[[#This Row],[ECL (CNY)]]*Port[[#This Row],[CNY -&gt; THB]]</f>
        <v>17943.51214860578</v>
      </c>
      <c r="AK426" s="507">
        <f>Port[[#This Row],[ECL_Interest (CNY)]]*Port[[#This Row],[CNY -&gt; THB]]</f>
        <v>236.90433552097352</v>
      </c>
      <c r="AL426" s="507">
        <f>Port[[#This Row],[EAD (THB)]]*Port[[#This Row],[PD_avg]]</f>
        <v>19937.235720673092</v>
      </c>
      <c r="AM426" s="507">
        <f>Port[[#This Row],[EAD_Interest (THB)]]*Port[[#This Row],[PD_avg]]</f>
        <v>263.2270394677484</v>
      </c>
      <c r="AN426" s="507">
        <f>Port[[#This Row],[EAD (THB)]]*Port[[#This Row],[LGD_avg]]</f>
        <v>874660.38366960012</v>
      </c>
      <c r="AO426" s="507">
        <f>Port[[#This Row],[EAD_Interest (THB)]]*Port[[#This Row],[LGD_avg]]</f>
        <v>11547.953114400001</v>
      </c>
      <c r="AP426" s="507">
        <f>Port[[#This Row],[EAD_Drawn (THB)]]+Port[[#This Row],[EAD_Interest (THB)]]</f>
        <v>984675.92976000009</v>
      </c>
      <c r="AQ4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14577.673061160001</v>
      </c>
      <c r="AR426" s="522">
        <f>MAX(Port[[#This Row],[ECL (THB)]]+Port[[#This Row],[ECL_Interest (THB)]], Port[[#This Row],[ECL CBIRC (THB)]])</f>
        <v>18180.416484126752</v>
      </c>
    </row>
    <row r="427" spans="1:44">
      <c r="A427" s="2" t="s">
        <v>1128</v>
      </c>
      <c r="B427" s="2" t="s">
        <v>371</v>
      </c>
      <c r="C427" s="2" t="s">
        <v>328</v>
      </c>
      <c r="D427" s="2" t="s">
        <v>18</v>
      </c>
      <c r="E427" s="2" t="s">
        <v>19</v>
      </c>
      <c r="F427" s="2" t="s">
        <v>20</v>
      </c>
      <c r="G427" s="2" t="s">
        <v>21</v>
      </c>
      <c r="H427">
        <v>1</v>
      </c>
      <c r="I427" s="2" t="s">
        <v>526</v>
      </c>
      <c r="J427" s="505">
        <v>2.0514833509807026E-2</v>
      </c>
      <c r="K427" s="505">
        <v>0.90000000000000013</v>
      </c>
      <c r="L427" s="3">
        <v>1</v>
      </c>
      <c r="M427" s="3">
        <v>5.2488000000000001</v>
      </c>
      <c r="N427" s="507">
        <v>58672.12</v>
      </c>
      <c r="O427" s="507">
        <v>0</v>
      </c>
      <c r="P427" s="507">
        <v>58672.12</v>
      </c>
      <c r="Q427" s="507">
        <v>774.63</v>
      </c>
      <c r="R427" s="507">
        <v>1083.2838961206774</v>
      </c>
      <c r="S427" s="507">
        <v>0</v>
      </c>
      <c r="T427" s="507">
        <v>1083.2838961206774</v>
      </c>
      <c r="U427" s="507">
        <v>14.302264933531635</v>
      </c>
      <c r="V427" s="507">
        <f>Port[[#This Row],[EAD_Drawn (CNY)]]*Port[[#This Row],[CNY -&gt; FCY]]</f>
        <v>58672.12</v>
      </c>
      <c r="W427" s="507">
        <f>Port[[#This Row],[EAD_Undrawn (CNY)]]*Port[[#This Row],[CNY -&gt; FCY]]</f>
        <v>0</v>
      </c>
      <c r="X427" s="507">
        <f>Port[[#This Row],[EAD (CNY)]]*Port[[#This Row],[CNY -&gt; FCY]]</f>
        <v>58672.12</v>
      </c>
      <c r="Y427" s="507">
        <f>Port[[#This Row],[EAD_Interest (CNY)]]*Port[[#This Row],[CNY -&gt; FCY]]</f>
        <v>774.63</v>
      </c>
      <c r="Z427" s="507">
        <f>Port[[#This Row],[ECL_Drawn (CNY)]]*Port[[#This Row],[CNY -&gt; FCY]]</f>
        <v>1083.2838961206774</v>
      </c>
      <c r="AA427" s="507">
        <f>Port[[#This Row],[ECL_Undrawn (CNY)]]*Port[[#This Row],[CNY -&gt; FCY]]</f>
        <v>0</v>
      </c>
      <c r="AB427" s="507">
        <f>Port[[#This Row],[ECL (CNY)]]*Port[[#This Row],[CNY -&gt; FCY]]</f>
        <v>1083.2838961206774</v>
      </c>
      <c r="AC427" s="507">
        <f>Port[[#This Row],[ECL_Interest (CNY)]]*Port[[#This Row],[CNY -&gt; FCY]]</f>
        <v>14.302264933531635</v>
      </c>
      <c r="AD427" s="507">
        <f>Port[[#This Row],[EAD_Drawn (CNY)]]*Port[[#This Row],[CNY -&gt; THB]]</f>
        <v>307958.22345600004</v>
      </c>
      <c r="AE427" s="507">
        <f>Port[[#This Row],[EAD_Undrawn (CNY)]]*Port[[#This Row],[CNY -&gt; THB]]</f>
        <v>0</v>
      </c>
      <c r="AF427" s="507">
        <f>Port[[#This Row],[EAD (CNY)]]*Port[[#This Row],[CNY -&gt; THB]]</f>
        <v>307958.22345600004</v>
      </c>
      <c r="AG427" s="507">
        <f>Port[[#This Row],[EAD_Interest (CNY)]]*Port[[#This Row],[CNY -&gt; THB]]</f>
        <v>4065.8779440000003</v>
      </c>
      <c r="AH427" s="507">
        <f>Port[[#This Row],[ECL_Drawn (CNY)]]*Port[[#This Row],[CNY -&gt; THB]]</f>
        <v>5685.9405139582113</v>
      </c>
      <c r="AI427" s="507">
        <f>Port[[#This Row],[ECL_Undrawn (CNY)]]*Port[[#This Row],[CNY -&gt; THB]]</f>
        <v>0</v>
      </c>
      <c r="AJ427" s="507">
        <f>Port[[#This Row],[ECL (CNY)]]*Port[[#This Row],[CNY -&gt; THB]]</f>
        <v>5685.9405139582113</v>
      </c>
      <c r="AK427" s="507">
        <f>Port[[#This Row],[ECL_Interest (CNY)]]*Port[[#This Row],[CNY -&gt; THB]]</f>
        <v>75.069728183120844</v>
      </c>
      <c r="AL427" s="507">
        <f>Port[[#This Row],[EAD (THB)]]*Port[[#This Row],[PD_avg]]</f>
        <v>6317.71168217579</v>
      </c>
      <c r="AM427" s="507">
        <f>Port[[#This Row],[EAD_Interest (THB)]]*Port[[#This Row],[PD_avg]]</f>
        <v>83.410809092356502</v>
      </c>
      <c r="AN427" s="507">
        <f>Port[[#This Row],[EAD (THB)]]*Port[[#This Row],[LGD_avg]]</f>
        <v>277162.4011104001</v>
      </c>
      <c r="AO427" s="507">
        <f>Port[[#This Row],[EAD_Interest (THB)]]*Port[[#This Row],[LGD_avg]]</f>
        <v>3659.2901496000009</v>
      </c>
      <c r="AP427" s="507">
        <f>Port[[#This Row],[EAD_Drawn (THB)]]+Port[[#This Row],[EAD_Interest (THB)]]</f>
        <v>312024.10140000004</v>
      </c>
      <c r="AQ4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4619.3733518400004</v>
      </c>
      <c r="AR427" s="522">
        <f>MAX(Port[[#This Row],[ECL (THB)]]+Port[[#This Row],[ECL_Interest (THB)]], Port[[#This Row],[ECL CBIRC (THB)]])</f>
        <v>5761.0102421413321</v>
      </c>
    </row>
    <row r="428" spans="1:44">
      <c r="A428" s="2" t="s">
        <v>1129</v>
      </c>
      <c r="B428" s="2" t="s">
        <v>343</v>
      </c>
      <c r="C428" s="2" t="s">
        <v>328</v>
      </c>
      <c r="D428" s="2" t="s">
        <v>18</v>
      </c>
      <c r="E428" s="2" t="s">
        <v>19</v>
      </c>
      <c r="F428" s="2" t="s">
        <v>20</v>
      </c>
      <c r="G428" s="2" t="s">
        <v>21</v>
      </c>
      <c r="H428">
        <v>1</v>
      </c>
      <c r="I428" s="2" t="s">
        <v>526</v>
      </c>
      <c r="J428" s="505">
        <v>2.0514833509807026E-2</v>
      </c>
      <c r="K428" s="505">
        <v>0.9</v>
      </c>
      <c r="L428" s="3">
        <v>1</v>
      </c>
      <c r="M428" s="3">
        <v>5.2488000000000001</v>
      </c>
      <c r="N428" s="507">
        <v>5000000</v>
      </c>
      <c r="O428" s="507">
        <v>0</v>
      </c>
      <c r="P428" s="507">
        <v>5000000</v>
      </c>
      <c r="Q428" s="507">
        <v>123958.33</v>
      </c>
      <c r="R428" s="507">
        <v>92316.750794131629</v>
      </c>
      <c r="S428" s="507">
        <v>0</v>
      </c>
      <c r="T428" s="507">
        <v>92316.750794131629</v>
      </c>
      <c r="U428" s="507">
        <v>2288.6860518933458</v>
      </c>
      <c r="V428" s="507">
        <f>Port[[#This Row],[EAD_Drawn (CNY)]]*Port[[#This Row],[CNY -&gt; FCY]]</f>
        <v>5000000</v>
      </c>
      <c r="W428" s="507">
        <f>Port[[#This Row],[EAD_Undrawn (CNY)]]*Port[[#This Row],[CNY -&gt; FCY]]</f>
        <v>0</v>
      </c>
      <c r="X428" s="507">
        <f>Port[[#This Row],[EAD (CNY)]]*Port[[#This Row],[CNY -&gt; FCY]]</f>
        <v>5000000</v>
      </c>
      <c r="Y428" s="507">
        <f>Port[[#This Row],[EAD_Interest (CNY)]]*Port[[#This Row],[CNY -&gt; FCY]]</f>
        <v>123958.33</v>
      </c>
      <c r="Z428" s="507">
        <f>Port[[#This Row],[ECL_Drawn (CNY)]]*Port[[#This Row],[CNY -&gt; FCY]]</f>
        <v>92316.750794131629</v>
      </c>
      <c r="AA428" s="507">
        <f>Port[[#This Row],[ECL_Undrawn (CNY)]]*Port[[#This Row],[CNY -&gt; FCY]]</f>
        <v>0</v>
      </c>
      <c r="AB428" s="507">
        <f>Port[[#This Row],[ECL (CNY)]]*Port[[#This Row],[CNY -&gt; FCY]]</f>
        <v>92316.750794131629</v>
      </c>
      <c r="AC428" s="507">
        <f>Port[[#This Row],[ECL_Interest (CNY)]]*Port[[#This Row],[CNY -&gt; FCY]]</f>
        <v>2288.6860518933458</v>
      </c>
      <c r="AD428" s="507">
        <f>Port[[#This Row],[EAD_Drawn (CNY)]]*Port[[#This Row],[CNY -&gt; THB]]</f>
        <v>26244000</v>
      </c>
      <c r="AE428" s="507">
        <f>Port[[#This Row],[EAD_Undrawn (CNY)]]*Port[[#This Row],[CNY -&gt; THB]]</f>
        <v>0</v>
      </c>
      <c r="AF428" s="507">
        <f>Port[[#This Row],[EAD (CNY)]]*Port[[#This Row],[CNY -&gt; THB]]</f>
        <v>26244000</v>
      </c>
      <c r="AG428" s="507">
        <f>Port[[#This Row],[EAD_Interest (CNY)]]*Port[[#This Row],[CNY -&gt; THB]]</f>
        <v>650632.48250400007</v>
      </c>
      <c r="AH428" s="507">
        <f>Port[[#This Row],[ECL_Drawn (CNY)]]*Port[[#This Row],[CNY -&gt; THB]]</f>
        <v>484552.16156823811</v>
      </c>
      <c r="AI428" s="507">
        <f>Port[[#This Row],[ECL_Undrawn (CNY)]]*Port[[#This Row],[CNY -&gt; THB]]</f>
        <v>0</v>
      </c>
      <c r="AJ428" s="507">
        <f>Port[[#This Row],[ECL (CNY)]]*Port[[#This Row],[CNY -&gt; THB]]</f>
        <v>484552.16156823811</v>
      </c>
      <c r="AK428" s="507">
        <f>Port[[#This Row],[ECL_Interest (CNY)]]*Port[[#This Row],[CNY -&gt; THB]]</f>
        <v>12012.855349177795</v>
      </c>
      <c r="AL428" s="507">
        <f>Port[[#This Row],[EAD (THB)]]*Port[[#This Row],[PD_avg]]</f>
        <v>538391.29063137562</v>
      </c>
      <c r="AM428" s="507">
        <f>Port[[#This Row],[EAD_Interest (THB)]]*Port[[#This Row],[PD_avg]]</f>
        <v>13347.617054641994</v>
      </c>
      <c r="AN428" s="507">
        <f>Port[[#This Row],[EAD (THB)]]*Port[[#This Row],[LGD_avg]]</f>
        <v>23619600</v>
      </c>
      <c r="AO428" s="507">
        <f>Port[[#This Row],[EAD_Interest (THB)]]*Port[[#This Row],[LGD_avg]]</f>
        <v>585569.23425360012</v>
      </c>
      <c r="AP428" s="507">
        <f>Port[[#This Row],[EAD_Drawn (THB)]]+Port[[#This Row],[EAD_Interest (THB)]]</f>
        <v>26894632.482503999</v>
      </c>
      <c r="AQ4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28" s="522">
        <f>MAX(Port[[#This Row],[ECL (THB)]]+Port[[#This Row],[ECL_Interest (THB)]], Port[[#This Row],[ECL CBIRC (THB)]])</f>
        <v>496565.01691741589</v>
      </c>
    </row>
    <row r="429" spans="1:44">
      <c r="A429" s="2" t="s">
        <v>1130</v>
      </c>
      <c r="B429" s="2" t="s">
        <v>343</v>
      </c>
      <c r="C429" s="2" t="s">
        <v>328</v>
      </c>
      <c r="D429" s="2" t="s">
        <v>18</v>
      </c>
      <c r="E429" s="2" t="s">
        <v>19</v>
      </c>
      <c r="F429" s="2" t="s">
        <v>20</v>
      </c>
      <c r="G429" s="2" t="s">
        <v>21</v>
      </c>
      <c r="H429">
        <v>1</v>
      </c>
      <c r="I429" s="2" t="s">
        <v>526</v>
      </c>
      <c r="J429" s="505">
        <v>2.0514833509807026E-2</v>
      </c>
      <c r="K429" s="505">
        <v>0.9</v>
      </c>
      <c r="L429" s="3">
        <v>1</v>
      </c>
      <c r="M429" s="3">
        <v>5.2488000000000001</v>
      </c>
      <c r="N429" s="507">
        <v>4953764.03</v>
      </c>
      <c r="O429" s="507">
        <v>0</v>
      </c>
      <c r="P429" s="507">
        <v>4953764.03</v>
      </c>
      <c r="Q429" s="507">
        <v>122812.07</v>
      </c>
      <c r="R429" s="507">
        <v>91463.079890088644</v>
      </c>
      <c r="S429" s="507">
        <v>0</v>
      </c>
      <c r="T429" s="507">
        <v>91463.079890088644</v>
      </c>
      <c r="U429" s="507">
        <v>2267.5222521402898</v>
      </c>
      <c r="V429" s="507">
        <f>Port[[#This Row],[EAD_Drawn (CNY)]]*Port[[#This Row],[CNY -&gt; FCY]]</f>
        <v>4953764.03</v>
      </c>
      <c r="W429" s="507">
        <f>Port[[#This Row],[EAD_Undrawn (CNY)]]*Port[[#This Row],[CNY -&gt; FCY]]</f>
        <v>0</v>
      </c>
      <c r="X429" s="507">
        <f>Port[[#This Row],[EAD (CNY)]]*Port[[#This Row],[CNY -&gt; FCY]]</f>
        <v>4953764.03</v>
      </c>
      <c r="Y429" s="507">
        <f>Port[[#This Row],[EAD_Interest (CNY)]]*Port[[#This Row],[CNY -&gt; FCY]]</f>
        <v>122812.07</v>
      </c>
      <c r="Z429" s="507">
        <f>Port[[#This Row],[ECL_Drawn (CNY)]]*Port[[#This Row],[CNY -&gt; FCY]]</f>
        <v>91463.079890088644</v>
      </c>
      <c r="AA429" s="507">
        <f>Port[[#This Row],[ECL_Undrawn (CNY)]]*Port[[#This Row],[CNY -&gt; FCY]]</f>
        <v>0</v>
      </c>
      <c r="AB429" s="507">
        <f>Port[[#This Row],[ECL (CNY)]]*Port[[#This Row],[CNY -&gt; FCY]]</f>
        <v>91463.079890088644</v>
      </c>
      <c r="AC429" s="507">
        <f>Port[[#This Row],[ECL_Interest (CNY)]]*Port[[#This Row],[CNY -&gt; FCY]]</f>
        <v>2267.5222521402898</v>
      </c>
      <c r="AD429" s="507">
        <f>Port[[#This Row],[EAD_Drawn (CNY)]]*Port[[#This Row],[CNY -&gt; THB]]</f>
        <v>26001316.640664004</v>
      </c>
      <c r="AE429" s="507">
        <f>Port[[#This Row],[EAD_Undrawn (CNY)]]*Port[[#This Row],[CNY -&gt; THB]]</f>
        <v>0</v>
      </c>
      <c r="AF429" s="507">
        <f>Port[[#This Row],[EAD (CNY)]]*Port[[#This Row],[CNY -&gt; THB]]</f>
        <v>26001316.640664004</v>
      </c>
      <c r="AG429" s="507">
        <f>Port[[#This Row],[EAD_Interest (CNY)]]*Port[[#This Row],[CNY -&gt; THB]]</f>
        <v>644615.99301600002</v>
      </c>
      <c r="AH429" s="507">
        <f>Port[[#This Row],[ECL_Drawn (CNY)]]*Port[[#This Row],[CNY -&gt; THB]]</f>
        <v>480071.41372709727</v>
      </c>
      <c r="AI429" s="507">
        <f>Port[[#This Row],[ECL_Undrawn (CNY)]]*Port[[#This Row],[CNY -&gt; THB]]</f>
        <v>0</v>
      </c>
      <c r="AJ429" s="507">
        <f>Port[[#This Row],[ECL (CNY)]]*Port[[#This Row],[CNY -&gt; THB]]</f>
        <v>480071.41372709727</v>
      </c>
      <c r="AK429" s="507">
        <f>Port[[#This Row],[ECL_Interest (CNY)]]*Port[[#This Row],[CNY -&gt; THB]]</f>
        <v>11901.770797033952</v>
      </c>
      <c r="AL429" s="507">
        <f>Port[[#This Row],[EAD (THB)]]*Port[[#This Row],[PD_avg]]</f>
        <v>533412.68191899697</v>
      </c>
      <c r="AM429" s="507">
        <f>Port[[#This Row],[EAD_Interest (THB)]]*Port[[#This Row],[PD_avg]]</f>
        <v>13224.189774482169</v>
      </c>
      <c r="AN429" s="507">
        <f>Port[[#This Row],[EAD (THB)]]*Port[[#This Row],[LGD_avg]]</f>
        <v>23401184.976597603</v>
      </c>
      <c r="AO429" s="507">
        <f>Port[[#This Row],[EAD_Interest (THB)]]*Port[[#This Row],[LGD_avg]]</f>
        <v>580154.39371440001</v>
      </c>
      <c r="AP429" s="507">
        <f>Port[[#This Row],[EAD_Drawn (THB)]]+Port[[#This Row],[EAD_Interest (THB)]]</f>
        <v>26645932.633680005</v>
      </c>
      <c r="AQ4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390019.74960996007</v>
      </c>
      <c r="AR429" s="522">
        <f>MAX(Port[[#This Row],[ECL (THB)]]+Port[[#This Row],[ECL_Interest (THB)]], Port[[#This Row],[ECL CBIRC (THB)]])</f>
        <v>491973.18452413124</v>
      </c>
    </row>
    <row r="430" spans="1:44">
      <c r="A430" s="2" t="s">
        <v>1131</v>
      </c>
      <c r="B430" s="2" t="s">
        <v>341</v>
      </c>
      <c r="C430" s="2" t="s">
        <v>328</v>
      </c>
      <c r="D430" s="2" t="s">
        <v>18</v>
      </c>
      <c r="E430" s="2" t="s">
        <v>19</v>
      </c>
      <c r="F430" s="2" t="s">
        <v>20</v>
      </c>
      <c r="G430" s="2" t="s">
        <v>21</v>
      </c>
      <c r="H430">
        <v>1</v>
      </c>
      <c r="I430" s="2" t="s">
        <v>526</v>
      </c>
      <c r="J430" s="505">
        <v>2.0514833509807026E-2</v>
      </c>
      <c r="K430" s="505">
        <v>0.90000000000000013</v>
      </c>
      <c r="L430" s="3">
        <v>1</v>
      </c>
      <c r="M430" s="3">
        <v>5.2488000000000001</v>
      </c>
      <c r="N430" s="507">
        <v>2662376.44</v>
      </c>
      <c r="O430" s="507">
        <v>0</v>
      </c>
      <c r="P430" s="507">
        <v>2662376.44</v>
      </c>
      <c r="Q430" s="507">
        <v>66004.75</v>
      </c>
      <c r="R430" s="507">
        <v>49156.388466329467</v>
      </c>
      <c r="S430" s="507">
        <v>0</v>
      </c>
      <c r="T430" s="507">
        <v>49156.388466329467</v>
      </c>
      <c r="U430" s="507">
        <v>1218.6688113957921</v>
      </c>
      <c r="V430" s="507">
        <f>Port[[#This Row],[EAD_Drawn (CNY)]]*Port[[#This Row],[CNY -&gt; FCY]]</f>
        <v>2662376.44</v>
      </c>
      <c r="W430" s="507">
        <f>Port[[#This Row],[EAD_Undrawn (CNY)]]*Port[[#This Row],[CNY -&gt; FCY]]</f>
        <v>0</v>
      </c>
      <c r="X430" s="507">
        <f>Port[[#This Row],[EAD (CNY)]]*Port[[#This Row],[CNY -&gt; FCY]]</f>
        <v>2662376.44</v>
      </c>
      <c r="Y430" s="507">
        <f>Port[[#This Row],[EAD_Interest (CNY)]]*Port[[#This Row],[CNY -&gt; FCY]]</f>
        <v>66004.75</v>
      </c>
      <c r="Z430" s="507">
        <f>Port[[#This Row],[ECL_Drawn (CNY)]]*Port[[#This Row],[CNY -&gt; FCY]]</f>
        <v>49156.388466329467</v>
      </c>
      <c r="AA430" s="507">
        <f>Port[[#This Row],[ECL_Undrawn (CNY)]]*Port[[#This Row],[CNY -&gt; FCY]]</f>
        <v>0</v>
      </c>
      <c r="AB430" s="507">
        <f>Port[[#This Row],[ECL (CNY)]]*Port[[#This Row],[CNY -&gt; FCY]]</f>
        <v>49156.388466329467</v>
      </c>
      <c r="AC430" s="507">
        <f>Port[[#This Row],[ECL_Interest (CNY)]]*Port[[#This Row],[CNY -&gt; FCY]]</f>
        <v>1218.6688113957921</v>
      </c>
      <c r="AD430" s="507">
        <f>Port[[#This Row],[EAD_Drawn (CNY)]]*Port[[#This Row],[CNY -&gt; THB]]</f>
        <v>13974281.458272001</v>
      </c>
      <c r="AE430" s="507">
        <f>Port[[#This Row],[EAD_Undrawn (CNY)]]*Port[[#This Row],[CNY -&gt; THB]]</f>
        <v>0</v>
      </c>
      <c r="AF430" s="507">
        <f>Port[[#This Row],[EAD (CNY)]]*Port[[#This Row],[CNY -&gt; THB]]</f>
        <v>13974281.458272001</v>
      </c>
      <c r="AG430" s="507">
        <f>Port[[#This Row],[EAD_Interest (CNY)]]*Port[[#This Row],[CNY -&gt; THB]]</f>
        <v>346445.73180000001</v>
      </c>
      <c r="AH430" s="507">
        <f>Port[[#This Row],[ECL_Drawn (CNY)]]*Port[[#This Row],[CNY -&gt; THB]]</f>
        <v>258012.05178207011</v>
      </c>
      <c r="AI430" s="507">
        <f>Port[[#This Row],[ECL_Undrawn (CNY)]]*Port[[#This Row],[CNY -&gt; THB]]</f>
        <v>0</v>
      </c>
      <c r="AJ430" s="507">
        <f>Port[[#This Row],[ECL (CNY)]]*Port[[#This Row],[CNY -&gt; THB]]</f>
        <v>258012.05178207011</v>
      </c>
      <c r="AK430" s="507">
        <f>Port[[#This Row],[ECL_Interest (CNY)]]*Port[[#This Row],[CNY -&gt; THB]]</f>
        <v>6396.5488572542336</v>
      </c>
      <c r="AL430" s="507">
        <f>Port[[#This Row],[EAD (THB)]]*Port[[#This Row],[PD_avg]]</f>
        <v>286680.05753563344</v>
      </c>
      <c r="AM430" s="507">
        <f>Port[[#This Row],[EAD_Interest (THB)]]*Port[[#This Row],[PD_avg]]</f>
        <v>7107.2765080602576</v>
      </c>
      <c r="AN430" s="507">
        <f>Port[[#This Row],[EAD (THB)]]*Port[[#This Row],[LGD_avg]]</f>
        <v>12576853.312444802</v>
      </c>
      <c r="AO430" s="507">
        <f>Port[[#This Row],[EAD_Interest (THB)]]*Port[[#This Row],[LGD_avg]]</f>
        <v>311801.15862000006</v>
      </c>
      <c r="AP430" s="507">
        <f>Port[[#This Row],[EAD_Drawn (THB)]]+Port[[#This Row],[EAD_Interest (THB)]]</f>
        <v>14320727.190072</v>
      </c>
      <c r="AQ4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209614.22187408002</v>
      </c>
      <c r="AR430" s="522">
        <f>MAX(Port[[#This Row],[ECL (THB)]]+Port[[#This Row],[ECL_Interest (THB)]], Port[[#This Row],[ECL CBIRC (THB)]])</f>
        <v>264408.60063932434</v>
      </c>
    </row>
    <row r="431" spans="1:44">
      <c r="A431" s="2" t="s">
        <v>1132</v>
      </c>
      <c r="B431" s="2" t="s">
        <v>341</v>
      </c>
      <c r="C431" s="2" t="s">
        <v>328</v>
      </c>
      <c r="D431" s="2" t="s">
        <v>18</v>
      </c>
      <c r="E431" s="2" t="s">
        <v>19</v>
      </c>
      <c r="F431" s="2" t="s">
        <v>20</v>
      </c>
      <c r="G431" s="2" t="s">
        <v>21</v>
      </c>
      <c r="H431">
        <v>1</v>
      </c>
      <c r="I431" s="2" t="s">
        <v>526</v>
      </c>
      <c r="J431" s="505">
        <v>2.0514833509807026E-2</v>
      </c>
      <c r="K431" s="505">
        <v>0.9</v>
      </c>
      <c r="L431" s="3">
        <v>1</v>
      </c>
      <c r="M431" s="3">
        <v>5.2488000000000001</v>
      </c>
      <c r="N431" s="507">
        <v>5000000</v>
      </c>
      <c r="O431" s="507">
        <v>0</v>
      </c>
      <c r="P431" s="507">
        <v>5000000</v>
      </c>
      <c r="Q431" s="507">
        <v>123958.33</v>
      </c>
      <c r="R431" s="507">
        <v>92316.750794131629</v>
      </c>
      <c r="S431" s="507">
        <v>0</v>
      </c>
      <c r="T431" s="507">
        <v>92316.750794131629</v>
      </c>
      <c r="U431" s="507">
        <v>2288.6860518933458</v>
      </c>
      <c r="V431" s="507">
        <f>Port[[#This Row],[EAD_Drawn (CNY)]]*Port[[#This Row],[CNY -&gt; FCY]]</f>
        <v>5000000</v>
      </c>
      <c r="W431" s="507">
        <f>Port[[#This Row],[EAD_Undrawn (CNY)]]*Port[[#This Row],[CNY -&gt; FCY]]</f>
        <v>0</v>
      </c>
      <c r="X431" s="507">
        <f>Port[[#This Row],[EAD (CNY)]]*Port[[#This Row],[CNY -&gt; FCY]]</f>
        <v>5000000</v>
      </c>
      <c r="Y431" s="507">
        <f>Port[[#This Row],[EAD_Interest (CNY)]]*Port[[#This Row],[CNY -&gt; FCY]]</f>
        <v>123958.33</v>
      </c>
      <c r="Z431" s="507">
        <f>Port[[#This Row],[ECL_Drawn (CNY)]]*Port[[#This Row],[CNY -&gt; FCY]]</f>
        <v>92316.750794131629</v>
      </c>
      <c r="AA431" s="507">
        <f>Port[[#This Row],[ECL_Undrawn (CNY)]]*Port[[#This Row],[CNY -&gt; FCY]]</f>
        <v>0</v>
      </c>
      <c r="AB431" s="507">
        <f>Port[[#This Row],[ECL (CNY)]]*Port[[#This Row],[CNY -&gt; FCY]]</f>
        <v>92316.750794131629</v>
      </c>
      <c r="AC431" s="507">
        <f>Port[[#This Row],[ECL_Interest (CNY)]]*Port[[#This Row],[CNY -&gt; FCY]]</f>
        <v>2288.6860518933458</v>
      </c>
      <c r="AD431" s="507">
        <f>Port[[#This Row],[EAD_Drawn (CNY)]]*Port[[#This Row],[CNY -&gt; THB]]</f>
        <v>26244000</v>
      </c>
      <c r="AE431" s="507">
        <f>Port[[#This Row],[EAD_Undrawn (CNY)]]*Port[[#This Row],[CNY -&gt; THB]]</f>
        <v>0</v>
      </c>
      <c r="AF431" s="507">
        <f>Port[[#This Row],[EAD (CNY)]]*Port[[#This Row],[CNY -&gt; THB]]</f>
        <v>26244000</v>
      </c>
      <c r="AG431" s="507">
        <f>Port[[#This Row],[EAD_Interest (CNY)]]*Port[[#This Row],[CNY -&gt; THB]]</f>
        <v>650632.48250400007</v>
      </c>
      <c r="AH431" s="507">
        <f>Port[[#This Row],[ECL_Drawn (CNY)]]*Port[[#This Row],[CNY -&gt; THB]]</f>
        <v>484552.16156823811</v>
      </c>
      <c r="AI431" s="507">
        <f>Port[[#This Row],[ECL_Undrawn (CNY)]]*Port[[#This Row],[CNY -&gt; THB]]</f>
        <v>0</v>
      </c>
      <c r="AJ431" s="507">
        <f>Port[[#This Row],[ECL (CNY)]]*Port[[#This Row],[CNY -&gt; THB]]</f>
        <v>484552.16156823811</v>
      </c>
      <c r="AK431" s="507">
        <f>Port[[#This Row],[ECL_Interest (CNY)]]*Port[[#This Row],[CNY -&gt; THB]]</f>
        <v>12012.855349177795</v>
      </c>
      <c r="AL431" s="507">
        <f>Port[[#This Row],[EAD (THB)]]*Port[[#This Row],[PD_avg]]</f>
        <v>538391.29063137562</v>
      </c>
      <c r="AM431" s="507">
        <f>Port[[#This Row],[EAD_Interest (THB)]]*Port[[#This Row],[PD_avg]]</f>
        <v>13347.617054641994</v>
      </c>
      <c r="AN431" s="507">
        <f>Port[[#This Row],[EAD (THB)]]*Port[[#This Row],[LGD_avg]]</f>
        <v>23619600</v>
      </c>
      <c r="AO431" s="507">
        <f>Port[[#This Row],[EAD_Interest (THB)]]*Port[[#This Row],[LGD_avg]]</f>
        <v>585569.23425360012</v>
      </c>
      <c r="AP431" s="507">
        <f>Port[[#This Row],[EAD_Drawn (THB)]]+Port[[#This Row],[EAD_Interest (THB)]]</f>
        <v>26894632.482503999</v>
      </c>
      <c r="AQ4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31" s="522">
        <f>MAX(Port[[#This Row],[ECL (THB)]]+Port[[#This Row],[ECL_Interest (THB)]], Port[[#This Row],[ECL CBIRC (THB)]])</f>
        <v>496565.01691741589</v>
      </c>
    </row>
    <row r="432" spans="1:44">
      <c r="A432" s="2" t="s">
        <v>1133</v>
      </c>
      <c r="B432" s="2" t="s">
        <v>341</v>
      </c>
      <c r="C432" s="2" t="s">
        <v>328</v>
      </c>
      <c r="D432" s="2" t="s">
        <v>18</v>
      </c>
      <c r="E432" s="2" t="s">
        <v>19</v>
      </c>
      <c r="F432" s="2" t="s">
        <v>20</v>
      </c>
      <c r="G432" s="2" t="s">
        <v>21</v>
      </c>
      <c r="H432">
        <v>1</v>
      </c>
      <c r="I432" s="2" t="s">
        <v>526</v>
      </c>
      <c r="J432" s="505">
        <v>2.0514833509807026E-2</v>
      </c>
      <c r="K432" s="505">
        <v>0.9</v>
      </c>
      <c r="L432" s="3">
        <v>1</v>
      </c>
      <c r="M432" s="3">
        <v>5.2488000000000001</v>
      </c>
      <c r="N432" s="507">
        <v>2265732</v>
      </c>
      <c r="O432" s="507">
        <v>0</v>
      </c>
      <c r="P432" s="507">
        <v>2265732</v>
      </c>
      <c r="Q432" s="507">
        <v>56171.27</v>
      </c>
      <c r="R432" s="507">
        <v>41833.003282057885</v>
      </c>
      <c r="S432" s="507">
        <v>0</v>
      </c>
      <c r="T432" s="507">
        <v>41833.003282057885</v>
      </c>
      <c r="U432" s="507">
        <v>1037.1098268759763</v>
      </c>
      <c r="V432" s="507">
        <f>Port[[#This Row],[EAD_Drawn (CNY)]]*Port[[#This Row],[CNY -&gt; FCY]]</f>
        <v>2265732</v>
      </c>
      <c r="W432" s="507">
        <f>Port[[#This Row],[EAD_Undrawn (CNY)]]*Port[[#This Row],[CNY -&gt; FCY]]</f>
        <v>0</v>
      </c>
      <c r="X432" s="507">
        <f>Port[[#This Row],[EAD (CNY)]]*Port[[#This Row],[CNY -&gt; FCY]]</f>
        <v>2265732</v>
      </c>
      <c r="Y432" s="507">
        <f>Port[[#This Row],[EAD_Interest (CNY)]]*Port[[#This Row],[CNY -&gt; FCY]]</f>
        <v>56171.27</v>
      </c>
      <c r="Z432" s="507">
        <f>Port[[#This Row],[ECL_Drawn (CNY)]]*Port[[#This Row],[CNY -&gt; FCY]]</f>
        <v>41833.003282057885</v>
      </c>
      <c r="AA432" s="507">
        <f>Port[[#This Row],[ECL_Undrawn (CNY)]]*Port[[#This Row],[CNY -&gt; FCY]]</f>
        <v>0</v>
      </c>
      <c r="AB432" s="507">
        <f>Port[[#This Row],[ECL (CNY)]]*Port[[#This Row],[CNY -&gt; FCY]]</f>
        <v>41833.003282057885</v>
      </c>
      <c r="AC432" s="507">
        <f>Port[[#This Row],[ECL_Interest (CNY)]]*Port[[#This Row],[CNY -&gt; FCY]]</f>
        <v>1037.1098268759763</v>
      </c>
      <c r="AD432" s="507">
        <f>Port[[#This Row],[EAD_Drawn (CNY)]]*Port[[#This Row],[CNY -&gt; THB]]</f>
        <v>11892374.1216</v>
      </c>
      <c r="AE432" s="507">
        <f>Port[[#This Row],[EAD_Undrawn (CNY)]]*Port[[#This Row],[CNY -&gt; THB]]</f>
        <v>0</v>
      </c>
      <c r="AF432" s="507">
        <f>Port[[#This Row],[EAD (CNY)]]*Port[[#This Row],[CNY -&gt; THB]]</f>
        <v>11892374.1216</v>
      </c>
      <c r="AG432" s="507">
        <f>Port[[#This Row],[EAD_Interest (CNY)]]*Port[[#This Row],[CNY -&gt; THB]]</f>
        <v>294831.76197599998</v>
      </c>
      <c r="AH432" s="507">
        <f>Port[[#This Row],[ECL_Drawn (CNY)]]*Port[[#This Row],[CNY -&gt; THB]]</f>
        <v>219573.06762686544</v>
      </c>
      <c r="AI432" s="507">
        <f>Port[[#This Row],[ECL_Undrawn (CNY)]]*Port[[#This Row],[CNY -&gt; THB]]</f>
        <v>0</v>
      </c>
      <c r="AJ432" s="507">
        <f>Port[[#This Row],[ECL (CNY)]]*Port[[#This Row],[CNY -&gt; THB]]</f>
        <v>219573.06762686544</v>
      </c>
      <c r="AK432" s="507">
        <f>Port[[#This Row],[ECL_Interest (CNY)]]*Port[[#This Row],[CNY -&gt; THB]]</f>
        <v>5443.5820593066246</v>
      </c>
      <c r="AL432" s="507">
        <f>Port[[#This Row],[EAD (THB)]]*Port[[#This Row],[PD_avg]]</f>
        <v>243970.07514096159</v>
      </c>
      <c r="AM432" s="507">
        <f>Port[[#This Row],[EAD_Interest (THB)]]*Port[[#This Row],[PD_avg]]</f>
        <v>6048.4245103406938</v>
      </c>
      <c r="AN432" s="507">
        <f>Port[[#This Row],[EAD (THB)]]*Port[[#This Row],[LGD_avg]]</f>
        <v>10703136.70944</v>
      </c>
      <c r="AO432" s="507">
        <f>Port[[#This Row],[EAD_Interest (THB)]]*Port[[#This Row],[LGD_avg]]</f>
        <v>265348.58577840001</v>
      </c>
      <c r="AP432" s="507">
        <f>Port[[#This Row],[EAD_Drawn (THB)]]+Port[[#This Row],[EAD_Interest (THB)]]</f>
        <v>12187205.883576</v>
      </c>
      <c r="AQ4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178385.61182399999</v>
      </c>
      <c r="AR432" s="522">
        <f>MAX(Port[[#This Row],[ECL (THB)]]+Port[[#This Row],[ECL_Interest (THB)]], Port[[#This Row],[ECL CBIRC (THB)]])</f>
        <v>225016.64968617205</v>
      </c>
    </row>
    <row r="433" spans="1:44">
      <c r="A433" s="2" t="s">
        <v>1134</v>
      </c>
      <c r="B433" s="2" t="s">
        <v>342</v>
      </c>
      <c r="C433" s="2" t="s">
        <v>328</v>
      </c>
      <c r="D433" s="2" t="s">
        <v>18</v>
      </c>
      <c r="E433" s="2" t="s">
        <v>19</v>
      </c>
      <c r="F433" s="2" t="s">
        <v>20</v>
      </c>
      <c r="G433" s="2" t="s">
        <v>21</v>
      </c>
      <c r="H433">
        <v>1</v>
      </c>
      <c r="I433" s="2" t="s">
        <v>526</v>
      </c>
      <c r="J433" s="505">
        <v>2.0514833509807026E-2</v>
      </c>
      <c r="K433" s="505">
        <v>0.90000000000000013</v>
      </c>
      <c r="L433" s="3">
        <v>1</v>
      </c>
      <c r="M433" s="3">
        <v>5.2488000000000001</v>
      </c>
      <c r="N433" s="507">
        <v>5000000</v>
      </c>
      <c r="O433" s="507">
        <v>0</v>
      </c>
      <c r="P433" s="507">
        <v>5000000</v>
      </c>
      <c r="Q433" s="507">
        <v>123250</v>
      </c>
      <c r="R433" s="507">
        <v>92316.750794131629</v>
      </c>
      <c r="S433" s="507">
        <v>0</v>
      </c>
      <c r="T433" s="507">
        <v>92316.750794131629</v>
      </c>
      <c r="U433" s="507">
        <v>2275.6079070753444</v>
      </c>
      <c r="V433" s="507">
        <f>Port[[#This Row],[EAD_Drawn (CNY)]]*Port[[#This Row],[CNY -&gt; FCY]]</f>
        <v>5000000</v>
      </c>
      <c r="W433" s="507">
        <f>Port[[#This Row],[EAD_Undrawn (CNY)]]*Port[[#This Row],[CNY -&gt; FCY]]</f>
        <v>0</v>
      </c>
      <c r="X433" s="507">
        <f>Port[[#This Row],[EAD (CNY)]]*Port[[#This Row],[CNY -&gt; FCY]]</f>
        <v>5000000</v>
      </c>
      <c r="Y433" s="507">
        <f>Port[[#This Row],[EAD_Interest (CNY)]]*Port[[#This Row],[CNY -&gt; FCY]]</f>
        <v>123250</v>
      </c>
      <c r="Z433" s="507">
        <f>Port[[#This Row],[ECL_Drawn (CNY)]]*Port[[#This Row],[CNY -&gt; FCY]]</f>
        <v>92316.750794131629</v>
      </c>
      <c r="AA433" s="507">
        <f>Port[[#This Row],[ECL_Undrawn (CNY)]]*Port[[#This Row],[CNY -&gt; FCY]]</f>
        <v>0</v>
      </c>
      <c r="AB433" s="507">
        <f>Port[[#This Row],[ECL (CNY)]]*Port[[#This Row],[CNY -&gt; FCY]]</f>
        <v>92316.750794131629</v>
      </c>
      <c r="AC433" s="507">
        <f>Port[[#This Row],[ECL_Interest (CNY)]]*Port[[#This Row],[CNY -&gt; FCY]]</f>
        <v>2275.6079070753444</v>
      </c>
      <c r="AD433" s="507">
        <f>Port[[#This Row],[EAD_Drawn (CNY)]]*Port[[#This Row],[CNY -&gt; THB]]</f>
        <v>26244000</v>
      </c>
      <c r="AE433" s="507">
        <f>Port[[#This Row],[EAD_Undrawn (CNY)]]*Port[[#This Row],[CNY -&gt; THB]]</f>
        <v>0</v>
      </c>
      <c r="AF433" s="507">
        <f>Port[[#This Row],[EAD (CNY)]]*Port[[#This Row],[CNY -&gt; THB]]</f>
        <v>26244000</v>
      </c>
      <c r="AG433" s="507">
        <f>Port[[#This Row],[EAD_Interest (CNY)]]*Port[[#This Row],[CNY -&gt; THB]]</f>
        <v>646914.6</v>
      </c>
      <c r="AH433" s="507">
        <f>Port[[#This Row],[ECL_Drawn (CNY)]]*Port[[#This Row],[CNY -&gt; THB]]</f>
        <v>484552.16156823811</v>
      </c>
      <c r="AI433" s="507">
        <f>Port[[#This Row],[ECL_Undrawn (CNY)]]*Port[[#This Row],[CNY -&gt; THB]]</f>
        <v>0</v>
      </c>
      <c r="AJ433" s="507">
        <f>Port[[#This Row],[ECL (CNY)]]*Port[[#This Row],[CNY -&gt; THB]]</f>
        <v>484552.16156823811</v>
      </c>
      <c r="AK433" s="507">
        <f>Port[[#This Row],[ECL_Interest (CNY)]]*Port[[#This Row],[CNY -&gt; THB]]</f>
        <v>11944.210782657068</v>
      </c>
      <c r="AL433" s="507">
        <f>Port[[#This Row],[EAD (THB)]]*Port[[#This Row],[PD_avg]]</f>
        <v>538391.29063137562</v>
      </c>
      <c r="AM433" s="507">
        <f>Port[[#This Row],[EAD_Interest (THB)]]*Port[[#This Row],[PD_avg]]</f>
        <v>13271.345314063408</v>
      </c>
      <c r="AN433" s="507">
        <f>Port[[#This Row],[EAD (THB)]]*Port[[#This Row],[LGD_avg]]</f>
        <v>23619600.000000004</v>
      </c>
      <c r="AO433" s="507">
        <f>Port[[#This Row],[EAD_Interest (THB)]]*Port[[#This Row],[LGD_avg]]</f>
        <v>582223.14</v>
      </c>
      <c r="AP433" s="507">
        <f>Port[[#This Row],[EAD_Drawn (THB)]]+Port[[#This Row],[EAD_Interest (THB)]]</f>
        <v>26890914.600000001</v>
      </c>
      <c r="AQ4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33" s="522">
        <f>MAX(Port[[#This Row],[ECL (THB)]]+Port[[#This Row],[ECL_Interest (THB)]], Port[[#This Row],[ECL CBIRC (THB)]])</f>
        <v>496496.3723508952</v>
      </c>
    </row>
    <row r="434" spans="1:44">
      <c r="A434" s="2" t="s">
        <v>1135</v>
      </c>
      <c r="B434" s="2" t="s">
        <v>342</v>
      </c>
      <c r="C434" s="2" t="s">
        <v>328</v>
      </c>
      <c r="D434" s="2" t="s">
        <v>18</v>
      </c>
      <c r="E434" s="2" t="s">
        <v>19</v>
      </c>
      <c r="F434" s="2" t="s">
        <v>20</v>
      </c>
      <c r="G434" s="2" t="s">
        <v>21</v>
      </c>
      <c r="H434">
        <v>1</v>
      </c>
      <c r="I434" s="2" t="s">
        <v>526</v>
      </c>
      <c r="J434" s="505">
        <v>2.0514833509807026E-2</v>
      </c>
      <c r="K434" s="505">
        <v>0.9</v>
      </c>
      <c r="L434" s="3">
        <v>1</v>
      </c>
      <c r="M434" s="3">
        <v>5.2488000000000001</v>
      </c>
      <c r="N434" s="507">
        <v>2792200</v>
      </c>
      <c r="O434" s="507">
        <v>0</v>
      </c>
      <c r="P434" s="507">
        <v>2792200</v>
      </c>
      <c r="Q434" s="507">
        <v>68827.73</v>
      </c>
      <c r="R434" s="507">
        <v>51553.366313474864</v>
      </c>
      <c r="S434" s="507">
        <v>0</v>
      </c>
      <c r="T434" s="507">
        <v>51553.366313474864</v>
      </c>
      <c r="U434" s="507">
        <v>1270.7904796271553</v>
      </c>
      <c r="V434" s="507">
        <f>Port[[#This Row],[EAD_Drawn (CNY)]]*Port[[#This Row],[CNY -&gt; FCY]]</f>
        <v>2792200</v>
      </c>
      <c r="W434" s="507">
        <f>Port[[#This Row],[EAD_Undrawn (CNY)]]*Port[[#This Row],[CNY -&gt; FCY]]</f>
        <v>0</v>
      </c>
      <c r="X434" s="507">
        <f>Port[[#This Row],[EAD (CNY)]]*Port[[#This Row],[CNY -&gt; FCY]]</f>
        <v>2792200</v>
      </c>
      <c r="Y434" s="507">
        <f>Port[[#This Row],[EAD_Interest (CNY)]]*Port[[#This Row],[CNY -&gt; FCY]]</f>
        <v>68827.73</v>
      </c>
      <c r="Z434" s="507">
        <f>Port[[#This Row],[ECL_Drawn (CNY)]]*Port[[#This Row],[CNY -&gt; FCY]]</f>
        <v>51553.366313474864</v>
      </c>
      <c r="AA434" s="507">
        <f>Port[[#This Row],[ECL_Undrawn (CNY)]]*Port[[#This Row],[CNY -&gt; FCY]]</f>
        <v>0</v>
      </c>
      <c r="AB434" s="507">
        <f>Port[[#This Row],[ECL (CNY)]]*Port[[#This Row],[CNY -&gt; FCY]]</f>
        <v>51553.366313474864</v>
      </c>
      <c r="AC434" s="507">
        <f>Port[[#This Row],[ECL_Interest (CNY)]]*Port[[#This Row],[CNY -&gt; FCY]]</f>
        <v>1270.7904796271553</v>
      </c>
      <c r="AD434" s="507">
        <f>Port[[#This Row],[EAD_Drawn (CNY)]]*Port[[#This Row],[CNY -&gt; THB]]</f>
        <v>14655699.360000001</v>
      </c>
      <c r="AE434" s="507">
        <f>Port[[#This Row],[EAD_Undrawn (CNY)]]*Port[[#This Row],[CNY -&gt; THB]]</f>
        <v>0</v>
      </c>
      <c r="AF434" s="507">
        <f>Port[[#This Row],[EAD (CNY)]]*Port[[#This Row],[CNY -&gt; THB]]</f>
        <v>14655699.360000001</v>
      </c>
      <c r="AG434" s="507">
        <f>Port[[#This Row],[EAD_Interest (CNY)]]*Port[[#This Row],[CNY -&gt; THB]]</f>
        <v>361262.98922399996</v>
      </c>
      <c r="AH434" s="507">
        <f>Port[[#This Row],[ECL_Drawn (CNY)]]*Port[[#This Row],[CNY -&gt; THB]]</f>
        <v>270593.30910616688</v>
      </c>
      <c r="AI434" s="507">
        <f>Port[[#This Row],[ECL_Undrawn (CNY)]]*Port[[#This Row],[CNY -&gt; THB]]</f>
        <v>0</v>
      </c>
      <c r="AJ434" s="507">
        <f>Port[[#This Row],[ECL (CNY)]]*Port[[#This Row],[CNY -&gt; THB]]</f>
        <v>270593.30910616688</v>
      </c>
      <c r="AK434" s="507">
        <f>Port[[#This Row],[ECL_Interest (CNY)]]*Port[[#This Row],[CNY -&gt; THB]]</f>
        <v>6670.1250694670125</v>
      </c>
      <c r="AL434" s="507">
        <f>Port[[#This Row],[EAD (THB)]]*Port[[#This Row],[PD_avg]]</f>
        <v>300659.23234018544</v>
      </c>
      <c r="AM434" s="507">
        <f>Port[[#This Row],[EAD_Interest (THB)]]*Port[[#This Row],[PD_avg]]</f>
        <v>7411.2500771855694</v>
      </c>
      <c r="AN434" s="507">
        <f>Port[[#This Row],[EAD (THB)]]*Port[[#This Row],[LGD_avg]]</f>
        <v>13190129.424000001</v>
      </c>
      <c r="AO434" s="507">
        <f>Port[[#This Row],[EAD_Interest (THB)]]*Port[[#This Row],[LGD_avg]]</f>
        <v>325136.69030159997</v>
      </c>
      <c r="AP434" s="507">
        <f>Port[[#This Row],[EAD_Drawn (THB)]]+Port[[#This Row],[EAD_Interest (THB)]]</f>
        <v>15016962.349224001</v>
      </c>
      <c r="AQ4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219835.49040000001</v>
      </c>
      <c r="AR434" s="522">
        <f>MAX(Port[[#This Row],[ECL (THB)]]+Port[[#This Row],[ECL_Interest (THB)]], Port[[#This Row],[ECL CBIRC (THB)]])</f>
        <v>277263.43417563388</v>
      </c>
    </row>
    <row r="435" spans="1:44">
      <c r="A435" s="2" t="s">
        <v>1136</v>
      </c>
      <c r="B435" s="2" t="s">
        <v>340</v>
      </c>
      <c r="C435" s="2" t="s">
        <v>328</v>
      </c>
      <c r="D435" s="2" t="s">
        <v>18</v>
      </c>
      <c r="E435" s="2" t="s">
        <v>19</v>
      </c>
      <c r="F435" s="2" t="s">
        <v>20</v>
      </c>
      <c r="G435" s="2" t="s">
        <v>21</v>
      </c>
      <c r="H435">
        <v>1</v>
      </c>
      <c r="I435" s="2" t="s">
        <v>526</v>
      </c>
      <c r="J435" s="505">
        <v>2.0514833509807026E-2</v>
      </c>
      <c r="K435" s="505">
        <v>0.90000000000000013</v>
      </c>
      <c r="L435" s="3">
        <v>1</v>
      </c>
      <c r="M435" s="3">
        <v>5.2488000000000001</v>
      </c>
      <c r="N435" s="507">
        <v>4969708.8499999996</v>
      </c>
      <c r="O435" s="507">
        <v>0</v>
      </c>
      <c r="P435" s="507">
        <v>4969708.8499999996</v>
      </c>
      <c r="Q435" s="507">
        <v>123911.41</v>
      </c>
      <c r="R435" s="507">
        <v>91757.474684968096</v>
      </c>
      <c r="S435" s="507">
        <v>0</v>
      </c>
      <c r="T435" s="507">
        <v>91757.474684968096</v>
      </c>
      <c r="U435" s="507">
        <v>2287.8197515038937</v>
      </c>
      <c r="V435" s="507">
        <f>Port[[#This Row],[EAD_Drawn (CNY)]]*Port[[#This Row],[CNY -&gt; FCY]]</f>
        <v>4969708.8499999996</v>
      </c>
      <c r="W435" s="507">
        <f>Port[[#This Row],[EAD_Undrawn (CNY)]]*Port[[#This Row],[CNY -&gt; FCY]]</f>
        <v>0</v>
      </c>
      <c r="X435" s="507">
        <f>Port[[#This Row],[EAD (CNY)]]*Port[[#This Row],[CNY -&gt; FCY]]</f>
        <v>4969708.8499999996</v>
      </c>
      <c r="Y435" s="507">
        <f>Port[[#This Row],[EAD_Interest (CNY)]]*Port[[#This Row],[CNY -&gt; FCY]]</f>
        <v>123911.41</v>
      </c>
      <c r="Z435" s="507">
        <f>Port[[#This Row],[ECL_Drawn (CNY)]]*Port[[#This Row],[CNY -&gt; FCY]]</f>
        <v>91757.474684968096</v>
      </c>
      <c r="AA435" s="507">
        <f>Port[[#This Row],[ECL_Undrawn (CNY)]]*Port[[#This Row],[CNY -&gt; FCY]]</f>
        <v>0</v>
      </c>
      <c r="AB435" s="507">
        <f>Port[[#This Row],[ECL (CNY)]]*Port[[#This Row],[CNY -&gt; FCY]]</f>
        <v>91757.474684968096</v>
      </c>
      <c r="AC435" s="507">
        <f>Port[[#This Row],[ECL_Interest (CNY)]]*Port[[#This Row],[CNY -&gt; FCY]]</f>
        <v>2287.8197515038937</v>
      </c>
      <c r="AD435" s="507">
        <f>Port[[#This Row],[EAD_Drawn (CNY)]]*Port[[#This Row],[CNY -&gt; THB]]</f>
        <v>26085007.81188</v>
      </c>
      <c r="AE435" s="507">
        <f>Port[[#This Row],[EAD_Undrawn (CNY)]]*Port[[#This Row],[CNY -&gt; THB]]</f>
        <v>0</v>
      </c>
      <c r="AF435" s="507">
        <f>Port[[#This Row],[EAD (CNY)]]*Port[[#This Row],[CNY -&gt; THB]]</f>
        <v>26085007.81188</v>
      </c>
      <c r="AG435" s="507">
        <f>Port[[#This Row],[EAD_Interest (CNY)]]*Port[[#This Row],[CNY -&gt; THB]]</f>
        <v>650386.20880800008</v>
      </c>
      <c r="AH435" s="507">
        <f>Port[[#This Row],[ECL_Drawn (CNY)]]*Port[[#This Row],[CNY -&gt; THB]]</f>
        <v>481616.63312646054</v>
      </c>
      <c r="AI435" s="507">
        <f>Port[[#This Row],[ECL_Undrawn (CNY)]]*Port[[#This Row],[CNY -&gt; THB]]</f>
        <v>0</v>
      </c>
      <c r="AJ435" s="507">
        <f>Port[[#This Row],[ECL (CNY)]]*Port[[#This Row],[CNY -&gt; THB]]</f>
        <v>481616.63312646054</v>
      </c>
      <c r="AK435" s="507">
        <f>Port[[#This Row],[ECL_Interest (CNY)]]*Port[[#This Row],[CNY -&gt; THB]]</f>
        <v>12008.308311693638</v>
      </c>
      <c r="AL435" s="507">
        <f>Port[[#This Row],[EAD (THB)]]*Port[[#This Row],[PD_avg]]</f>
        <v>535129.59236273391</v>
      </c>
      <c r="AM435" s="507">
        <f>Port[[#This Row],[EAD_Interest (THB)]]*Port[[#This Row],[PD_avg]]</f>
        <v>13342.56479077071</v>
      </c>
      <c r="AN435" s="507">
        <f>Port[[#This Row],[EAD (THB)]]*Port[[#This Row],[LGD_avg]]</f>
        <v>23476507.030692004</v>
      </c>
      <c r="AO435" s="507">
        <f>Port[[#This Row],[EAD_Interest (THB)]]*Port[[#This Row],[LGD_avg]]</f>
        <v>585347.58792720013</v>
      </c>
      <c r="AP435" s="507">
        <f>Port[[#This Row],[EAD_Drawn (THB)]]+Port[[#This Row],[EAD_Interest (THB)]]</f>
        <v>26735394.020688001</v>
      </c>
      <c r="AQ4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391275.11717819999</v>
      </c>
      <c r="AR435" s="522">
        <f>MAX(Port[[#This Row],[ECL (THB)]]+Port[[#This Row],[ECL_Interest (THB)]], Port[[#This Row],[ECL CBIRC (THB)]])</f>
        <v>493624.9414381542</v>
      </c>
    </row>
    <row r="436" spans="1:44">
      <c r="A436" s="2" t="s">
        <v>1137</v>
      </c>
      <c r="B436" s="2" t="s">
        <v>340</v>
      </c>
      <c r="C436" s="2" t="s">
        <v>328</v>
      </c>
      <c r="D436" s="2" t="s">
        <v>18</v>
      </c>
      <c r="E436" s="2" t="s">
        <v>19</v>
      </c>
      <c r="F436" s="2" t="s">
        <v>20</v>
      </c>
      <c r="G436" s="2" t="s">
        <v>21</v>
      </c>
      <c r="H436">
        <v>1</v>
      </c>
      <c r="I436" s="2" t="s">
        <v>526</v>
      </c>
      <c r="J436" s="505">
        <v>2.0514833509807026E-2</v>
      </c>
      <c r="K436" s="505">
        <v>0.9</v>
      </c>
      <c r="L436" s="3">
        <v>1</v>
      </c>
      <c r="M436" s="3">
        <v>5.2488000000000001</v>
      </c>
      <c r="N436" s="507">
        <v>5000000</v>
      </c>
      <c r="O436" s="507">
        <v>0</v>
      </c>
      <c r="P436" s="507">
        <v>5000000</v>
      </c>
      <c r="Q436" s="507">
        <v>123958.33</v>
      </c>
      <c r="R436" s="507">
        <v>92316.750794131629</v>
      </c>
      <c r="S436" s="507">
        <v>0</v>
      </c>
      <c r="T436" s="507">
        <v>92316.750794131629</v>
      </c>
      <c r="U436" s="507">
        <v>2288.6860518933458</v>
      </c>
      <c r="V436" s="507">
        <f>Port[[#This Row],[EAD_Drawn (CNY)]]*Port[[#This Row],[CNY -&gt; FCY]]</f>
        <v>5000000</v>
      </c>
      <c r="W436" s="507">
        <f>Port[[#This Row],[EAD_Undrawn (CNY)]]*Port[[#This Row],[CNY -&gt; FCY]]</f>
        <v>0</v>
      </c>
      <c r="X436" s="507">
        <f>Port[[#This Row],[EAD (CNY)]]*Port[[#This Row],[CNY -&gt; FCY]]</f>
        <v>5000000</v>
      </c>
      <c r="Y436" s="507">
        <f>Port[[#This Row],[EAD_Interest (CNY)]]*Port[[#This Row],[CNY -&gt; FCY]]</f>
        <v>123958.33</v>
      </c>
      <c r="Z436" s="507">
        <f>Port[[#This Row],[ECL_Drawn (CNY)]]*Port[[#This Row],[CNY -&gt; FCY]]</f>
        <v>92316.750794131629</v>
      </c>
      <c r="AA436" s="507">
        <f>Port[[#This Row],[ECL_Undrawn (CNY)]]*Port[[#This Row],[CNY -&gt; FCY]]</f>
        <v>0</v>
      </c>
      <c r="AB436" s="507">
        <f>Port[[#This Row],[ECL (CNY)]]*Port[[#This Row],[CNY -&gt; FCY]]</f>
        <v>92316.750794131629</v>
      </c>
      <c r="AC436" s="507">
        <f>Port[[#This Row],[ECL_Interest (CNY)]]*Port[[#This Row],[CNY -&gt; FCY]]</f>
        <v>2288.6860518933458</v>
      </c>
      <c r="AD436" s="507">
        <f>Port[[#This Row],[EAD_Drawn (CNY)]]*Port[[#This Row],[CNY -&gt; THB]]</f>
        <v>26244000</v>
      </c>
      <c r="AE436" s="507">
        <f>Port[[#This Row],[EAD_Undrawn (CNY)]]*Port[[#This Row],[CNY -&gt; THB]]</f>
        <v>0</v>
      </c>
      <c r="AF436" s="507">
        <f>Port[[#This Row],[EAD (CNY)]]*Port[[#This Row],[CNY -&gt; THB]]</f>
        <v>26244000</v>
      </c>
      <c r="AG436" s="507">
        <f>Port[[#This Row],[EAD_Interest (CNY)]]*Port[[#This Row],[CNY -&gt; THB]]</f>
        <v>650632.48250400007</v>
      </c>
      <c r="AH436" s="507">
        <f>Port[[#This Row],[ECL_Drawn (CNY)]]*Port[[#This Row],[CNY -&gt; THB]]</f>
        <v>484552.16156823811</v>
      </c>
      <c r="AI436" s="507">
        <f>Port[[#This Row],[ECL_Undrawn (CNY)]]*Port[[#This Row],[CNY -&gt; THB]]</f>
        <v>0</v>
      </c>
      <c r="AJ436" s="507">
        <f>Port[[#This Row],[ECL (CNY)]]*Port[[#This Row],[CNY -&gt; THB]]</f>
        <v>484552.16156823811</v>
      </c>
      <c r="AK436" s="507">
        <f>Port[[#This Row],[ECL_Interest (CNY)]]*Port[[#This Row],[CNY -&gt; THB]]</f>
        <v>12012.855349177795</v>
      </c>
      <c r="AL436" s="507">
        <f>Port[[#This Row],[EAD (THB)]]*Port[[#This Row],[PD_avg]]</f>
        <v>538391.29063137562</v>
      </c>
      <c r="AM436" s="507">
        <f>Port[[#This Row],[EAD_Interest (THB)]]*Port[[#This Row],[PD_avg]]</f>
        <v>13347.617054641994</v>
      </c>
      <c r="AN436" s="507">
        <f>Port[[#This Row],[EAD (THB)]]*Port[[#This Row],[LGD_avg]]</f>
        <v>23619600</v>
      </c>
      <c r="AO436" s="507">
        <f>Port[[#This Row],[EAD_Interest (THB)]]*Port[[#This Row],[LGD_avg]]</f>
        <v>585569.23425360012</v>
      </c>
      <c r="AP436" s="507">
        <f>Port[[#This Row],[EAD_Drawn (THB)]]+Port[[#This Row],[EAD_Interest (THB)]]</f>
        <v>26894632.482503999</v>
      </c>
      <c r="AQ4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36" s="522">
        <f>MAX(Port[[#This Row],[ECL (THB)]]+Port[[#This Row],[ECL_Interest (THB)]], Port[[#This Row],[ECL CBIRC (THB)]])</f>
        <v>496565.01691741589</v>
      </c>
    </row>
    <row r="437" spans="1:44">
      <c r="A437" s="2" t="s">
        <v>1138</v>
      </c>
      <c r="B437" s="2" t="s">
        <v>339</v>
      </c>
      <c r="C437" s="2" t="s">
        <v>328</v>
      </c>
      <c r="D437" s="2" t="s">
        <v>18</v>
      </c>
      <c r="E437" s="2" t="s">
        <v>19</v>
      </c>
      <c r="F437" s="2" t="s">
        <v>20</v>
      </c>
      <c r="G437" s="2" t="s">
        <v>21</v>
      </c>
      <c r="H437">
        <v>1</v>
      </c>
      <c r="I437" s="2" t="s">
        <v>526</v>
      </c>
      <c r="J437" s="505">
        <v>2.0514833509807026E-2</v>
      </c>
      <c r="K437" s="505">
        <v>0.90000000000000024</v>
      </c>
      <c r="L437" s="3">
        <v>1</v>
      </c>
      <c r="M437" s="3">
        <v>5.2488000000000001</v>
      </c>
      <c r="N437" s="507">
        <v>4897762.7</v>
      </c>
      <c r="O437" s="507">
        <v>0</v>
      </c>
      <c r="P437" s="507">
        <v>4897762.7</v>
      </c>
      <c r="Q437" s="507">
        <v>124199.1</v>
      </c>
      <c r="R437" s="507">
        <v>90429.107724938658</v>
      </c>
      <c r="S437" s="507">
        <v>0</v>
      </c>
      <c r="T437" s="507">
        <v>90429.107724938658</v>
      </c>
      <c r="U437" s="507">
        <v>2293.1314727110866</v>
      </c>
      <c r="V437" s="507">
        <f>Port[[#This Row],[EAD_Drawn (CNY)]]*Port[[#This Row],[CNY -&gt; FCY]]</f>
        <v>4897762.7</v>
      </c>
      <c r="W437" s="507">
        <f>Port[[#This Row],[EAD_Undrawn (CNY)]]*Port[[#This Row],[CNY -&gt; FCY]]</f>
        <v>0</v>
      </c>
      <c r="X437" s="507">
        <f>Port[[#This Row],[EAD (CNY)]]*Port[[#This Row],[CNY -&gt; FCY]]</f>
        <v>4897762.7</v>
      </c>
      <c r="Y437" s="507">
        <f>Port[[#This Row],[EAD_Interest (CNY)]]*Port[[#This Row],[CNY -&gt; FCY]]</f>
        <v>124199.1</v>
      </c>
      <c r="Z437" s="507">
        <f>Port[[#This Row],[ECL_Drawn (CNY)]]*Port[[#This Row],[CNY -&gt; FCY]]</f>
        <v>90429.107724938658</v>
      </c>
      <c r="AA437" s="507">
        <f>Port[[#This Row],[ECL_Undrawn (CNY)]]*Port[[#This Row],[CNY -&gt; FCY]]</f>
        <v>0</v>
      </c>
      <c r="AB437" s="507">
        <f>Port[[#This Row],[ECL (CNY)]]*Port[[#This Row],[CNY -&gt; FCY]]</f>
        <v>90429.107724938658</v>
      </c>
      <c r="AC437" s="507">
        <f>Port[[#This Row],[ECL_Interest (CNY)]]*Port[[#This Row],[CNY -&gt; FCY]]</f>
        <v>2293.1314727110866</v>
      </c>
      <c r="AD437" s="507">
        <f>Port[[#This Row],[EAD_Drawn (CNY)]]*Port[[#This Row],[CNY -&gt; THB]]</f>
        <v>25707376.859760001</v>
      </c>
      <c r="AE437" s="507">
        <f>Port[[#This Row],[EAD_Undrawn (CNY)]]*Port[[#This Row],[CNY -&gt; THB]]</f>
        <v>0</v>
      </c>
      <c r="AF437" s="507">
        <f>Port[[#This Row],[EAD (CNY)]]*Port[[#This Row],[CNY -&gt; THB]]</f>
        <v>25707376.859760001</v>
      </c>
      <c r="AG437" s="507">
        <f>Port[[#This Row],[EAD_Interest (CNY)]]*Port[[#This Row],[CNY -&gt; THB]]</f>
        <v>651896.23608000006</v>
      </c>
      <c r="AH437" s="507">
        <f>Port[[#This Row],[ECL_Drawn (CNY)]]*Port[[#This Row],[CNY -&gt; THB]]</f>
        <v>474644.30062665802</v>
      </c>
      <c r="AI437" s="507">
        <f>Port[[#This Row],[ECL_Undrawn (CNY)]]*Port[[#This Row],[CNY -&gt; THB]]</f>
        <v>0</v>
      </c>
      <c r="AJ437" s="507">
        <f>Port[[#This Row],[ECL (CNY)]]*Port[[#This Row],[CNY -&gt; THB]]</f>
        <v>474644.30062665802</v>
      </c>
      <c r="AK437" s="507">
        <f>Port[[#This Row],[ECL_Interest (CNY)]]*Port[[#This Row],[CNY -&gt; THB]]</f>
        <v>12036.188473965953</v>
      </c>
      <c r="AL437" s="507">
        <f>Port[[#This Row],[EAD (THB)]]*Port[[#This Row],[PD_avg]]</f>
        <v>527382.55625184218</v>
      </c>
      <c r="AM437" s="507">
        <f>Port[[#This Row],[EAD_Interest (THB)]]*Port[[#This Row],[PD_avg]]</f>
        <v>13373.542748851058</v>
      </c>
      <c r="AN437" s="507">
        <f>Port[[#This Row],[EAD (THB)]]*Port[[#This Row],[LGD_avg]]</f>
        <v>23136639.173784006</v>
      </c>
      <c r="AO437" s="507">
        <f>Port[[#This Row],[EAD_Interest (THB)]]*Port[[#This Row],[LGD_avg]]</f>
        <v>586706.61247200018</v>
      </c>
      <c r="AP437" s="507">
        <f>Port[[#This Row],[EAD_Drawn (THB)]]+Port[[#This Row],[EAD_Interest (THB)]]</f>
        <v>26359273.09584</v>
      </c>
      <c r="AQ4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385610.65289640002</v>
      </c>
      <c r="AR437" s="522">
        <f>MAX(Port[[#This Row],[ECL (THB)]]+Port[[#This Row],[ECL_Interest (THB)]], Port[[#This Row],[ECL CBIRC (THB)]])</f>
        <v>486680.48910062399</v>
      </c>
    </row>
    <row r="438" spans="1:44">
      <c r="A438" s="2" t="s">
        <v>1139</v>
      </c>
      <c r="B438" s="2" t="s">
        <v>339</v>
      </c>
      <c r="C438" s="2" t="s">
        <v>328</v>
      </c>
      <c r="D438" s="2" t="s">
        <v>18</v>
      </c>
      <c r="E438" s="2" t="s">
        <v>19</v>
      </c>
      <c r="F438" s="2" t="s">
        <v>20</v>
      </c>
      <c r="G438" s="2" t="s">
        <v>21</v>
      </c>
      <c r="H438">
        <v>1</v>
      </c>
      <c r="I438" s="2" t="s">
        <v>526</v>
      </c>
      <c r="J438" s="505">
        <v>2.0514833509807026E-2</v>
      </c>
      <c r="K438" s="505">
        <v>0.9</v>
      </c>
      <c r="L438" s="3">
        <v>1</v>
      </c>
      <c r="M438" s="3">
        <v>5.2488000000000001</v>
      </c>
      <c r="N438" s="507">
        <v>5000000</v>
      </c>
      <c r="O438" s="507">
        <v>0</v>
      </c>
      <c r="P438" s="507">
        <v>5000000</v>
      </c>
      <c r="Q438" s="507">
        <v>126791.67</v>
      </c>
      <c r="R438" s="507">
        <v>92316.750794131629</v>
      </c>
      <c r="S438" s="507">
        <v>0</v>
      </c>
      <c r="T438" s="507">
        <v>92316.750794131629</v>
      </c>
      <c r="U438" s="507">
        <v>2340.9990004323549</v>
      </c>
      <c r="V438" s="507">
        <f>Port[[#This Row],[EAD_Drawn (CNY)]]*Port[[#This Row],[CNY -&gt; FCY]]</f>
        <v>5000000</v>
      </c>
      <c r="W438" s="507">
        <f>Port[[#This Row],[EAD_Undrawn (CNY)]]*Port[[#This Row],[CNY -&gt; FCY]]</f>
        <v>0</v>
      </c>
      <c r="X438" s="507">
        <f>Port[[#This Row],[EAD (CNY)]]*Port[[#This Row],[CNY -&gt; FCY]]</f>
        <v>5000000</v>
      </c>
      <c r="Y438" s="507">
        <f>Port[[#This Row],[EAD_Interest (CNY)]]*Port[[#This Row],[CNY -&gt; FCY]]</f>
        <v>126791.67</v>
      </c>
      <c r="Z438" s="507">
        <f>Port[[#This Row],[ECL_Drawn (CNY)]]*Port[[#This Row],[CNY -&gt; FCY]]</f>
        <v>92316.750794131629</v>
      </c>
      <c r="AA438" s="507">
        <f>Port[[#This Row],[ECL_Undrawn (CNY)]]*Port[[#This Row],[CNY -&gt; FCY]]</f>
        <v>0</v>
      </c>
      <c r="AB438" s="507">
        <f>Port[[#This Row],[ECL (CNY)]]*Port[[#This Row],[CNY -&gt; FCY]]</f>
        <v>92316.750794131629</v>
      </c>
      <c r="AC438" s="507">
        <f>Port[[#This Row],[ECL_Interest (CNY)]]*Port[[#This Row],[CNY -&gt; FCY]]</f>
        <v>2340.9990004323549</v>
      </c>
      <c r="AD438" s="507">
        <f>Port[[#This Row],[EAD_Drawn (CNY)]]*Port[[#This Row],[CNY -&gt; THB]]</f>
        <v>26244000</v>
      </c>
      <c r="AE438" s="507">
        <f>Port[[#This Row],[EAD_Undrawn (CNY)]]*Port[[#This Row],[CNY -&gt; THB]]</f>
        <v>0</v>
      </c>
      <c r="AF438" s="507">
        <f>Port[[#This Row],[EAD (CNY)]]*Port[[#This Row],[CNY -&gt; THB]]</f>
        <v>26244000</v>
      </c>
      <c r="AG438" s="507">
        <f>Port[[#This Row],[EAD_Interest (CNY)]]*Port[[#This Row],[CNY -&gt; THB]]</f>
        <v>665504.11749600002</v>
      </c>
      <c r="AH438" s="507">
        <f>Port[[#This Row],[ECL_Drawn (CNY)]]*Port[[#This Row],[CNY -&gt; THB]]</f>
        <v>484552.16156823811</v>
      </c>
      <c r="AI438" s="507">
        <f>Port[[#This Row],[ECL_Undrawn (CNY)]]*Port[[#This Row],[CNY -&gt; THB]]</f>
        <v>0</v>
      </c>
      <c r="AJ438" s="507">
        <f>Port[[#This Row],[ECL (CNY)]]*Port[[#This Row],[CNY -&gt; THB]]</f>
        <v>484552.16156823811</v>
      </c>
      <c r="AK438" s="507">
        <f>Port[[#This Row],[ECL_Interest (CNY)]]*Port[[#This Row],[CNY -&gt; THB]]</f>
        <v>12287.435553469344</v>
      </c>
      <c r="AL438" s="507">
        <f>Port[[#This Row],[EAD (THB)]]*Port[[#This Row],[PD_avg]]</f>
        <v>538391.29063137562</v>
      </c>
      <c r="AM438" s="507">
        <f>Port[[#This Row],[EAD_Interest (THB)]]*Port[[#This Row],[PD_avg]]</f>
        <v>13652.706170521493</v>
      </c>
      <c r="AN438" s="507">
        <f>Port[[#This Row],[EAD (THB)]]*Port[[#This Row],[LGD_avg]]</f>
        <v>23619600</v>
      </c>
      <c r="AO438" s="507">
        <f>Port[[#This Row],[EAD_Interest (THB)]]*Port[[#This Row],[LGD_avg]]</f>
        <v>598953.70574640005</v>
      </c>
      <c r="AP438" s="507">
        <f>Port[[#This Row],[EAD_Drawn (THB)]]+Port[[#This Row],[EAD_Interest (THB)]]</f>
        <v>26909504.117495999</v>
      </c>
      <c r="AQ4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38" s="522">
        <f>MAX(Port[[#This Row],[ECL (THB)]]+Port[[#This Row],[ECL_Interest (THB)]], Port[[#This Row],[ECL CBIRC (THB)]])</f>
        <v>496839.59712170745</v>
      </c>
    </row>
    <row r="439" spans="1:44">
      <c r="A439" s="2" t="s">
        <v>1140</v>
      </c>
      <c r="B439" s="2" t="s">
        <v>369</v>
      </c>
      <c r="C439" s="2" t="s">
        <v>328</v>
      </c>
      <c r="D439" s="2" t="s">
        <v>30</v>
      </c>
      <c r="E439" s="2" t="s">
        <v>19</v>
      </c>
      <c r="F439" s="2" t="s">
        <v>20</v>
      </c>
      <c r="G439" s="2" t="s">
        <v>21</v>
      </c>
      <c r="H439">
        <v>1</v>
      </c>
      <c r="I439" s="2" t="s">
        <v>526</v>
      </c>
      <c r="J439" s="505">
        <v>2.0514833509807026E-2</v>
      </c>
      <c r="K439" s="505">
        <v>0.9</v>
      </c>
      <c r="L439" s="3">
        <v>1</v>
      </c>
      <c r="M439" s="3">
        <v>5.2488000000000001</v>
      </c>
      <c r="N439" s="507">
        <v>61608.78</v>
      </c>
      <c r="O439" s="507">
        <v>0</v>
      </c>
      <c r="P439" s="507">
        <v>61608.78</v>
      </c>
      <c r="Q439" s="507">
        <v>930.81</v>
      </c>
      <c r="R439" s="507">
        <v>1137.504477998096</v>
      </c>
      <c r="S439" s="507">
        <v>0</v>
      </c>
      <c r="T439" s="507">
        <v>1137.504477998096</v>
      </c>
      <c r="U439" s="507">
        <v>17.18587096133713</v>
      </c>
      <c r="V439" s="507">
        <f>Port[[#This Row],[EAD_Drawn (CNY)]]*Port[[#This Row],[CNY -&gt; FCY]]</f>
        <v>61608.78</v>
      </c>
      <c r="W439" s="507">
        <f>Port[[#This Row],[EAD_Undrawn (CNY)]]*Port[[#This Row],[CNY -&gt; FCY]]</f>
        <v>0</v>
      </c>
      <c r="X439" s="507">
        <f>Port[[#This Row],[EAD (CNY)]]*Port[[#This Row],[CNY -&gt; FCY]]</f>
        <v>61608.78</v>
      </c>
      <c r="Y439" s="507">
        <f>Port[[#This Row],[EAD_Interest (CNY)]]*Port[[#This Row],[CNY -&gt; FCY]]</f>
        <v>930.81</v>
      </c>
      <c r="Z439" s="507">
        <f>Port[[#This Row],[ECL_Drawn (CNY)]]*Port[[#This Row],[CNY -&gt; FCY]]</f>
        <v>1137.504477998096</v>
      </c>
      <c r="AA439" s="507">
        <f>Port[[#This Row],[ECL_Undrawn (CNY)]]*Port[[#This Row],[CNY -&gt; FCY]]</f>
        <v>0</v>
      </c>
      <c r="AB439" s="507">
        <f>Port[[#This Row],[ECL (CNY)]]*Port[[#This Row],[CNY -&gt; FCY]]</f>
        <v>1137.504477998096</v>
      </c>
      <c r="AC439" s="507">
        <f>Port[[#This Row],[ECL_Interest (CNY)]]*Port[[#This Row],[CNY -&gt; FCY]]</f>
        <v>17.18587096133713</v>
      </c>
      <c r="AD439" s="507">
        <f>Port[[#This Row],[EAD_Drawn (CNY)]]*Port[[#This Row],[CNY -&gt; THB]]</f>
        <v>323372.16446400003</v>
      </c>
      <c r="AE439" s="507">
        <f>Port[[#This Row],[EAD_Undrawn (CNY)]]*Port[[#This Row],[CNY -&gt; THB]]</f>
        <v>0</v>
      </c>
      <c r="AF439" s="507">
        <f>Port[[#This Row],[EAD (CNY)]]*Port[[#This Row],[CNY -&gt; THB]]</f>
        <v>323372.16446400003</v>
      </c>
      <c r="AG439" s="507">
        <f>Port[[#This Row],[EAD_Interest (CNY)]]*Port[[#This Row],[CNY -&gt; THB]]</f>
        <v>4885.6355279999998</v>
      </c>
      <c r="AH439" s="507">
        <f>Port[[#This Row],[ECL_Drawn (CNY)]]*Port[[#This Row],[CNY -&gt; THB]]</f>
        <v>5970.5335041164062</v>
      </c>
      <c r="AI439" s="507">
        <f>Port[[#This Row],[ECL_Undrawn (CNY)]]*Port[[#This Row],[CNY -&gt; THB]]</f>
        <v>0</v>
      </c>
      <c r="AJ439" s="507">
        <f>Port[[#This Row],[ECL (CNY)]]*Port[[#This Row],[CNY -&gt; THB]]</f>
        <v>5970.5335041164062</v>
      </c>
      <c r="AK439" s="507">
        <f>Port[[#This Row],[ECL_Interest (CNY)]]*Port[[#This Row],[CNY -&gt; THB]]</f>
        <v>90.205199501866332</v>
      </c>
      <c r="AL439" s="507">
        <f>Port[[#This Row],[EAD (THB)]]*Port[[#This Row],[PD_avg]]</f>
        <v>6633.926115684897</v>
      </c>
      <c r="AM439" s="507">
        <f>Port[[#This Row],[EAD_Interest (THB)]]*Port[[#This Row],[PD_avg]]</f>
        <v>100.22799944651814</v>
      </c>
      <c r="AN439" s="507">
        <f>Port[[#This Row],[EAD (THB)]]*Port[[#This Row],[LGD_avg]]</f>
        <v>291034.94801760005</v>
      </c>
      <c r="AO439" s="507">
        <f>Port[[#This Row],[EAD_Interest (THB)]]*Port[[#This Row],[LGD_avg]]</f>
        <v>4397.0719751999995</v>
      </c>
      <c r="AP439" s="507">
        <f>Port[[#This Row],[EAD_Drawn (THB)]]+Port[[#This Row],[EAD_Interest (THB)]]</f>
        <v>328257.79999200004</v>
      </c>
      <c r="AQ4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4850.5824669600006</v>
      </c>
      <c r="AR439" s="522">
        <f>MAX(Port[[#This Row],[ECL (THB)]]+Port[[#This Row],[ECL_Interest (THB)]], Port[[#This Row],[ECL CBIRC (THB)]])</f>
        <v>6060.7387036182727</v>
      </c>
    </row>
    <row r="440" spans="1:44">
      <c r="A440" s="2" t="s">
        <v>1141</v>
      </c>
      <c r="B440" s="2" t="s">
        <v>375</v>
      </c>
      <c r="C440" s="2" t="s">
        <v>328</v>
      </c>
      <c r="D440" s="2" t="s">
        <v>18</v>
      </c>
      <c r="E440" s="2" t="s">
        <v>19</v>
      </c>
      <c r="F440" s="2" t="s">
        <v>20</v>
      </c>
      <c r="G440" s="2" t="s">
        <v>21</v>
      </c>
      <c r="H440">
        <v>1</v>
      </c>
      <c r="I440" s="2" t="s">
        <v>526</v>
      </c>
      <c r="J440" s="505">
        <v>2.0514833509807026E-2</v>
      </c>
      <c r="K440" s="505">
        <v>0.89999999999999991</v>
      </c>
      <c r="L440" s="3">
        <v>1</v>
      </c>
      <c r="M440" s="3">
        <v>5.2488000000000001</v>
      </c>
      <c r="N440" s="507">
        <v>29297.03</v>
      </c>
      <c r="O440" s="507">
        <v>0</v>
      </c>
      <c r="P440" s="507">
        <v>29297.03</v>
      </c>
      <c r="Q440" s="507">
        <v>442.63</v>
      </c>
      <c r="R440" s="507">
        <v>540.92132350363954</v>
      </c>
      <c r="S440" s="507">
        <v>0</v>
      </c>
      <c r="T440" s="507">
        <v>540.92132350363954</v>
      </c>
      <c r="U440" s="507">
        <v>8.1724326808012968</v>
      </c>
      <c r="V440" s="507">
        <f>Port[[#This Row],[EAD_Drawn (CNY)]]*Port[[#This Row],[CNY -&gt; FCY]]</f>
        <v>29297.03</v>
      </c>
      <c r="W440" s="507">
        <f>Port[[#This Row],[EAD_Undrawn (CNY)]]*Port[[#This Row],[CNY -&gt; FCY]]</f>
        <v>0</v>
      </c>
      <c r="X440" s="507">
        <f>Port[[#This Row],[EAD (CNY)]]*Port[[#This Row],[CNY -&gt; FCY]]</f>
        <v>29297.03</v>
      </c>
      <c r="Y440" s="507">
        <f>Port[[#This Row],[EAD_Interest (CNY)]]*Port[[#This Row],[CNY -&gt; FCY]]</f>
        <v>442.63</v>
      </c>
      <c r="Z440" s="507">
        <f>Port[[#This Row],[ECL_Drawn (CNY)]]*Port[[#This Row],[CNY -&gt; FCY]]</f>
        <v>540.92132350363954</v>
      </c>
      <c r="AA440" s="507">
        <f>Port[[#This Row],[ECL_Undrawn (CNY)]]*Port[[#This Row],[CNY -&gt; FCY]]</f>
        <v>0</v>
      </c>
      <c r="AB440" s="507">
        <f>Port[[#This Row],[ECL (CNY)]]*Port[[#This Row],[CNY -&gt; FCY]]</f>
        <v>540.92132350363954</v>
      </c>
      <c r="AC440" s="507">
        <f>Port[[#This Row],[ECL_Interest (CNY)]]*Port[[#This Row],[CNY -&gt; FCY]]</f>
        <v>8.1724326808012968</v>
      </c>
      <c r="AD440" s="507">
        <f>Port[[#This Row],[EAD_Drawn (CNY)]]*Port[[#This Row],[CNY -&gt; THB]]</f>
        <v>153774.25106400001</v>
      </c>
      <c r="AE440" s="507">
        <f>Port[[#This Row],[EAD_Undrawn (CNY)]]*Port[[#This Row],[CNY -&gt; THB]]</f>
        <v>0</v>
      </c>
      <c r="AF440" s="507">
        <f>Port[[#This Row],[EAD (CNY)]]*Port[[#This Row],[CNY -&gt; THB]]</f>
        <v>153774.25106400001</v>
      </c>
      <c r="AG440" s="507">
        <f>Port[[#This Row],[EAD_Interest (CNY)]]*Port[[#This Row],[CNY -&gt; THB]]</f>
        <v>2323.2763439999999</v>
      </c>
      <c r="AH440" s="507">
        <f>Port[[#This Row],[ECL_Drawn (CNY)]]*Port[[#This Row],[CNY -&gt; THB]]</f>
        <v>2839.1878428059031</v>
      </c>
      <c r="AI440" s="507">
        <f>Port[[#This Row],[ECL_Undrawn (CNY)]]*Port[[#This Row],[CNY -&gt; THB]]</f>
        <v>0</v>
      </c>
      <c r="AJ440" s="507">
        <f>Port[[#This Row],[ECL (CNY)]]*Port[[#This Row],[CNY -&gt; THB]]</f>
        <v>2839.1878428059031</v>
      </c>
      <c r="AK440" s="507">
        <f>Port[[#This Row],[ECL_Interest (CNY)]]*Port[[#This Row],[CNY -&gt; THB]]</f>
        <v>42.895464654989851</v>
      </c>
      <c r="AL440" s="507">
        <f>Port[[#This Row],[EAD (THB)]]*Port[[#This Row],[PD_avg]]</f>
        <v>3154.6531586732262</v>
      </c>
      <c r="AM440" s="507">
        <f>Port[[#This Row],[EAD_Interest (THB)]]*Port[[#This Row],[PD_avg]]</f>
        <v>47.661627394433154</v>
      </c>
      <c r="AN440" s="507">
        <f>Port[[#This Row],[EAD (THB)]]*Port[[#This Row],[LGD_avg]]</f>
        <v>138396.8259576</v>
      </c>
      <c r="AO440" s="507">
        <f>Port[[#This Row],[EAD_Interest (THB)]]*Port[[#This Row],[LGD_avg]]</f>
        <v>2090.9487095999998</v>
      </c>
      <c r="AP440" s="507">
        <f>Port[[#This Row],[EAD_Drawn (THB)]]+Port[[#This Row],[EAD_Interest (THB)]]</f>
        <v>156097.52740800002</v>
      </c>
      <c r="AQ4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2306.6137659599999</v>
      </c>
      <c r="AR440" s="522">
        <f>MAX(Port[[#This Row],[ECL (THB)]]+Port[[#This Row],[ECL_Interest (THB)]], Port[[#This Row],[ECL CBIRC (THB)]])</f>
        <v>2882.0833074608931</v>
      </c>
    </row>
    <row r="441" spans="1:44">
      <c r="A441" s="2" t="s">
        <v>1142</v>
      </c>
      <c r="B441" s="2" t="s">
        <v>364</v>
      </c>
      <c r="C441" s="2" t="s">
        <v>328</v>
      </c>
      <c r="D441" s="2" t="s">
        <v>18</v>
      </c>
      <c r="E441" s="2" t="s">
        <v>19</v>
      </c>
      <c r="F441" s="2" t="s">
        <v>20</v>
      </c>
      <c r="G441" s="2" t="s">
        <v>21</v>
      </c>
      <c r="H441">
        <v>1</v>
      </c>
      <c r="I441" s="2" t="s">
        <v>526</v>
      </c>
      <c r="J441" s="505">
        <v>2.0514833509807026E-2</v>
      </c>
      <c r="K441" s="505">
        <v>0.89999999999999991</v>
      </c>
      <c r="L441" s="3">
        <v>1</v>
      </c>
      <c r="M441" s="3">
        <v>5.2488000000000001</v>
      </c>
      <c r="N441" s="507">
        <v>91685.39</v>
      </c>
      <c r="O441" s="507">
        <v>0</v>
      </c>
      <c r="P441" s="507">
        <v>91685.39</v>
      </c>
      <c r="Q441" s="507">
        <v>1385.21</v>
      </c>
      <c r="R441" s="507">
        <v>1692.8194600185534</v>
      </c>
      <c r="S441" s="507">
        <v>0</v>
      </c>
      <c r="T441" s="507">
        <v>1692.8194600185534</v>
      </c>
      <c r="U441" s="507">
        <v>25.575617273507813</v>
      </c>
      <c r="V441" s="507">
        <f>Port[[#This Row],[EAD_Drawn (CNY)]]*Port[[#This Row],[CNY -&gt; FCY]]</f>
        <v>91685.39</v>
      </c>
      <c r="W441" s="507">
        <f>Port[[#This Row],[EAD_Undrawn (CNY)]]*Port[[#This Row],[CNY -&gt; FCY]]</f>
        <v>0</v>
      </c>
      <c r="X441" s="507">
        <f>Port[[#This Row],[EAD (CNY)]]*Port[[#This Row],[CNY -&gt; FCY]]</f>
        <v>91685.39</v>
      </c>
      <c r="Y441" s="507">
        <f>Port[[#This Row],[EAD_Interest (CNY)]]*Port[[#This Row],[CNY -&gt; FCY]]</f>
        <v>1385.21</v>
      </c>
      <c r="Z441" s="507">
        <f>Port[[#This Row],[ECL_Drawn (CNY)]]*Port[[#This Row],[CNY -&gt; FCY]]</f>
        <v>1692.8194600185534</v>
      </c>
      <c r="AA441" s="507">
        <f>Port[[#This Row],[ECL_Undrawn (CNY)]]*Port[[#This Row],[CNY -&gt; FCY]]</f>
        <v>0</v>
      </c>
      <c r="AB441" s="507">
        <f>Port[[#This Row],[ECL (CNY)]]*Port[[#This Row],[CNY -&gt; FCY]]</f>
        <v>1692.8194600185534</v>
      </c>
      <c r="AC441" s="507">
        <f>Port[[#This Row],[ECL_Interest (CNY)]]*Port[[#This Row],[CNY -&gt; FCY]]</f>
        <v>25.575617273507813</v>
      </c>
      <c r="AD441" s="507">
        <f>Port[[#This Row],[EAD_Drawn (CNY)]]*Port[[#This Row],[CNY -&gt; THB]]</f>
        <v>481238.27503200003</v>
      </c>
      <c r="AE441" s="507">
        <f>Port[[#This Row],[EAD_Undrawn (CNY)]]*Port[[#This Row],[CNY -&gt; THB]]</f>
        <v>0</v>
      </c>
      <c r="AF441" s="507">
        <f>Port[[#This Row],[EAD (CNY)]]*Port[[#This Row],[CNY -&gt; THB]]</f>
        <v>481238.27503200003</v>
      </c>
      <c r="AG441" s="507">
        <f>Port[[#This Row],[EAD_Interest (CNY)]]*Port[[#This Row],[CNY -&gt; THB]]</f>
        <v>7270.6902480000008</v>
      </c>
      <c r="AH441" s="507">
        <f>Port[[#This Row],[ECL_Drawn (CNY)]]*Port[[#This Row],[CNY -&gt; THB]]</f>
        <v>8885.2707817453829</v>
      </c>
      <c r="AI441" s="507">
        <f>Port[[#This Row],[ECL_Undrawn (CNY)]]*Port[[#This Row],[CNY -&gt; THB]]</f>
        <v>0</v>
      </c>
      <c r="AJ441" s="507">
        <f>Port[[#This Row],[ECL (CNY)]]*Port[[#This Row],[CNY -&gt; THB]]</f>
        <v>8885.2707817453829</v>
      </c>
      <c r="AK441" s="507">
        <f>Port[[#This Row],[ECL_Interest (CNY)]]*Port[[#This Row],[CNY -&gt; THB]]</f>
        <v>134.24129994518782</v>
      </c>
      <c r="AL441" s="507">
        <f>Port[[#This Row],[EAD (THB)]]*Port[[#This Row],[PD_avg]]</f>
        <v>9872.5230908282047</v>
      </c>
      <c r="AM441" s="507">
        <f>Port[[#This Row],[EAD_Interest (THB)]]*Port[[#This Row],[PD_avg]]</f>
        <v>149.15699993909757</v>
      </c>
      <c r="AN441" s="507">
        <f>Port[[#This Row],[EAD (THB)]]*Port[[#This Row],[LGD_avg]]</f>
        <v>433114.4475288</v>
      </c>
      <c r="AO441" s="507">
        <f>Port[[#This Row],[EAD_Interest (THB)]]*Port[[#This Row],[LGD_avg]]</f>
        <v>6543.6212231999998</v>
      </c>
      <c r="AP441" s="507">
        <f>Port[[#This Row],[EAD_Drawn (THB)]]+Port[[#This Row],[EAD_Interest (THB)]]</f>
        <v>488508.96528000006</v>
      </c>
      <c r="AQ4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7218.5741254800005</v>
      </c>
      <c r="AR441" s="522">
        <f>MAX(Port[[#This Row],[ECL (THB)]]+Port[[#This Row],[ECL_Interest (THB)]], Port[[#This Row],[ECL CBIRC (THB)]])</f>
        <v>9019.512081690571</v>
      </c>
    </row>
    <row r="442" spans="1:44">
      <c r="A442" s="2" t="s">
        <v>1143</v>
      </c>
      <c r="B442" s="2" t="s">
        <v>367</v>
      </c>
      <c r="C442" s="2" t="s">
        <v>328</v>
      </c>
      <c r="D442" s="2" t="s">
        <v>18</v>
      </c>
      <c r="E442" s="2" t="s">
        <v>19</v>
      </c>
      <c r="F442" s="2" t="s">
        <v>20</v>
      </c>
      <c r="G442" s="2" t="s">
        <v>21</v>
      </c>
      <c r="H442">
        <v>1</v>
      </c>
      <c r="I442" s="2" t="s">
        <v>526</v>
      </c>
      <c r="J442" s="505">
        <v>2.0514833509807026E-2</v>
      </c>
      <c r="K442" s="505">
        <v>0.90000000000000013</v>
      </c>
      <c r="L442" s="3">
        <v>1</v>
      </c>
      <c r="M442" s="3">
        <v>5.2488000000000001</v>
      </c>
      <c r="N442" s="507">
        <v>100188.52</v>
      </c>
      <c r="O442" s="507">
        <v>0</v>
      </c>
      <c r="P442" s="507">
        <v>100188.52</v>
      </c>
      <c r="Q442" s="507">
        <v>1513.68</v>
      </c>
      <c r="R442" s="507">
        <v>1849.8157266545745</v>
      </c>
      <c r="S442" s="507">
        <v>0</v>
      </c>
      <c r="T442" s="507">
        <v>1849.8157266545745</v>
      </c>
      <c r="U442" s="507">
        <v>27.947603868412237</v>
      </c>
      <c r="V442" s="507">
        <f>Port[[#This Row],[EAD_Drawn (CNY)]]*Port[[#This Row],[CNY -&gt; FCY]]</f>
        <v>100188.52</v>
      </c>
      <c r="W442" s="507">
        <f>Port[[#This Row],[EAD_Undrawn (CNY)]]*Port[[#This Row],[CNY -&gt; FCY]]</f>
        <v>0</v>
      </c>
      <c r="X442" s="507">
        <f>Port[[#This Row],[EAD (CNY)]]*Port[[#This Row],[CNY -&gt; FCY]]</f>
        <v>100188.52</v>
      </c>
      <c r="Y442" s="507">
        <f>Port[[#This Row],[EAD_Interest (CNY)]]*Port[[#This Row],[CNY -&gt; FCY]]</f>
        <v>1513.68</v>
      </c>
      <c r="Z442" s="507">
        <f>Port[[#This Row],[ECL_Drawn (CNY)]]*Port[[#This Row],[CNY -&gt; FCY]]</f>
        <v>1849.8157266545745</v>
      </c>
      <c r="AA442" s="507">
        <f>Port[[#This Row],[ECL_Undrawn (CNY)]]*Port[[#This Row],[CNY -&gt; FCY]]</f>
        <v>0</v>
      </c>
      <c r="AB442" s="507">
        <f>Port[[#This Row],[ECL (CNY)]]*Port[[#This Row],[CNY -&gt; FCY]]</f>
        <v>1849.8157266545745</v>
      </c>
      <c r="AC442" s="507">
        <f>Port[[#This Row],[ECL_Interest (CNY)]]*Port[[#This Row],[CNY -&gt; FCY]]</f>
        <v>27.947603868412237</v>
      </c>
      <c r="AD442" s="507">
        <f>Port[[#This Row],[EAD_Drawn (CNY)]]*Port[[#This Row],[CNY -&gt; THB]]</f>
        <v>525869.503776</v>
      </c>
      <c r="AE442" s="507">
        <f>Port[[#This Row],[EAD_Undrawn (CNY)]]*Port[[#This Row],[CNY -&gt; THB]]</f>
        <v>0</v>
      </c>
      <c r="AF442" s="507">
        <f>Port[[#This Row],[EAD (CNY)]]*Port[[#This Row],[CNY -&gt; THB]]</f>
        <v>525869.503776</v>
      </c>
      <c r="AG442" s="507">
        <f>Port[[#This Row],[EAD_Interest (CNY)]]*Port[[#This Row],[CNY -&gt; THB]]</f>
        <v>7945.003584000001</v>
      </c>
      <c r="AH442" s="507">
        <f>Port[[#This Row],[ECL_Drawn (CNY)]]*Port[[#This Row],[CNY -&gt; THB]]</f>
        <v>9709.3127860645309</v>
      </c>
      <c r="AI442" s="507">
        <f>Port[[#This Row],[ECL_Undrawn (CNY)]]*Port[[#This Row],[CNY -&gt; THB]]</f>
        <v>0</v>
      </c>
      <c r="AJ442" s="507">
        <f>Port[[#This Row],[ECL (CNY)]]*Port[[#This Row],[CNY -&gt; THB]]</f>
        <v>9709.3127860645309</v>
      </c>
      <c r="AK442" s="507">
        <f>Port[[#This Row],[ECL_Interest (CNY)]]*Port[[#This Row],[CNY -&gt; THB]]</f>
        <v>146.69138318452215</v>
      </c>
      <c r="AL442" s="507">
        <f>Port[[#This Row],[EAD (THB)]]*Port[[#This Row],[PD_avg]]</f>
        <v>10788.125317849477</v>
      </c>
      <c r="AM442" s="507">
        <f>Port[[#This Row],[EAD_Interest (THB)]]*Port[[#This Row],[PD_avg]]</f>
        <v>162.99042576058014</v>
      </c>
      <c r="AN442" s="507">
        <f>Port[[#This Row],[EAD (THB)]]*Port[[#This Row],[LGD_avg]]</f>
        <v>473282.55339840008</v>
      </c>
      <c r="AO442" s="507">
        <f>Port[[#This Row],[EAD_Interest (THB)]]*Port[[#This Row],[LGD_avg]]</f>
        <v>7150.5032256000022</v>
      </c>
      <c r="AP442" s="507">
        <f>Port[[#This Row],[EAD_Drawn (THB)]]+Port[[#This Row],[EAD_Interest (THB)]]</f>
        <v>533814.50736000005</v>
      </c>
      <c r="AQ4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7888.0425566399999</v>
      </c>
      <c r="AR442" s="522">
        <f>MAX(Port[[#This Row],[ECL (THB)]]+Port[[#This Row],[ECL_Interest (THB)]], Port[[#This Row],[ECL CBIRC (THB)]])</f>
        <v>9856.0041692490522</v>
      </c>
    </row>
    <row r="443" spans="1:44">
      <c r="A443" s="2" t="s">
        <v>1144</v>
      </c>
      <c r="B443" s="2" t="s">
        <v>1086</v>
      </c>
      <c r="C443" s="2" t="s">
        <v>328</v>
      </c>
      <c r="D443" s="2" t="s">
        <v>18</v>
      </c>
      <c r="E443" s="2" t="s">
        <v>19</v>
      </c>
      <c r="F443" s="2" t="s">
        <v>20</v>
      </c>
      <c r="G443" s="2" t="s">
        <v>21</v>
      </c>
      <c r="H443">
        <v>1</v>
      </c>
      <c r="I443" s="2" t="s">
        <v>526</v>
      </c>
      <c r="J443" s="505">
        <v>2.0514833509807026E-2</v>
      </c>
      <c r="K443" s="505">
        <v>0.90000000000000013</v>
      </c>
      <c r="L443" s="3">
        <v>1</v>
      </c>
      <c r="M443" s="3">
        <v>5.2488000000000001</v>
      </c>
      <c r="N443" s="507">
        <v>500000</v>
      </c>
      <c r="O443" s="507">
        <v>0</v>
      </c>
      <c r="P443" s="507">
        <v>500000</v>
      </c>
      <c r="Q443" s="507">
        <v>13081.25</v>
      </c>
      <c r="R443" s="507">
        <v>9231.675079413164</v>
      </c>
      <c r="S443" s="507">
        <v>0</v>
      </c>
      <c r="T443" s="507">
        <v>9231.675079413164</v>
      </c>
      <c r="U443" s="507">
        <v>241.52369926514683</v>
      </c>
      <c r="V443" s="507">
        <f>Port[[#This Row],[EAD_Drawn (CNY)]]*Port[[#This Row],[CNY -&gt; FCY]]</f>
        <v>500000</v>
      </c>
      <c r="W443" s="507">
        <f>Port[[#This Row],[EAD_Undrawn (CNY)]]*Port[[#This Row],[CNY -&gt; FCY]]</f>
        <v>0</v>
      </c>
      <c r="X443" s="507">
        <f>Port[[#This Row],[EAD (CNY)]]*Port[[#This Row],[CNY -&gt; FCY]]</f>
        <v>500000</v>
      </c>
      <c r="Y443" s="507">
        <f>Port[[#This Row],[EAD_Interest (CNY)]]*Port[[#This Row],[CNY -&gt; FCY]]</f>
        <v>13081.25</v>
      </c>
      <c r="Z443" s="507">
        <f>Port[[#This Row],[ECL_Drawn (CNY)]]*Port[[#This Row],[CNY -&gt; FCY]]</f>
        <v>9231.675079413164</v>
      </c>
      <c r="AA443" s="507">
        <f>Port[[#This Row],[ECL_Undrawn (CNY)]]*Port[[#This Row],[CNY -&gt; FCY]]</f>
        <v>0</v>
      </c>
      <c r="AB443" s="507">
        <f>Port[[#This Row],[ECL (CNY)]]*Port[[#This Row],[CNY -&gt; FCY]]</f>
        <v>9231.675079413164</v>
      </c>
      <c r="AC443" s="507">
        <f>Port[[#This Row],[ECL_Interest (CNY)]]*Port[[#This Row],[CNY -&gt; FCY]]</f>
        <v>241.52369926514683</v>
      </c>
      <c r="AD443" s="507">
        <f>Port[[#This Row],[EAD_Drawn (CNY)]]*Port[[#This Row],[CNY -&gt; THB]]</f>
        <v>2624400</v>
      </c>
      <c r="AE443" s="507">
        <f>Port[[#This Row],[EAD_Undrawn (CNY)]]*Port[[#This Row],[CNY -&gt; THB]]</f>
        <v>0</v>
      </c>
      <c r="AF443" s="507">
        <f>Port[[#This Row],[EAD (CNY)]]*Port[[#This Row],[CNY -&gt; THB]]</f>
        <v>2624400</v>
      </c>
      <c r="AG443" s="507">
        <f>Port[[#This Row],[EAD_Interest (CNY)]]*Port[[#This Row],[CNY -&gt; THB]]</f>
        <v>68660.865000000005</v>
      </c>
      <c r="AH443" s="507">
        <f>Port[[#This Row],[ECL_Drawn (CNY)]]*Port[[#This Row],[CNY -&gt; THB]]</f>
        <v>48455.216156823815</v>
      </c>
      <c r="AI443" s="507">
        <f>Port[[#This Row],[ECL_Undrawn (CNY)]]*Port[[#This Row],[CNY -&gt; THB]]</f>
        <v>0</v>
      </c>
      <c r="AJ443" s="507">
        <f>Port[[#This Row],[ECL (CNY)]]*Port[[#This Row],[CNY -&gt; THB]]</f>
        <v>48455.216156823815</v>
      </c>
      <c r="AK443" s="507">
        <f>Port[[#This Row],[ECL_Interest (CNY)]]*Port[[#This Row],[CNY -&gt; THB]]</f>
        <v>1267.7095927029027</v>
      </c>
      <c r="AL443" s="507">
        <f>Port[[#This Row],[EAD (THB)]]*Port[[#This Row],[PD_avg]]</f>
        <v>53839.12906313756</v>
      </c>
      <c r="AM443" s="507">
        <f>Port[[#This Row],[EAD_Interest (THB)]]*Port[[#This Row],[PD_avg]]</f>
        <v>1408.5662141143366</v>
      </c>
      <c r="AN443" s="507">
        <f>Port[[#This Row],[EAD (THB)]]*Port[[#This Row],[LGD_avg]]</f>
        <v>2361960.0000000005</v>
      </c>
      <c r="AO443" s="507">
        <f>Port[[#This Row],[EAD_Interest (THB)]]*Port[[#This Row],[LGD_avg]]</f>
        <v>61794.778500000015</v>
      </c>
      <c r="AP443" s="507">
        <f>Port[[#This Row],[EAD_Drawn (THB)]]+Port[[#This Row],[EAD_Interest (THB)]]</f>
        <v>2693060.8650000002</v>
      </c>
      <c r="AQ4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</v>
      </c>
      <c r="AR443" s="522">
        <f>MAX(Port[[#This Row],[ECL (THB)]]+Port[[#This Row],[ECL_Interest (THB)]], Port[[#This Row],[ECL CBIRC (THB)]])</f>
        <v>49722.925749526716</v>
      </c>
    </row>
    <row r="444" spans="1:44">
      <c r="A444" s="2" t="s">
        <v>1145</v>
      </c>
      <c r="B444" s="2" t="s">
        <v>1146</v>
      </c>
      <c r="C444" s="2" t="s">
        <v>328</v>
      </c>
      <c r="D444" s="2" t="s">
        <v>18</v>
      </c>
      <c r="E444" s="2" t="s">
        <v>19</v>
      </c>
      <c r="F444" s="2" t="s">
        <v>20</v>
      </c>
      <c r="G444" s="2" t="s">
        <v>21</v>
      </c>
      <c r="H444">
        <v>1</v>
      </c>
      <c r="I444" s="2" t="s">
        <v>526</v>
      </c>
      <c r="J444" s="505">
        <v>2.0514833509807026E-2</v>
      </c>
      <c r="K444" s="505">
        <v>0.90000000000000013</v>
      </c>
      <c r="L444" s="3">
        <v>1</v>
      </c>
      <c r="M444" s="3">
        <v>5.2488000000000001</v>
      </c>
      <c r="N444" s="507">
        <v>30721.9</v>
      </c>
      <c r="O444" s="507">
        <v>0</v>
      </c>
      <c r="P444" s="507">
        <v>30721.9</v>
      </c>
      <c r="Q444" s="507">
        <v>464.16</v>
      </c>
      <c r="R444" s="507">
        <v>567.22919724444648</v>
      </c>
      <c r="S444" s="507">
        <v>0</v>
      </c>
      <c r="T444" s="507">
        <v>567.22919724444648</v>
      </c>
      <c r="U444" s="507">
        <v>8.5699486097208268</v>
      </c>
      <c r="V444" s="507">
        <f>Port[[#This Row],[EAD_Drawn (CNY)]]*Port[[#This Row],[CNY -&gt; FCY]]</f>
        <v>30721.9</v>
      </c>
      <c r="W444" s="507">
        <f>Port[[#This Row],[EAD_Undrawn (CNY)]]*Port[[#This Row],[CNY -&gt; FCY]]</f>
        <v>0</v>
      </c>
      <c r="X444" s="507">
        <f>Port[[#This Row],[EAD (CNY)]]*Port[[#This Row],[CNY -&gt; FCY]]</f>
        <v>30721.9</v>
      </c>
      <c r="Y444" s="507">
        <f>Port[[#This Row],[EAD_Interest (CNY)]]*Port[[#This Row],[CNY -&gt; FCY]]</f>
        <v>464.16</v>
      </c>
      <c r="Z444" s="507">
        <f>Port[[#This Row],[ECL_Drawn (CNY)]]*Port[[#This Row],[CNY -&gt; FCY]]</f>
        <v>567.22919724444648</v>
      </c>
      <c r="AA444" s="507">
        <f>Port[[#This Row],[ECL_Undrawn (CNY)]]*Port[[#This Row],[CNY -&gt; FCY]]</f>
        <v>0</v>
      </c>
      <c r="AB444" s="507">
        <f>Port[[#This Row],[ECL (CNY)]]*Port[[#This Row],[CNY -&gt; FCY]]</f>
        <v>567.22919724444648</v>
      </c>
      <c r="AC444" s="507">
        <f>Port[[#This Row],[ECL_Interest (CNY)]]*Port[[#This Row],[CNY -&gt; FCY]]</f>
        <v>8.5699486097208268</v>
      </c>
      <c r="AD444" s="507">
        <f>Port[[#This Row],[EAD_Drawn (CNY)]]*Port[[#This Row],[CNY -&gt; THB]]</f>
        <v>161253.10872000002</v>
      </c>
      <c r="AE444" s="507">
        <f>Port[[#This Row],[EAD_Undrawn (CNY)]]*Port[[#This Row],[CNY -&gt; THB]]</f>
        <v>0</v>
      </c>
      <c r="AF444" s="507">
        <f>Port[[#This Row],[EAD (CNY)]]*Port[[#This Row],[CNY -&gt; THB]]</f>
        <v>161253.10872000002</v>
      </c>
      <c r="AG444" s="507">
        <f>Port[[#This Row],[EAD_Interest (CNY)]]*Port[[#This Row],[CNY -&gt; THB]]</f>
        <v>2436.2830080000003</v>
      </c>
      <c r="AH444" s="507">
        <f>Port[[#This Row],[ECL_Drawn (CNY)]]*Port[[#This Row],[CNY -&gt; THB]]</f>
        <v>2977.2726104966509</v>
      </c>
      <c r="AI444" s="507">
        <f>Port[[#This Row],[ECL_Undrawn (CNY)]]*Port[[#This Row],[CNY -&gt; THB]]</f>
        <v>0</v>
      </c>
      <c r="AJ444" s="507">
        <f>Port[[#This Row],[ECL (CNY)]]*Port[[#This Row],[CNY -&gt; THB]]</f>
        <v>2977.2726104966509</v>
      </c>
      <c r="AK444" s="507">
        <f>Port[[#This Row],[ECL_Interest (CNY)]]*Port[[#This Row],[CNY -&gt; THB]]</f>
        <v>44.981946262702678</v>
      </c>
      <c r="AL444" s="507">
        <f>Port[[#This Row],[EAD (THB)]]*Port[[#This Row],[PD_avg]]</f>
        <v>3308.0806783296121</v>
      </c>
      <c r="AM444" s="507">
        <f>Port[[#This Row],[EAD_Interest (THB)]]*Port[[#This Row],[PD_avg]]</f>
        <v>49.979940291891864</v>
      </c>
      <c r="AN444" s="507">
        <f>Port[[#This Row],[EAD (THB)]]*Port[[#This Row],[LGD_avg]]</f>
        <v>145127.79784800005</v>
      </c>
      <c r="AO444" s="507">
        <f>Port[[#This Row],[EAD_Interest (THB)]]*Port[[#This Row],[LGD_avg]]</f>
        <v>2192.6547072000008</v>
      </c>
      <c r="AP444" s="507">
        <f>Port[[#This Row],[EAD_Drawn (THB)]]+Port[[#This Row],[EAD_Interest (THB)]]</f>
        <v>163689.39172800002</v>
      </c>
      <c r="AQ4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2418.7966308</v>
      </c>
      <c r="AR444" s="522">
        <f>MAX(Port[[#This Row],[ECL (THB)]]+Port[[#This Row],[ECL_Interest (THB)]], Port[[#This Row],[ECL CBIRC (THB)]])</f>
        <v>3022.2545567593538</v>
      </c>
    </row>
    <row r="445" spans="1:44">
      <c r="A445" s="2" t="s">
        <v>1147</v>
      </c>
      <c r="B445" s="2" t="s">
        <v>366</v>
      </c>
      <c r="C445" s="2" t="s">
        <v>328</v>
      </c>
      <c r="D445" s="2" t="s">
        <v>18</v>
      </c>
      <c r="E445" s="2" t="s">
        <v>19</v>
      </c>
      <c r="F445" s="2" t="s">
        <v>20</v>
      </c>
      <c r="G445" s="2" t="s">
        <v>21</v>
      </c>
      <c r="H445">
        <v>1</v>
      </c>
      <c r="I445" s="2" t="s">
        <v>526</v>
      </c>
      <c r="J445" s="505">
        <v>2.0514833509807026E-2</v>
      </c>
      <c r="K445" s="505">
        <v>0.90000000000000013</v>
      </c>
      <c r="L445" s="3">
        <v>1</v>
      </c>
      <c r="M445" s="3">
        <v>5.2488000000000001</v>
      </c>
      <c r="N445" s="507">
        <v>639908.36</v>
      </c>
      <c r="O445" s="507">
        <v>0</v>
      </c>
      <c r="P445" s="507">
        <v>639908.36</v>
      </c>
      <c r="Q445" s="507">
        <v>9667.9500000000007</v>
      </c>
      <c r="R445" s="507">
        <v>11814.852120240292</v>
      </c>
      <c r="S445" s="507">
        <v>0</v>
      </c>
      <c r="T445" s="507">
        <v>11814.852120240292</v>
      </c>
      <c r="U445" s="507">
        <v>178.50274616802497</v>
      </c>
      <c r="V445" s="507">
        <f>Port[[#This Row],[EAD_Drawn (CNY)]]*Port[[#This Row],[CNY -&gt; FCY]]</f>
        <v>639908.36</v>
      </c>
      <c r="W445" s="507">
        <f>Port[[#This Row],[EAD_Undrawn (CNY)]]*Port[[#This Row],[CNY -&gt; FCY]]</f>
        <v>0</v>
      </c>
      <c r="X445" s="507">
        <f>Port[[#This Row],[EAD (CNY)]]*Port[[#This Row],[CNY -&gt; FCY]]</f>
        <v>639908.36</v>
      </c>
      <c r="Y445" s="507">
        <f>Port[[#This Row],[EAD_Interest (CNY)]]*Port[[#This Row],[CNY -&gt; FCY]]</f>
        <v>9667.9500000000007</v>
      </c>
      <c r="Z445" s="507">
        <f>Port[[#This Row],[ECL_Drawn (CNY)]]*Port[[#This Row],[CNY -&gt; FCY]]</f>
        <v>11814.852120240292</v>
      </c>
      <c r="AA445" s="507">
        <f>Port[[#This Row],[ECL_Undrawn (CNY)]]*Port[[#This Row],[CNY -&gt; FCY]]</f>
        <v>0</v>
      </c>
      <c r="AB445" s="507">
        <f>Port[[#This Row],[ECL (CNY)]]*Port[[#This Row],[CNY -&gt; FCY]]</f>
        <v>11814.852120240292</v>
      </c>
      <c r="AC445" s="507">
        <f>Port[[#This Row],[ECL_Interest (CNY)]]*Port[[#This Row],[CNY -&gt; FCY]]</f>
        <v>178.50274616802497</v>
      </c>
      <c r="AD445" s="507">
        <f>Port[[#This Row],[EAD_Drawn (CNY)]]*Port[[#This Row],[CNY -&gt; THB]]</f>
        <v>3358750.9999680002</v>
      </c>
      <c r="AE445" s="507">
        <f>Port[[#This Row],[EAD_Undrawn (CNY)]]*Port[[#This Row],[CNY -&gt; THB]]</f>
        <v>0</v>
      </c>
      <c r="AF445" s="507">
        <f>Port[[#This Row],[EAD (CNY)]]*Port[[#This Row],[CNY -&gt; THB]]</f>
        <v>3358750.9999680002</v>
      </c>
      <c r="AG445" s="507">
        <f>Port[[#This Row],[EAD_Interest (CNY)]]*Port[[#This Row],[CNY -&gt; THB]]</f>
        <v>50745.135960000007</v>
      </c>
      <c r="AH445" s="507">
        <f>Port[[#This Row],[ECL_Drawn (CNY)]]*Port[[#This Row],[CNY -&gt; THB]]</f>
        <v>62013.795808717245</v>
      </c>
      <c r="AI445" s="507">
        <f>Port[[#This Row],[ECL_Undrawn (CNY)]]*Port[[#This Row],[CNY -&gt; THB]]</f>
        <v>0</v>
      </c>
      <c r="AJ445" s="507">
        <f>Port[[#This Row],[ECL (CNY)]]*Port[[#This Row],[CNY -&gt; THB]]</f>
        <v>62013.795808717245</v>
      </c>
      <c r="AK445" s="507">
        <f>Port[[#This Row],[ECL_Interest (CNY)]]*Port[[#This Row],[CNY -&gt; THB]]</f>
        <v>936.92521408672951</v>
      </c>
      <c r="AL445" s="507">
        <f>Port[[#This Row],[EAD (THB)]]*Port[[#This Row],[PD_avg]]</f>
        <v>68904.217565241386</v>
      </c>
      <c r="AM445" s="507">
        <f>Port[[#This Row],[EAD_Interest (THB)]]*Port[[#This Row],[PD_avg]]</f>
        <v>1041.0280156519216</v>
      </c>
      <c r="AN445" s="507">
        <f>Port[[#This Row],[EAD (THB)]]*Port[[#This Row],[LGD_avg]]</f>
        <v>3022875.8999712006</v>
      </c>
      <c r="AO445" s="507">
        <f>Port[[#This Row],[EAD_Interest (THB)]]*Port[[#This Row],[LGD_avg]]</f>
        <v>45670.62236400001</v>
      </c>
      <c r="AP445" s="507">
        <f>Port[[#This Row],[EAD_Drawn (THB)]]+Port[[#This Row],[EAD_Interest (THB)]]</f>
        <v>3409496.1359280003</v>
      </c>
      <c r="AQ4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50381.264999520004</v>
      </c>
      <c r="AR445" s="522">
        <f>MAX(Port[[#This Row],[ECL (THB)]]+Port[[#This Row],[ECL_Interest (THB)]], Port[[#This Row],[ECL CBIRC (THB)]])</f>
        <v>62950.721022803977</v>
      </c>
    </row>
    <row r="446" spans="1:44">
      <c r="A446" s="2" t="s">
        <v>1148</v>
      </c>
      <c r="B446" s="2" t="s">
        <v>370</v>
      </c>
      <c r="C446" s="2" t="s">
        <v>328</v>
      </c>
      <c r="D446" s="2" t="s">
        <v>18</v>
      </c>
      <c r="E446" s="2" t="s">
        <v>19</v>
      </c>
      <c r="F446" s="2" t="s">
        <v>20</v>
      </c>
      <c r="G446" s="2" t="s">
        <v>21</v>
      </c>
      <c r="H446">
        <v>1</v>
      </c>
      <c r="I446" s="2" t="s">
        <v>526</v>
      </c>
      <c r="J446" s="505">
        <v>2.0514833509807026E-2</v>
      </c>
      <c r="K446" s="505">
        <v>0.9</v>
      </c>
      <c r="L446" s="3">
        <v>1</v>
      </c>
      <c r="M446" s="3">
        <v>5.2488000000000001</v>
      </c>
      <c r="N446" s="507">
        <v>176866.28</v>
      </c>
      <c r="O446" s="507">
        <v>0</v>
      </c>
      <c r="P446" s="507">
        <v>176866.28</v>
      </c>
      <c r="Q446" s="507">
        <v>2672.15</v>
      </c>
      <c r="R446" s="507">
        <v>3265.544058929021</v>
      </c>
      <c r="S446" s="507">
        <v>0</v>
      </c>
      <c r="T446" s="507">
        <v>3265.544058929021</v>
      </c>
      <c r="U446" s="507">
        <v>49.336841126907764</v>
      </c>
      <c r="V446" s="507">
        <f>Port[[#This Row],[EAD_Drawn (CNY)]]*Port[[#This Row],[CNY -&gt; FCY]]</f>
        <v>176866.28</v>
      </c>
      <c r="W446" s="507">
        <f>Port[[#This Row],[EAD_Undrawn (CNY)]]*Port[[#This Row],[CNY -&gt; FCY]]</f>
        <v>0</v>
      </c>
      <c r="X446" s="507">
        <f>Port[[#This Row],[EAD (CNY)]]*Port[[#This Row],[CNY -&gt; FCY]]</f>
        <v>176866.28</v>
      </c>
      <c r="Y446" s="507">
        <f>Port[[#This Row],[EAD_Interest (CNY)]]*Port[[#This Row],[CNY -&gt; FCY]]</f>
        <v>2672.15</v>
      </c>
      <c r="Z446" s="507">
        <f>Port[[#This Row],[ECL_Drawn (CNY)]]*Port[[#This Row],[CNY -&gt; FCY]]</f>
        <v>3265.544058929021</v>
      </c>
      <c r="AA446" s="507">
        <f>Port[[#This Row],[ECL_Undrawn (CNY)]]*Port[[#This Row],[CNY -&gt; FCY]]</f>
        <v>0</v>
      </c>
      <c r="AB446" s="507">
        <f>Port[[#This Row],[ECL (CNY)]]*Port[[#This Row],[CNY -&gt; FCY]]</f>
        <v>3265.544058929021</v>
      </c>
      <c r="AC446" s="507">
        <f>Port[[#This Row],[ECL_Interest (CNY)]]*Port[[#This Row],[CNY -&gt; FCY]]</f>
        <v>49.336841126907764</v>
      </c>
      <c r="AD446" s="507">
        <f>Port[[#This Row],[EAD_Drawn (CNY)]]*Port[[#This Row],[CNY -&gt; THB]]</f>
        <v>928335.73046400002</v>
      </c>
      <c r="AE446" s="507">
        <f>Port[[#This Row],[EAD_Undrawn (CNY)]]*Port[[#This Row],[CNY -&gt; THB]]</f>
        <v>0</v>
      </c>
      <c r="AF446" s="507">
        <f>Port[[#This Row],[EAD (CNY)]]*Port[[#This Row],[CNY -&gt; THB]]</f>
        <v>928335.73046400002</v>
      </c>
      <c r="AG446" s="507">
        <f>Port[[#This Row],[EAD_Interest (CNY)]]*Port[[#This Row],[CNY -&gt; THB]]</f>
        <v>14025.58092</v>
      </c>
      <c r="AH446" s="507">
        <f>Port[[#This Row],[ECL_Drawn (CNY)]]*Port[[#This Row],[CNY -&gt; THB]]</f>
        <v>17140.187656506645</v>
      </c>
      <c r="AI446" s="507">
        <f>Port[[#This Row],[ECL_Undrawn (CNY)]]*Port[[#This Row],[CNY -&gt; THB]]</f>
        <v>0</v>
      </c>
      <c r="AJ446" s="507">
        <f>Port[[#This Row],[ECL (CNY)]]*Port[[#This Row],[CNY -&gt; THB]]</f>
        <v>17140.187656506645</v>
      </c>
      <c r="AK446" s="507">
        <f>Port[[#This Row],[ECL_Interest (CNY)]]*Port[[#This Row],[CNY -&gt; THB]]</f>
        <v>258.95921170691349</v>
      </c>
      <c r="AL446" s="507">
        <f>Port[[#This Row],[EAD (THB)]]*Port[[#This Row],[PD_avg]]</f>
        <v>19044.652951674052</v>
      </c>
      <c r="AM446" s="507">
        <f>Port[[#This Row],[EAD_Interest (THB)]]*Port[[#This Row],[PD_avg]]</f>
        <v>287.73245745212608</v>
      </c>
      <c r="AN446" s="507">
        <f>Port[[#This Row],[EAD (THB)]]*Port[[#This Row],[LGD_avg]]</f>
        <v>835502.15741760004</v>
      </c>
      <c r="AO446" s="507">
        <f>Port[[#This Row],[EAD_Interest (THB)]]*Port[[#This Row],[LGD_avg]]</f>
        <v>12623.022828000001</v>
      </c>
      <c r="AP446" s="507">
        <f>Port[[#This Row],[EAD_Drawn (THB)]]+Port[[#This Row],[EAD_Interest (THB)]]</f>
        <v>942361.311384</v>
      </c>
      <c r="AQ4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13925.03595696</v>
      </c>
      <c r="AR446" s="522">
        <f>MAX(Port[[#This Row],[ECL (THB)]]+Port[[#This Row],[ECL_Interest (THB)]], Port[[#This Row],[ECL CBIRC (THB)]])</f>
        <v>17399.14686821356</v>
      </c>
    </row>
    <row r="447" spans="1:44">
      <c r="A447" s="2" t="s">
        <v>1149</v>
      </c>
      <c r="B447" s="2" t="s">
        <v>370</v>
      </c>
      <c r="C447" s="2" t="s">
        <v>328</v>
      </c>
      <c r="D447" s="2" t="s">
        <v>18</v>
      </c>
      <c r="E447" s="2" t="s">
        <v>19</v>
      </c>
      <c r="F447" s="2" t="s">
        <v>20</v>
      </c>
      <c r="G447" s="2" t="s">
        <v>21</v>
      </c>
      <c r="H447">
        <v>1</v>
      </c>
      <c r="I447" s="2" t="s">
        <v>526</v>
      </c>
      <c r="J447" s="505">
        <v>2.0514833509807026E-2</v>
      </c>
      <c r="K447" s="505">
        <v>0.90000000000000013</v>
      </c>
      <c r="L447" s="3">
        <v>1</v>
      </c>
      <c r="M447" s="3">
        <v>5.2488000000000001</v>
      </c>
      <c r="N447" s="507">
        <v>66862.880000000005</v>
      </c>
      <c r="O447" s="507">
        <v>0</v>
      </c>
      <c r="P447" s="507">
        <v>66862.880000000005</v>
      </c>
      <c r="Q447" s="507">
        <v>1010.19</v>
      </c>
      <c r="R447" s="507">
        <v>1234.5127660675857</v>
      </c>
      <c r="S447" s="507">
        <v>0</v>
      </c>
      <c r="T447" s="507">
        <v>1234.5127660675857</v>
      </c>
      <c r="U447" s="507">
        <v>18.651491696944767</v>
      </c>
      <c r="V447" s="507">
        <f>Port[[#This Row],[EAD_Drawn (CNY)]]*Port[[#This Row],[CNY -&gt; FCY]]</f>
        <v>66862.880000000005</v>
      </c>
      <c r="W447" s="507">
        <f>Port[[#This Row],[EAD_Undrawn (CNY)]]*Port[[#This Row],[CNY -&gt; FCY]]</f>
        <v>0</v>
      </c>
      <c r="X447" s="507">
        <f>Port[[#This Row],[EAD (CNY)]]*Port[[#This Row],[CNY -&gt; FCY]]</f>
        <v>66862.880000000005</v>
      </c>
      <c r="Y447" s="507">
        <f>Port[[#This Row],[EAD_Interest (CNY)]]*Port[[#This Row],[CNY -&gt; FCY]]</f>
        <v>1010.19</v>
      </c>
      <c r="Z447" s="507">
        <f>Port[[#This Row],[ECL_Drawn (CNY)]]*Port[[#This Row],[CNY -&gt; FCY]]</f>
        <v>1234.5127660675857</v>
      </c>
      <c r="AA447" s="507">
        <f>Port[[#This Row],[ECL_Undrawn (CNY)]]*Port[[#This Row],[CNY -&gt; FCY]]</f>
        <v>0</v>
      </c>
      <c r="AB447" s="507">
        <f>Port[[#This Row],[ECL (CNY)]]*Port[[#This Row],[CNY -&gt; FCY]]</f>
        <v>1234.5127660675857</v>
      </c>
      <c r="AC447" s="507">
        <f>Port[[#This Row],[ECL_Interest (CNY)]]*Port[[#This Row],[CNY -&gt; FCY]]</f>
        <v>18.651491696944767</v>
      </c>
      <c r="AD447" s="507">
        <f>Port[[#This Row],[EAD_Drawn (CNY)]]*Port[[#This Row],[CNY -&gt; THB]]</f>
        <v>350949.88454400003</v>
      </c>
      <c r="AE447" s="507">
        <f>Port[[#This Row],[EAD_Undrawn (CNY)]]*Port[[#This Row],[CNY -&gt; THB]]</f>
        <v>0</v>
      </c>
      <c r="AF447" s="507">
        <f>Port[[#This Row],[EAD (CNY)]]*Port[[#This Row],[CNY -&gt; THB]]</f>
        <v>350949.88454400003</v>
      </c>
      <c r="AG447" s="507">
        <f>Port[[#This Row],[EAD_Interest (CNY)]]*Port[[#This Row],[CNY -&gt; THB]]</f>
        <v>5302.2852720000001</v>
      </c>
      <c r="AH447" s="507">
        <f>Port[[#This Row],[ECL_Drawn (CNY)]]*Port[[#This Row],[CNY -&gt; THB]]</f>
        <v>6479.7106065355438</v>
      </c>
      <c r="AI447" s="507">
        <f>Port[[#This Row],[ECL_Undrawn (CNY)]]*Port[[#This Row],[CNY -&gt; THB]]</f>
        <v>0</v>
      </c>
      <c r="AJ447" s="507">
        <f>Port[[#This Row],[ECL (CNY)]]*Port[[#This Row],[CNY -&gt; THB]]</f>
        <v>6479.7106065355438</v>
      </c>
      <c r="AK447" s="507">
        <f>Port[[#This Row],[ECL_Interest (CNY)]]*Port[[#This Row],[CNY -&gt; THB]]</f>
        <v>97.89794961892369</v>
      </c>
      <c r="AL447" s="507">
        <f>Port[[#This Row],[EAD (THB)]]*Port[[#This Row],[PD_avg]]</f>
        <v>7199.6784517061587</v>
      </c>
      <c r="AM447" s="507">
        <f>Port[[#This Row],[EAD_Interest (THB)]]*Port[[#This Row],[PD_avg]]</f>
        <v>108.77549957658186</v>
      </c>
      <c r="AN447" s="507">
        <f>Port[[#This Row],[EAD (THB)]]*Port[[#This Row],[LGD_avg]]</f>
        <v>315854.89608960005</v>
      </c>
      <c r="AO447" s="507">
        <f>Port[[#This Row],[EAD_Interest (THB)]]*Port[[#This Row],[LGD_avg]]</f>
        <v>4772.0567448000011</v>
      </c>
      <c r="AP447" s="507">
        <f>Port[[#This Row],[EAD_Drawn (THB)]]+Port[[#This Row],[EAD_Interest (THB)]]</f>
        <v>356252.16981600004</v>
      </c>
      <c r="AQ4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5264.2482681600004</v>
      </c>
      <c r="AR447" s="522">
        <f>MAX(Port[[#This Row],[ECL (THB)]]+Port[[#This Row],[ECL_Interest (THB)]], Port[[#This Row],[ECL CBIRC (THB)]])</f>
        <v>6577.6085561544678</v>
      </c>
    </row>
    <row r="448" spans="1:44">
      <c r="A448" s="2" t="s">
        <v>1150</v>
      </c>
      <c r="B448" s="2" t="s">
        <v>361</v>
      </c>
      <c r="C448" s="2" t="s">
        <v>328</v>
      </c>
      <c r="D448" s="2" t="s">
        <v>18</v>
      </c>
      <c r="E448" s="2" t="s">
        <v>19</v>
      </c>
      <c r="F448" s="2" t="s">
        <v>20</v>
      </c>
      <c r="G448" s="2" t="s">
        <v>21</v>
      </c>
      <c r="H448">
        <v>1</v>
      </c>
      <c r="I448" s="2" t="s">
        <v>526</v>
      </c>
      <c r="J448" s="505">
        <v>2.0514833509807026E-2</v>
      </c>
      <c r="K448" s="505">
        <v>0.90000000000000013</v>
      </c>
      <c r="L448" s="3">
        <v>1</v>
      </c>
      <c r="M448" s="3">
        <v>5.2488000000000001</v>
      </c>
      <c r="N448" s="507">
        <v>1193550.45</v>
      </c>
      <c r="O448" s="507">
        <v>0</v>
      </c>
      <c r="P448" s="507">
        <v>1193550.45</v>
      </c>
      <c r="Q448" s="507">
        <v>17870.099999999999</v>
      </c>
      <c r="R448" s="507">
        <v>22036.939890574733</v>
      </c>
      <c r="S448" s="507">
        <v>0</v>
      </c>
      <c r="T448" s="507">
        <v>22036.939890574733</v>
      </c>
      <c r="U448" s="507">
        <v>329.94191367324225</v>
      </c>
      <c r="V448" s="507">
        <f>Port[[#This Row],[EAD_Drawn (CNY)]]*Port[[#This Row],[CNY -&gt; FCY]]</f>
        <v>1193550.45</v>
      </c>
      <c r="W448" s="507">
        <f>Port[[#This Row],[EAD_Undrawn (CNY)]]*Port[[#This Row],[CNY -&gt; FCY]]</f>
        <v>0</v>
      </c>
      <c r="X448" s="507">
        <f>Port[[#This Row],[EAD (CNY)]]*Port[[#This Row],[CNY -&gt; FCY]]</f>
        <v>1193550.45</v>
      </c>
      <c r="Y448" s="507">
        <f>Port[[#This Row],[EAD_Interest (CNY)]]*Port[[#This Row],[CNY -&gt; FCY]]</f>
        <v>17870.099999999999</v>
      </c>
      <c r="Z448" s="507">
        <f>Port[[#This Row],[ECL_Drawn (CNY)]]*Port[[#This Row],[CNY -&gt; FCY]]</f>
        <v>22036.939890574733</v>
      </c>
      <c r="AA448" s="507">
        <f>Port[[#This Row],[ECL_Undrawn (CNY)]]*Port[[#This Row],[CNY -&gt; FCY]]</f>
        <v>0</v>
      </c>
      <c r="AB448" s="507">
        <f>Port[[#This Row],[ECL (CNY)]]*Port[[#This Row],[CNY -&gt; FCY]]</f>
        <v>22036.939890574733</v>
      </c>
      <c r="AC448" s="507">
        <f>Port[[#This Row],[ECL_Interest (CNY)]]*Port[[#This Row],[CNY -&gt; FCY]]</f>
        <v>329.94191367324225</v>
      </c>
      <c r="AD448" s="507">
        <f>Port[[#This Row],[EAD_Drawn (CNY)]]*Port[[#This Row],[CNY -&gt; THB]]</f>
        <v>6264707.6019599997</v>
      </c>
      <c r="AE448" s="507">
        <f>Port[[#This Row],[EAD_Undrawn (CNY)]]*Port[[#This Row],[CNY -&gt; THB]]</f>
        <v>0</v>
      </c>
      <c r="AF448" s="507">
        <f>Port[[#This Row],[EAD (CNY)]]*Port[[#This Row],[CNY -&gt; THB]]</f>
        <v>6264707.6019599997</v>
      </c>
      <c r="AG448" s="507">
        <f>Port[[#This Row],[EAD_Interest (CNY)]]*Port[[#This Row],[CNY -&gt; THB]]</f>
        <v>93796.580879999994</v>
      </c>
      <c r="AH448" s="507">
        <f>Port[[#This Row],[ECL_Drawn (CNY)]]*Port[[#This Row],[CNY -&gt; THB]]</f>
        <v>115667.49009764867</v>
      </c>
      <c r="AI448" s="507">
        <f>Port[[#This Row],[ECL_Undrawn (CNY)]]*Port[[#This Row],[CNY -&gt; THB]]</f>
        <v>0</v>
      </c>
      <c r="AJ448" s="507">
        <f>Port[[#This Row],[ECL (CNY)]]*Port[[#This Row],[CNY -&gt; THB]]</f>
        <v>115667.49009764867</v>
      </c>
      <c r="AK448" s="507">
        <f>Port[[#This Row],[ECL_Interest (CNY)]]*Port[[#This Row],[CNY -&gt; THB]]</f>
        <v>1731.7991164881139</v>
      </c>
      <c r="AL448" s="507">
        <f>Port[[#This Row],[EAD (THB)]]*Port[[#This Row],[PD_avg]]</f>
        <v>128519.43344183182</v>
      </c>
      <c r="AM448" s="507">
        <f>Port[[#This Row],[EAD_Interest (THB)]]*Port[[#This Row],[PD_avg]]</f>
        <v>1924.2212405423488</v>
      </c>
      <c r="AN448" s="507">
        <f>Port[[#This Row],[EAD (THB)]]*Port[[#This Row],[LGD_avg]]</f>
        <v>5638236.8417640002</v>
      </c>
      <c r="AO448" s="507">
        <f>Port[[#This Row],[EAD_Interest (THB)]]*Port[[#This Row],[LGD_avg]]</f>
        <v>84416.922792000012</v>
      </c>
      <c r="AP448" s="507">
        <f>Port[[#This Row],[EAD_Drawn (THB)]]+Port[[#This Row],[EAD_Interest (THB)]]</f>
        <v>6358504.1828399999</v>
      </c>
      <c r="AQ4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93970.614029399992</v>
      </c>
      <c r="AR448" s="522">
        <f>MAX(Port[[#This Row],[ECL (THB)]]+Port[[#This Row],[ECL_Interest (THB)]], Port[[#This Row],[ECL CBIRC (THB)]])</f>
        <v>117399.28921413678</v>
      </c>
    </row>
    <row r="449" spans="1:44">
      <c r="A449" s="2" t="s">
        <v>1151</v>
      </c>
      <c r="B449" s="2" t="s">
        <v>361</v>
      </c>
      <c r="C449" s="2" t="s">
        <v>328</v>
      </c>
      <c r="D449" s="2" t="s">
        <v>18</v>
      </c>
      <c r="E449" s="2" t="s">
        <v>19</v>
      </c>
      <c r="F449" s="2" t="s">
        <v>20</v>
      </c>
      <c r="G449" s="2" t="s">
        <v>21</v>
      </c>
      <c r="H449">
        <v>1</v>
      </c>
      <c r="I449" s="2" t="s">
        <v>526</v>
      </c>
      <c r="J449" s="505">
        <v>2.0514833509807026E-2</v>
      </c>
      <c r="K449" s="505">
        <v>0.9</v>
      </c>
      <c r="L449" s="3">
        <v>1</v>
      </c>
      <c r="M449" s="3">
        <v>5.2488000000000001</v>
      </c>
      <c r="N449" s="507">
        <v>267208.19</v>
      </c>
      <c r="O449" s="507">
        <v>0</v>
      </c>
      <c r="P449" s="507">
        <v>267208.19</v>
      </c>
      <c r="Q449" s="507">
        <v>4000.7</v>
      </c>
      <c r="R449" s="507">
        <v>4933.5583772761947</v>
      </c>
      <c r="S449" s="507">
        <v>0</v>
      </c>
      <c r="T449" s="507">
        <v>4933.5583772761947</v>
      </c>
      <c r="U449" s="507">
        <v>73.866324980416479</v>
      </c>
      <c r="V449" s="507">
        <f>Port[[#This Row],[EAD_Drawn (CNY)]]*Port[[#This Row],[CNY -&gt; FCY]]</f>
        <v>267208.19</v>
      </c>
      <c r="W449" s="507">
        <f>Port[[#This Row],[EAD_Undrawn (CNY)]]*Port[[#This Row],[CNY -&gt; FCY]]</f>
        <v>0</v>
      </c>
      <c r="X449" s="507">
        <f>Port[[#This Row],[EAD (CNY)]]*Port[[#This Row],[CNY -&gt; FCY]]</f>
        <v>267208.19</v>
      </c>
      <c r="Y449" s="507">
        <f>Port[[#This Row],[EAD_Interest (CNY)]]*Port[[#This Row],[CNY -&gt; FCY]]</f>
        <v>4000.7</v>
      </c>
      <c r="Z449" s="507">
        <f>Port[[#This Row],[ECL_Drawn (CNY)]]*Port[[#This Row],[CNY -&gt; FCY]]</f>
        <v>4933.5583772761947</v>
      </c>
      <c r="AA449" s="507">
        <f>Port[[#This Row],[ECL_Undrawn (CNY)]]*Port[[#This Row],[CNY -&gt; FCY]]</f>
        <v>0</v>
      </c>
      <c r="AB449" s="507">
        <f>Port[[#This Row],[ECL (CNY)]]*Port[[#This Row],[CNY -&gt; FCY]]</f>
        <v>4933.5583772761947</v>
      </c>
      <c r="AC449" s="507">
        <f>Port[[#This Row],[ECL_Interest (CNY)]]*Port[[#This Row],[CNY -&gt; FCY]]</f>
        <v>73.866324980416479</v>
      </c>
      <c r="AD449" s="507">
        <f>Port[[#This Row],[EAD_Drawn (CNY)]]*Port[[#This Row],[CNY -&gt; THB]]</f>
        <v>1402522.3476720001</v>
      </c>
      <c r="AE449" s="507">
        <f>Port[[#This Row],[EAD_Undrawn (CNY)]]*Port[[#This Row],[CNY -&gt; THB]]</f>
        <v>0</v>
      </c>
      <c r="AF449" s="507">
        <f>Port[[#This Row],[EAD (CNY)]]*Port[[#This Row],[CNY -&gt; THB]]</f>
        <v>1402522.3476720001</v>
      </c>
      <c r="AG449" s="507">
        <f>Port[[#This Row],[EAD_Interest (CNY)]]*Port[[#This Row],[CNY -&gt; THB]]</f>
        <v>20998.874159999999</v>
      </c>
      <c r="AH449" s="507">
        <f>Port[[#This Row],[ECL_Drawn (CNY)]]*Port[[#This Row],[CNY -&gt; THB]]</f>
        <v>25895.261210647292</v>
      </c>
      <c r="AI449" s="507">
        <f>Port[[#This Row],[ECL_Undrawn (CNY)]]*Port[[#This Row],[CNY -&gt; THB]]</f>
        <v>0</v>
      </c>
      <c r="AJ449" s="507">
        <f>Port[[#This Row],[ECL (CNY)]]*Port[[#This Row],[CNY -&gt; THB]]</f>
        <v>25895.261210647292</v>
      </c>
      <c r="AK449" s="507">
        <f>Port[[#This Row],[ECL_Interest (CNY)]]*Port[[#This Row],[CNY -&gt; THB]]</f>
        <v>387.70956655721005</v>
      </c>
      <c r="AL449" s="507">
        <f>Port[[#This Row],[EAD (THB)]]*Port[[#This Row],[PD_avg]]</f>
        <v>28772.512456274766</v>
      </c>
      <c r="AM449" s="507">
        <f>Port[[#This Row],[EAD_Interest (THB)]]*Port[[#This Row],[PD_avg]]</f>
        <v>430.78840728578888</v>
      </c>
      <c r="AN449" s="507">
        <f>Port[[#This Row],[EAD (THB)]]*Port[[#This Row],[LGD_avg]]</f>
        <v>1262270.1129048001</v>
      </c>
      <c r="AO449" s="507">
        <f>Port[[#This Row],[EAD_Interest (THB)]]*Port[[#This Row],[LGD_avg]]</f>
        <v>18898.986744000002</v>
      </c>
      <c r="AP449" s="507">
        <f>Port[[#This Row],[EAD_Drawn (THB)]]+Port[[#This Row],[EAD_Interest (THB)]]</f>
        <v>1423521.221832</v>
      </c>
      <c r="AQ4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21037.835215080002</v>
      </c>
      <c r="AR449" s="522">
        <f>MAX(Port[[#This Row],[ECL (THB)]]+Port[[#This Row],[ECL_Interest (THB)]], Port[[#This Row],[ECL CBIRC (THB)]])</f>
        <v>26282.9707772045</v>
      </c>
    </row>
    <row r="450" spans="1:44">
      <c r="A450" s="2" t="s">
        <v>1152</v>
      </c>
      <c r="B450" s="2" t="s">
        <v>345</v>
      </c>
      <c r="C450" s="2" t="s">
        <v>328</v>
      </c>
      <c r="D450" s="2" t="s">
        <v>18</v>
      </c>
      <c r="E450" s="2" t="s">
        <v>19</v>
      </c>
      <c r="F450" s="2" t="s">
        <v>20</v>
      </c>
      <c r="G450" s="2" t="s">
        <v>21</v>
      </c>
      <c r="H450">
        <v>1</v>
      </c>
      <c r="I450" s="2" t="s">
        <v>526</v>
      </c>
      <c r="J450" s="505">
        <v>2.0514833509807026E-2</v>
      </c>
      <c r="K450" s="505">
        <v>0.90000000000000013</v>
      </c>
      <c r="L450" s="3">
        <v>1</v>
      </c>
      <c r="M450" s="3">
        <v>5.2488000000000001</v>
      </c>
      <c r="N450" s="507">
        <v>5000000</v>
      </c>
      <c r="O450" s="507">
        <v>0</v>
      </c>
      <c r="P450" s="507">
        <v>5000000</v>
      </c>
      <c r="Q450" s="507">
        <v>123250</v>
      </c>
      <c r="R450" s="507">
        <v>92316.750794131629</v>
      </c>
      <c r="S450" s="507">
        <v>0</v>
      </c>
      <c r="T450" s="507">
        <v>92316.750794131629</v>
      </c>
      <c r="U450" s="507">
        <v>2275.6079070753444</v>
      </c>
      <c r="V450" s="507">
        <f>Port[[#This Row],[EAD_Drawn (CNY)]]*Port[[#This Row],[CNY -&gt; FCY]]</f>
        <v>5000000</v>
      </c>
      <c r="W450" s="507">
        <f>Port[[#This Row],[EAD_Undrawn (CNY)]]*Port[[#This Row],[CNY -&gt; FCY]]</f>
        <v>0</v>
      </c>
      <c r="X450" s="507">
        <f>Port[[#This Row],[EAD (CNY)]]*Port[[#This Row],[CNY -&gt; FCY]]</f>
        <v>5000000</v>
      </c>
      <c r="Y450" s="507">
        <f>Port[[#This Row],[EAD_Interest (CNY)]]*Port[[#This Row],[CNY -&gt; FCY]]</f>
        <v>123250</v>
      </c>
      <c r="Z450" s="507">
        <f>Port[[#This Row],[ECL_Drawn (CNY)]]*Port[[#This Row],[CNY -&gt; FCY]]</f>
        <v>92316.750794131629</v>
      </c>
      <c r="AA450" s="507">
        <f>Port[[#This Row],[ECL_Undrawn (CNY)]]*Port[[#This Row],[CNY -&gt; FCY]]</f>
        <v>0</v>
      </c>
      <c r="AB450" s="507">
        <f>Port[[#This Row],[ECL (CNY)]]*Port[[#This Row],[CNY -&gt; FCY]]</f>
        <v>92316.750794131629</v>
      </c>
      <c r="AC450" s="507">
        <f>Port[[#This Row],[ECL_Interest (CNY)]]*Port[[#This Row],[CNY -&gt; FCY]]</f>
        <v>2275.6079070753444</v>
      </c>
      <c r="AD450" s="507">
        <f>Port[[#This Row],[EAD_Drawn (CNY)]]*Port[[#This Row],[CNY -&gt; THB]]</f>
        <v>26244000</v>
      </c>
      <c r="AE450" s="507">
        <f>Port[[#This Row],[EAD_Undrawn (CNY)]]*Port[[#This Row],[CNY -&gt; THB]]</f>
        <v>0</v>
      </c>
      <c r="AF450" s="507">
        <f>Port[[#This Row],[EAD (CNY)]]*Port[[#This Row],[CNY -&gt; THB]]</f>
        <v>26244000</v>
      </c>
      <c r="AG450" s="507">
        <f>Port[[#This Row],[EAD_Interest (CNY)]]*Port[[#This Row],[CNY -&gt; THB]]</f>
        <v>646914.6</v>
      </c>
      <c r="AH450" s="507">
        <f>Port[[#This Row],[ECL_Drawn (CNY)]]*Port[[#This Row],[CNY -&gt; THB]]</f>
        <v>484552.16156823811</v>
      </c>
      <c r="AI450" s="507">
        <f>Port[[#This Row],[ECL_Undrawn (CNY)]]*Port[[#This Row],[CNY -&gt; THB]]</f>
        <v>0</v>
      </c>
      <c r="AJ450" s="507">
        <f>Port[[#This Row],[ECL (CNY)]]*Port[[#This Row],[CNY -&gt; THB]]</f>
        <v>484552.16156823811</v>
      </c>
      <c r="AK450" s="507">
        <f>Port[[#This Row],[ECL_Interest (CNY)]]*Port[[#This Row],[CNY -&gt; THB]]</f>
        <v>11944.210782657068</v>
      </c>
      <c r="AL450" s="507">
        <f>Port[[#This Row],[EAD (THB)]]*Port[[#This Row],[PD_avg]]</f>
        <v>538391.29063137562</v>
      </c>
      <c r="AM450" s="507">
        <f>Port[[#This Row],[EAD_Interest (THB)]]*Port[[#This Row],[PD_avg]]</f>
        <v>13271.345314063408</v>
      </c>
      <c r="AN450" s="507">
        <f>Port[[#This Row],[EAD (THB)]]*Port[[#This Row],[LGD_avg]]</f>
        <v>23619600.000000004</v>
      </c>
      <c r="AO450" s="507">
        <f>Port[[#This Row],[EAD_Interest (THB)]]*Port[[#This Row],[LGD_avg]]</f>
        <v>582223.14</v>
      </c>
      <c r="AP450" s="507">
        <f>Port[[#This Row],[EAD_Drawn (THB)]]+Port[[#This Row],[EAD_Interest (THB)]]</f>
        <v>26890914.600000001</v>
      </c>
      <c r="AQ4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50" s="522">
        <f>MAX(Port[[#This Row],[ECL (THB)]]+Port[[#This Row],[ECL_Interest (THB)]], Port[[#This Row],[ECL CBIRC (THB)]])</f>
        <v>496496.3723508952</v>
      </c>
    </row>
    <row r="451" spans="1:44">
      <c r="A451" s="2" t="s">
        <v>1153</v>
      </c>
      <c r="B451" s="2" t="s">
        <v>362</v>
      </c>
      <c r="C451" s="2" t="s">
        <v>328</v>
      </c>
      <c r="D451" s="2" t="s">
        <v>18</v>
      </c>
      <c r="E451" s="2" t="s">
        <v>19</v>
      </c>
      <c r="F451" s="2" t="s">
        <v>20</v>
      </c>
      <c r="G451" s="2" t="s">
        <v>21</v>
      </c>
      <c r="H451">
        <v>1</v>
      </c>
      <c r="I451" s="2" t="s">
        <v>526</v>
      </c>
      <c r="J451" s="505">
        <v>2.0514833509807026E-2</v>
      </c>
      <c r="K451" s="505">
        <v>0.90000000000000013</v>
      </c>
      <c r="L451" s="3">
        <v>1</v>
      </c>
      <c r="M451" s="3">
        <v>5.2488000000000001</v>
      </c>
      <c r="N451" s="507">
        <v>72463.990000000005</v>
      </c>
      <c r="O451" s="507">
        <v>0</v>
      </c>
      <c r="P451" s="507">
        <v>72463.990000000005</v>
      </c>
      <c r="Q451" s="507">
        <v>1084.95</v>
      </c>
      <c r="R451" s="507">
        <v>1337.9280212756894</v>
      </c>
      <c r="S451" s="507">
        <v>0</v>
      </c>
      <c r="T451" s="507">
        <v>1337.9280212756894</v>
      </c>
      <c r="U451" s="507">
        <v>20.031811754818619</v>
      </c>
      <c r="V451" s="507">
        <f>Port[[#This Row],[EAD_Drawn (CNY)]]*Port[[#This Row],[CNY -&gt; FCY]]</f>
        <v>72463.990000000005</v>
      </c>
      <c r="W451" s="507">
        <f>Port[[#This Row],[EAD_Undrawn (CNY)]]*Port[[#This Row],[CNY -&gt; FCY]]</f>
        <v>0</v>
      </c>
      <c r="X451" s="507">
        <f>Port[[#This Row],[EAD (CNY)]]*Port[[#This Row],[CNY -&gt; FCY]]</f>
        <v>72463.990000000005</v>
      </c>
      <c r="Y451" s="507">
        <f>Port[[#This Row],[EAD_Interest (CNY)]]*Port[[#This Row],[CNY -&gt; FCY]]</f>
        <v>1084.95</v>
      </c>
      <c r="Z451" s="507">
        <f>Port[[#This Row],[ECL_Drawn (CNY)]]*Port[[#This Row],[CNY -&gt; FCY]]</f>
        <v>1337.9280212756894</v>
      </c>
      <c r="AA451" s="507">
        <f>Port[[#This Row],[ECL_Undrawn (CNY)]]*Port[[#This Row],[CNY -&gt; FCY]]</f>
        <v>0</v>
      </c>
      <c r="AB451" s="507">
        <f>Port[[#This Row],[ECL (CNY)]]*Port[[#This Row],[CNY -&gt; FCY]]</f>
        <v>1337.9280212756894</v>
      </c>
      <c r="AC451" s="507">
        <f>Port[[#This Row],[ECL_Interest (CNY)]]*Port[[#This Row],[CNY -&gt; FCY]]</f>
        <v>20.031811754818619</v>
      </c>
      <c r="AD451" s="507">
        <f>Port[[#This Row],[EAD_Drawn (CNY)]]*Port[[#This Row],[CNY -&gt; THB]]</f>
        <v>380348.99071200006</v>
      </c>
      <c r="AE451" s="507">
        <f>Port[[#This Row],[EAD_Undrawn (CNY)]]*Port[[#This Row],[CNY -&gt; THB]]</f>
        <v>0</v>
      </c>
      <c r="AF451" s="507">
        <f>Port[[#This Row],[EAD (CNY)]]*Port[[#This Row],[CNY -&gt; THB]]</f>
        <v>380348.99071200006</v>
      </c>
      <c r="AG451" s="507">
        <f>Port[[#This Row],[EAD_Interest (CNY)]]*Port[[#This Row],[CNY -&gt; THB]]</f>
        <v>5694.6855600000008</v>
      </c>
      <c r="AH451" s="507">
        <f>Port[[#This Row],[ECL_Drawn (CNY)]]*Port[[#This Row],[CNY -&gt; THB]]</f>
        <v>7022.5165980718384</v>
      </c>
      <c r="AI451" s="507">
        <f>Port[[#This Row],[ECL_Undrawn (CNY)]]*Port[[#This Row],[CNY -&gt; THB]]</f>
        <v>0</v>
      </c>
      <c r="AJ451" s="507">
        <f>Port[[#This Row],[ECL (CNY)]]*Port[[#This Row],[CNY -&gt; THB]]</f>
        <v>7022.5165980718384</v>
      </c>
      <c r="AK451" s="507">
        <f>Port[[#This Row],[ECL_Interest (CNY)]]*Port[[#This Row],[CNY -&gt; THB]]</f>
        <v>105.14297353869198</v>
      </c>
      <c r="AL451" s="507">
        <f>Port[[#This Row],[EAD (THB)]]*Port[[#This Row],[PD_avg]]</f>
        <v>7802.7962200798202</v>
      </c>
      <c r="AM451" s="507">
        <f>Port[[#This Row],[EAD_Interest (THB)]]*Port[[#This Row],[PD_avg]]</f>
        <v>116.82552615410221</v>
      </c>
      <c r="AN451" s="507">
        <f>Port[[#This Row],[EAD (THB)]]*Port[[#This Row],[LGD_avg]]</f>
        <v>342314.09164080012</v>
      </c>
      <c r="AO451" s="507">
        <f>Port[[#This Row],[EAD_Interest (THB)]]*Port[[#This Row],[LGD_avg]]</f>
        <v>5125.2170040000019</v>
      </c>
      <c r="AP451" s="507">
        <f>Port[[#This Row],[EAD_Drawn (THB)]]+Port[[#This Row],[EAD_Interest (THB)]]</f>
        <v>386043.67627200007</v>
      </c>
      <c r="AQ4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5705.2348606800006</v>
      </c>
      <c r="AR451" s="522">
        <f>MAX(Port[[#This Row],[ECL (THB)]]+Port[[#This Row],[ECL_Interest (THB)]], Port[[#This Row],[ECL CBIRC (THB)]])</f>
        <v>7127.6595716105303</v>
      </c>
    </row>
    <row r="452" spans="1:44">
      <c r="A452" s="2" t="s">
        <v>1154</v>
      </c>
      <c r="B452" s="2" t="s">
        <v>345</v>
      </c>
      <c r="C452" s="2" t="s">
        <v>328</v>
      </c>
      <c r="D452" s="2" t="s">
        <v>18</v>
      </c>
      <c r="E452" s="2" t="s">
        <v>19</v>
      </c>
      <c r="F452" s="2" t="s">
        <v>20</v>
      </c>
      <c r="G452" s="2" t="s">
        <v>21</v>
      </c>
      <c r="H452">
        <v>1</v>
      </c>
      <c r="I452" s="2" t="s">
        <v>526</v>
      </c>
      <c r="J452" s="505">
        <v>2.0514833509807026E-2</v>
      </c>
      <c r="K452" s="505">
        <v>0.90000000000000013</v>
      </c>
      <c r="L452" s="3">
        <v>1</v>
      </c>
      <c r="M452" s="3">
        <v>5.2488000000000001</v>
      </c>
      <c r="N452" s="507">
        <v>5000000</v>
      </c>
      <c r="O452" s="507">
        <v>0</v>
      </c>
      <c r="P452" s="507">
        <v>5000000</v>
      </c>
      <c r="Q452" s="507">
        <v>123250</v>
      </c>
      <c r="R452" s="507">
        <v>92316.750794131629</v>
      </c>
      <c r="S452" s="507">
        <v>0</v>
      </c>
      <c r="T452" s="507">
        <v>92316.750794131629</v>
      </c>
      <c r="U452" s="507">
        <v>2275.6079070753444</v>
      </c>
      <c r="V452" s="507">
        <f>Port[[#This Row],[EAD_Drawn (CNY)]]*Port[[#This Row],[CNY -&gt; FCY]]</f>
        <v>5000000</v>
      </c>
      <c r="W452" s="507">
        <f>Port[[#This Row],[EAD_Undrawn (CNY)]]*Port[[#This Row],[CNY -&gt; FCY]]</f>
        <v>0</v>
      </c>
      <c r="X452" s="507">
        <f>Port[[#This Row],[EAD (CNY)]]*Port[[#This Row],[CNY -&gt; FCY]]</f>
        <v>5000000</v>
      </c>
      <c r="Y452" s="507">
        <f>Port[[#This Row],[EAD_Interest (CNY)]]*Port[[#This Row],[CNY -&gt; FCY]]</f>
        <v>123250</v>
      </c>
      <c r="Z452" s="507">
        <f>Port[[#This Row],[ECL_Drawn (CNY)]]*Port[[#This Row],[CNY -&gt; FCY]]</f>
        <v>92316.750794131629</v>
      </c>
      <c r="AA452" s="507">
        <f>Port[[#This Row],[ECL_Undrawn (CNY)]]*Port[[#This Row],[CNY -&gt; FCY]]</f>
        <v>0</v>
      </c>
      <c r="AB452" s="507">
        <f>Port[[#This Row],[ECL (CNY)]]*Port[[#This Row],[CNY -&gt; FCY]]</f>
        <v>92316.750794131629</v>
      </c>
      <c r="AC452" s="507">
        <f>Port[[#This Row],[ECL_Interest (CNY)]]*Port[[#This Row],[CNY -&gt; FCY]]</f>
        <v>2275.6079070753444</v>
      </c>
      <c r="AD452" s="507">
        <f>Port[[#This Row],[EAD_Drawn (CNY)]]*Port[[#This Row],[CNY -&gt; THB]]</f>
        <v>26244000</v>
      </c>
      <c r="AE452" s="507">
        <f>Port[[#This Row],[EAD_Undrawn (CNY)]]*Port[[#This Row],[CNY -&gt; THB]]</f>
        <v>0</v>
      </c>
      <c r="AF452" s="507">
        <f>Port[[#This Row],[EAD (CNY)]]*Port[[#This Row],[CNY -&gt; THB]]</f>
        <v>26244000</v>
      </c>
      <c r="AG452" s="507">
        <f>Port[[#This Row],[EAD_Interest (CNY)]]*Port[[#This Row],[CNY -&gt; THB]]</f>
        <v>646914.6</v>
      </c>
      <c r="AH452" s="507">
        <f>Port[[#This Row],[ECL_Drawn (CNY)]]*Port[[#This Row],[CNY -&gt; THB]]</f>
        <v>484552.16156823811</v>
      </c>
      <c r="AI452" s="507">
        <f>Port[[#This Row],[ECL_Undrawn (CNY)]]*Port[[#This Row],[CNY -&gt; THB]]</f>
        <v>0</v>
      </c>
      <c r="AJ452" s="507">
        <f>Port[[#This Row],[ECL (CNY)]]*Port[[#This Row],[CNY -&gt; THB]]</f>
        <v>484552.16156823811</v>
      </c>
      <c r="AK452" s="507">
        <f>Port[[#This Row],[ECL_Interest (CNY)]]*Port[[#This Row],[CNY -&gt; THB]]</f>
        <v>11944.210782657068</v>
      </c>
      <c r="AL452" s="507">
        <f>Port[[#This Row],[EAD (THB)]]*Port[[#This Row],[PD_avg]]</f>
        <v>538391.29063137562</v>
      </c>
      <c r="AM452" s="507">
        <f>Port[[#This Row],[EAD_Interest (THB)]]*Port[[#This Row],[PD_avg]]</f>
        <v>13271.345314063408</v>
      </c>
      <c r="AN452" s="507">
        <f>Port[[#This Row],[EAD (THB)]]*Port[[#This Row],[LGD_avg]]</f>
        <v>23619600.000000004</v>
      </c>
      <c r="AO452" s="507">
        <f>Port[[#This Row],[EAD_Interest (THB)]]*Port[[#This Row],[LGD_avg]]</f>
        <v>582223.14</v>
      </c>
      <c r="AP452" s="507">
        <f>Port[[#This Row],[EAD_Drawn (THB)]]+Port[[#This Row],[EAD_Interest (THB)]]</f>
        <v>26890914.600000001</v>
      </c>
      <c r="AQ4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52" s="522">
        <f>MAX(Port[[#This Row],[ECL (THB)]]+Port[[#This Row],[ECL_Interest (THB)]], Port[[#This Row],[ECL CBIRC (THB)]])</f>
        <v>496496.3723508952</v>
      </c>
    </row>
    <row r="453" spans="1:44">
      <c r="A453" s="2" t="s">
        <v>1155</v>
      </c>
      <c r="B453" s="2" t="s">
        <v>346</v>
      </c>
      <c r="C453" s="2" t="s">
        <v>328</v>
      </c>
      <c r="D453" s="2" t="s">
        <v>18</v>
      </c>
      <c r="E453" s="2" t="s">
        <v>19</v>
      </c>
      <c r="F453" s="2" t="s">
        <v>20</v>
      </c>
      <c r="G453" s="2" t="s">
        <v>21</v>
      </c>
      <c r="H453">
        <v>1</v>
      </c>
      <c r="I453" s="2" t="s">
        <v>526</v>
      </c>
      <c r="J453" s="505">
        <v>2.0514833509807026E-2</v>
      </c>
      <c r="K453" s="505">
        <v>0.90000000000000013</v>
      </c>
      <c r="L453" s="3">
        <v>1</v>
      </c>
      <c r="M453" s="3">
        <v>5.2488000000000001</v>
      </c>
      <c r="N453" s="507">
        <v>4387795.42</v>
      </c>
      <c r="O453" s="507">
        <v>0</v>
      </c>
      <c r="P453" s="507">
        <v>4387795.42</v>
      </c>
      <c r="Q453" s="507">
        <v>108159.16</v>
      </c>
      <c r="R453" s="507">
        <v>81013.403264754423</v>
      </c>
      <c r="S453" s="507">
        <v>0</v>
      </c>
      <c r="T453" s="507">
        <v>81013.403264754423</v>
      </c>
      <c r="U453" s="507">
        <v>1996.980443964522</v>
      </c>
      <c r="V453" s="507">
        <f>Port[[#This Row],[EAD_Drawn (CNY)]]*Port[[#This Row],[CNY -&gt; FCY]]</f>
        <v>4387795.42</v>
      </c>
      <c r="W453" s="507">
        <f>Port[[#This Row],[EAD_Undrawn (CNY)]]*Port[[#This Row],[CNY -&gt; FCY]]</f>
        <v>0</v>
      </c>
      <c r="X453" s="507">
        <f>Port[[#This Row],[EAD (CNY)]]*Port[[#This Row],[CNY -&gt; FCY]]</f>
        <v>4387795.42</v>
      </c>
      <c r="Y453" s="507">
        <f>Port[[#This Row],[EAD_Interest (CNY)]]*Port[[#This Row],[CNY -&gt; FCY]]</f>
        <v>108159.16</v>
      </c>
      <c r="Z453" s="507">
        <f>Port[[#This Row],[ECL_Drawn (CNY)]]*Port[[#This Row],[CNY -&gt; FCY]]</f>
        <v>81013.403264754423</v>
      </c>
      <c r="AA453" s="507">
        <f>Port[[#This Row],[ECL_Undrawn (CNY)]]*Port[[#This Row],[CNY -&gt; FCY]]</f>
        <v>0</v>
      </c>
      <c r="AB453" s="507">
        <f>Port[[#This Row],[ECL (CNY)]]*Port[[#This Row],[CNY -&gt; FCY]]</f>
        <v>81013.403264754423</v>
      </c>
      <c r="AC453" s="507">
        <f>Port[[#This Row],[ECL_Interest (CNY)]]*Port[[#This Row],[CNY -&gt; FCY]]</f>
        <v>1996.980443964522</v>
      </c>
      <c r="AD453" s="507">
        <f>Port[[#This Row],[EAD_Drawn (CNY)]]*Port[[#This Row],[CNY -&gt; THB]]</f>
        <v>23030660.600496002</v>
      </c>
      <c r="AE453" s="507">
        <f>Port[[#This Row],[EAD_Undrawn (CNY)]]*Port[[#This Row],[CNY -&gt; THB]]</f>
        <v>0</v>
      </c>
      <c r="AF453" s="507">
        <f>Port[[#This Row],[EAD (CNY)]]*Port[[#This Row],[CNY -&gt; THB]]</f>
        <v>23030660.600496002</v>
      </c>
      <c r="AG453" s="507">
        <f>Port[[#This Row],[EAD_Interest (CNY)]]*Port[[#This Row],[CNY -&gt; THB]]</f>
        <v>567705.79900800006</v>
      </c>
      <c r="AH453" s="507">
        <f>Port[[#This Row],[ECL_Drawn (CNY)]]*Port[[#This Row],[CNY -&gt; THB]]</f>
        <v>425223.15105604305</v>
      </c>
      <c r="AI453" s="507">
        <f>Port[[#This Row],[ECL_Undrawn (CNY)]]*Port[[#This Row],[CNY -&gt; THB]]</f>
        <v>0</v>
      </c>
      <c r="AJ453" s="507">
        <f>Port[[#This Row],[ECL (CNY)]]*Port[[#This Row],[CNY -&gt; THB]]</f>
        <v>425223.15105604305</v>
      </c>
      <c r="AK453" s="507">
        <f>Port[[#This Row],[ECL_Interest (CNY)]]*Port[[#This Row],[CNY -&gt; THB]]</f>
        <v>10481.750954280984</v>
      </c>
      <c r="AL453" s="507">
        <f>Port[[#This Row],[EAD (THB)]]*Port[[#This Row],[PD_avg]]</f>
        <v>472470.1678400478</v>
      </c>
      <c r="AM453" s="507">
        <f>Port[[#This Row],[EAD_Interest (THB)]]*Port[[#This Row],[PD_avg]]</f>
        <v>11646.389949201091</v>
      </c>
      <c r="AN453" s="507">
        <f>Port[[#This Row],[EAD (THB)]]*Port[[#This Row],[LGD_avg]]</f>
        <v>20727594.540446404</v>
      </c>
      <c r="AO453" s="507">
        <f>Port[[#This Row],[EAD_Interest (THB)]]*Port[[#This Row],[LGD_avg]]</f>
        <v>510935.2191072001</v>
      </c>
      <c r="AP453" s="507">
        <f>Port[[#This Row],[EAD_Drawn (THB)]]+Port[[#This Row],[EAD_Interest (THB)]]</f>
        <v>23598366.399504002</v>
      </c>
      <c r="AQ4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345459.90900744003</v>
      </c>
      <c r="AR453" s="522">
        <f>MAX(Port[[#This Row],[ECL (THB)]]+Port[[#This Row],[ECL_Interest (THB)]], Port[[#This Row],[ECL CBIRC (THB)]])</f>
        <v>435704.902010324</v>
      </c>
    </row>
    <row r="454" spans="1:44">
      <c r="A454" s="2" t="s">
        <v>1156</v>
      </c>
      <c r="B454" s="2" t="s">
        <v>360</v>
      </c>
      <c r="C454" s="2" t="s">
        <v>328</v>
      </c>
      <c r="D454" s="2" t="s">
        <v>18</v>
      </c>
      <c r="E454" s="2" t="s">
        <v>19</v>
      </c>
      <c r="F454" s="2" t="s">
        <v>20</v>
      </c>
      <c r="G454" s="2" t="s">
        <v>21</v>
      </c>
      <c r="H454">
        <v>1</v>
      </c>
      <c r="I454" s="2" t="s">
        <v>526</v>
      </c>
      <c r="J454" s="505">
        <v>2.0514833509807026E-2</v>
      </c>
      <c r="K454" s="505">
        <v>0.90000000000000024</v>
      </c>
      <c r="L454" s="3">
        <v>1</v>
      </c>
      <c r="M454" s="3">
        <v>5.2488000000000001</v>
      </c>
      <c r="N454" s="507">
        <v>454550.49</v>
      </c>
      <c r="O454" s="507">
        <v>0</v>
      </c>
      <c r="P454" s="507">
        <v>454550.49</v>
      </c>
      <c r="Q454" s="507">
        <v>6805.63</v>
      </c>
      <c r="R454" s="507">
        <v>8392.5248617360849</v>
      </c>
      <c r="S454" s="507">
        <v>0</v>
      </c>
      <c r="T454" s="507">
        <v>8392.5248617360849</v>
      </c>
      <c r="U454" s="507">
        <v>125.65472974141319</v>
      </c>
      <c r="V454" s="507">
        <f>Port[[#This Row],[EAD_Drawn (CNY)]]*Port[[#This Row],[CNY -&gt; FCY]]</f>
        <v>454550.49</v>
      </c>
      <c r="W454" s="507">
        <f>Port[[#This Row],[EAD_Undrawn (CNY)]]*Port[[#This Row],[CNY -&gt; FCY]]</f>
        <v>0</v>
      </c>
      <c r="X454" s="507">
        <f>Port[[#This Row],[EAD (CNY)]]*Port[[#This Row],[CNY -&gt; FCY]]</f>
        <v>454550.49</v>
      </c>
      <c r="Y454" s="507">
        <f>Port[[#This Row],[EAD_Interest (CNY)]]*Port[[#This Row],[CNY -&gt; FCY]]</f>
        <v>6805.63</v>
      </c>
      <c r="Z454" s="507">
        <f>Port[[#This Row],[ECL_Drawn (CNY)]]*Port[[#This Row],[CNY -&gt; FCY]]</f>
        <v>8392.5248617360849</v>
      </c>
      <c r="AA454" s="507">
        <f>Port[[#This Row],[ECL_Undrawn (CNY)]]*Port[[#This Row],[CNY -&gt; FCY]]</f>
        <v>0</v>
      </c>
      <c r="AB454" s="507">
        <f>Port[[#This Row],[ECL (CNY)]]*Port[[#This Row],[CNY -&gt; FCY]]</f>
        <v>8392.5248617360849</v>
      </c>
      <c r="AC454" s="507">
        <f>Port[[#This Row],[ECL_Interest (CNY)]]*Port[[#This Row],[CNY -&gt; FCY]]</f>
        <v>125.65472974141319</v>
      </c>
      <c r="AD454" s="507">
        <f>Port[[#This Row],[EAD_Drawn (CNY)]]*Port[[#This Row],[CNY -&gt; THB]]</f>
        <v>2385844.611912</v>
      </c>
      <c r="AE454" s="507">
        <f>Port[[#This Row],[EAD_Undrawn (CNY)]]*Port[[#This Row],[CNY -&gt; THB]]</f>
        <v>0</v>
      </c>
      <c r="AF454" s="507">
        <f>Port[[#This Row],[EAD (CNY)]]*Port[[#This Row],[CNY -&gt; THB]]</f>
        <v>2385844.611912</v>
      </c>
      <c r="AG454" s="507">
        <f>Port[[#This Row],[EAD_Interest (CNY)]]*Port[[#This Row],[CNY -&gt; THB]]</f>
        <v>35721.390744000004</v>
      </c>
      <c r="AH454" s="507">
        <f>Port[[#This Row],[ECL_Drawn (CNY)]]*Port[[#This Row],[CNY -&gt; THB]]</f>
        <v>44050.684494280365</v>
      </c>
      <c r="AI454" s="507">
        <f>Port[[#This Row],[ECL_Undrawn (CNY)]]*Port[[#This Row],[CNY -&gt; THB]]</f>
        <v>0</v>
      </c>
      <c r="AJ454" s="507">
        <f>Port[[#This Row],[ECL (CNY)]]*Port[[#This Row],[CNY -&gt; THB]]</f>
        <v>44050.684494280365</v>
      </c>
      <c r="AK454" s="507">
        <f>Port[[#This Row],[ECL_Interest (CNY)]]*Port[[#This Row],[CNY -&gt; THB]]</f>
        <v>659.53654546672954</v>
      </c>
      <c r="AL454" s="507">
        <f>Port[[#This Row],[EAD (THB)]]*Port[[#This Row],[PD_avg]]</f>
        <v>48945.204993644838</v>
      </c>
      <c r="AM454" s="507">
        <f>Port[[#This Row],[EAD_Interest (THB)]]*Port[[#This Row],[PD_avg]]</f>
        <v>732.81838385192179</v>
      </c>
      <c r="AN454" s="507">
        <f>Port[[#This Row],[EAD (THB)]]*Port[[#This Row],[LGD_avg]]</f>
        <v>2147260.1507208007</v>
      </c>
      <c r="AO454" s="507">
        <f>Port[[#This Row],[EAD_Interest (THB)]]*Port[[#This Row],[LGD_avg]]</f>
        <v>32149.251669600013</v>
      </c>
      <c r="AP454" s="507">
        <f>Port[[#This Row],[EAD_Drawn (THB)]]+Port[[#This Row],[EAD_Interest (THB)]]</f>
        <v>2421566.0026560002</v>
      </c>
      <c r="AQ4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35787.66917868</v>
      </c>
      <c r="AR454" s="522">
        <f>MAX(Port[[#This Row],[ECL (THB)]]+Port[[#This Row],[ECL_Interest (THB)]], Port[[#This Row],[ECL CBIRC (THB)]])</f>
        <v>44710.221039747092</v>
      </c>
    </row>
    <row r="455" spans="1:44">
      <c r="A455" s="2" t="s">
        <v>1157</v>
      </c>
      <c r="B455" s="2" t="s">
        <v>360</v>
      </c>
      <c r="C455" s="2" t="s">
        <v>328</v>
      </c>
      <c r="D455" s="2" t="s">
        <v>18</v>
      </c>
      <c r="E455" s="2" t="s">
        <v>19</v>
      </c>
      <c r="F455" s="2" t="s">
        <v>20</v>
      </c>
      <c r="G455" s="2" t="s">
        <v>21</v>
      </c>
      <c r="H455">
        <v>1</v>
      </c>
      <c r="I455" s="2" t="s">
        <v>526</v>
      </c>
      <c r="J455" s="505">
        <v>2.0514833509807026E-2</v>
      </c>
      <c r="K455" s="505">
        <v>0.9</v>
      </c>
      <c r="L455" s="3">
        <v>1</v>
      </c>
      <c r="M455" s="3">
        <v>5.2488000000000001</v>
      </c>
      <c r="N455" s="507">
        <v>183452.06</v>
      </c>
      <c r="O455" s="507">
        <v>0</v>
      </c>
      <c r="P455" s="507">
        <v>183452.06</v>
      </c>
      <c r="Q455" s="507">
        <v>2746.69</v>
      </c>
      <c r="R455" s="507">
        <v>3387.1396211380161</v>
      </c>
      <c r="S455" s="507">
        <v>0</v>
      </c>
      <c r="T455" s="507">
        <v>3387.1396211380161</v>
      </c>
      <c r="U455" s="507">
        <v>50.713099247746676</v>
      </c>
      <c r="V455" s="507">
        <f>Port[[#This Row],[EAD_Drawn (CNY)]]*Port[[#This Row],[CNY -&gt; FCY]]</f>
        <v>183452.06</v>
      </c>
      <c r="W455" s="507">
        <f>Port[[#This Row],[EAD_Undrawn (CNY)]]*Port[[#This Row],[CNY -&gt; FCY]]</f>
        <v>0</v>
      </c>
      <c r="X455" s="507">
        <f>Port[[#This Row],[EAD (CNY)]]*Port[[#This Row],[CNY -&gt; FCY]]</f>
        <v>183452.06</v>
      </c>
      <c r="Y455" s="507">
        <f>Port[[#This Row],[EAD_Interest (CNY)]]*Port[[#This Row],[CNY -&gt; FCY]]</f>
        <v>2746.69</v>
      </c>
      <c r="Z455" s="507">
        <f>Port[[#This Row],[ECL_Drawn (CNY)]]*Port[[#This Row],[CNY -&gt; FCY]]</f>
        <v>3387.1396211380161</v>
      </c>
      <c r="AA455" s="507">
        <f>Port[[#This Row],[ECL_Undrawn (CNY)]]*Port[[#This Row],[CNY -&gt; FCY]]</f>
        <v>0</v>
      </c>
      <c r="AB455" s="507">
        <f>Port[[#This Row],[ECL (CNY)]]*Port[[#This Row],[CNY -&gt; FCY]]</f>
        <v>3387.1396211380161</v>
      </c>
      <c r="AC455" s="507">
        <f>Port[[#This Row],[ECL_Interest (CNY)]]*Port[[#This Row],[CNY -&gt; FCY]]</f>
        <v>50.713099247746676</v>
      </c>
      <c r="AD455" s="507">
        <f>Port[[#This Row],[EAD_Drawn (CNY)]]*Port[[#This Row],[CNY -&gt; THB]]</f>
        <v>962903.17252799997</v>
      </c>
      <c r="AE455" s="507">
        <f>Port[[#This Row],[EAD_Undrawn (CNY)]]*Port[[#This Row],[CNY -&gt; THB]]</f>
        <v>0</v>
      </c>
      <c r="AF455" s="507">
        <f>Port[[#This Row],[EAD (CNY)]]*Port[[#This Row],[CNY -&gt; THB]]</f>
        <v>962903.17252799997</v>
      </c>
      <c r="AG455" s="507">
        <f>Port[[#This Row],[EAD_Interest (CNY)]]*Port[[#This Row],[CNY -&gt; THB]]</f>
        <v>14416.826472000001</v>
      </c>
      <c r="AH455" s="507">
        <f>Port[[#This Row],[ECL_Drawn (CNY)]]*Port[[#This Row],[CNY -&gt; THB]]</f>
        <v>17778.418443429218</v>
      </c>
      <c r="AI455" s="507">
        <f>Port[[#This Row],[ECL_Undrawn (CNY)]]*Port[[#This Row],[CNY -&gt; THB]]</f>
        <v>0</v>
      </c>
      <c r="AJ455" s="507">
        <f>Port[[#This Row],[ECL (CNY)]]*Port[[#This Row],[CNY -&gt; THB]]</f>
        <v>17778.418443429218</v>
      </c>
      <c r="AK455" s="507">
        <f>Port[[#This Row],[ECL_Interest (CNY)]]*Port[[#This Row],[CNY -&gt; THB]]</f>
        <v>266.18291533157276</v>
      </c>
      <c r="AL455" s="507">
        <f>Port[[#This Row],[EAD (THB)]]*Port[[#This Row],[PD_avg]]</f>
        <v>19753.798270476909</v>
      </c>
      <c r="AM455" s="507">
        <f>Port[[#This Row],[EAD_Interest (THB)]]*Port[[#This Row],[PD_avg]]</f>
        <v>295.75879481285864</v>
      </c>
      <c r="AN455" s="507">
        <f>Port[[#This Row],[EAD (THB)]]*Port[[#This Row],[LGD_avg]]</f>
        <v>866612.85527519998</v>
      </c>
      <c r="AO455" s="507">
        <f>Port[[#This Row],[EAD_Interest (THB)]]*Port[[#This Row],[LGD_avg]]</f>
        <v>12975.143824800001</v>
      </c>
      <c r="AP455" s="507">
        <f>Port[[#This Row],[EAD_Drawn (THB)]]+Port[[#This Row],[EAD_Interest (THB)]]</f>
        <v>977319.99899999995</v>
      </c>
      <c r="AQ4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14443.547587919998</v>
      </c>
      <c r="AR455" s="522">
        <f>MAX(Port[[#This Row],[ECL (THB)]]+Port[[#This Row],[ECL_Interest (THB)]], Port[[#This Row],[ECL CBIRC (THB)]])</f>
        <v>18044.601358760792</v>
      </c>
    </row>
    <row r="456" spans="1:44">
      <c r="A456" s="2" t="s">
        <v>1158</v>
      </c>
      <c r="B456" s="2" t="s">
        <v>346</v>
      </c>
      <c r="C456" s="2" t="s">
        <v>328</v>
      </c>
      <c r="D456" s="2" t="s">
        <v>18</v>
      </c>
      <c r="E456" s="2" t="s">
        <v>19</v>
      </c>
      <c r="F456" s="2" t="s">
        <v>20</v>
      </c>
      <c r="G456" s="2" t="s">
        <v>21</v>
      </c>
      <c r="H456">
        <v>1</v>
      </c>
      <c r="I456" s="2" t="s">
        <v>526</v>
      </c>
      <c r="J456" s="505">
        <v>2.0514833509807026E-2</v>
      </c>
      <c r="K456" s="505">
        <v>0.9</v>
      </c>
      <c r="L456" s="3">
        <v>1</v>
      </c>
      <c r="M456" s="3">
        <v>5.2488000000000001</v>
      </c>
      <c r="N456" s="507">
        <v>638266.22</v>
      </c>
      <c r="O456" s="507">
        <v>0</v>
      </c>
      <c r="P456" s="507">
        <v>638266.22</v>
      </c>
      <c r="Q456" s="507">
        <v>15733.26</v>
      </c>
      <c r="R456" s="507">
        <v>11784.532714410478</v>
      </c>
      <c r="S456" s="507">
        <v>0</v>
      </c>
      <c r="T456" s="507">
        <v>11784.532714410478</v>
      </c>
      <c r="U456" s="507">
        <v>290.48868851985588</v>
      </c>
      <c r="V456" s="507">
        <f>Port[[#This Row],[EAD_Drawn (CNY)]]*Port[[#This Row],[CNY -&gt; FCY]]</f>
        <v>638266.22</v>
      </c>
      <c r="W456" s="507">
        <f>Port[[#This Row],[EAD_Undrawn (CNY)]]*Port[[#This Row],[CNY -&gt; FCY]]</f>
        <v>0</v>
      </c>
      <c r="X456" s="507">
        <f>Port[[#This Row],[EAD (CNY)]]*Port[[#This Row],[CNY -&gt; FCY]]</f>
        <v>638266.22</v>
      </c>
      <c r="Y456" s="507">
        <f>Port[[#This Row],[EAD_Interest (CNY)]]*Port[[#This Row],[CNY -&gt; FCY]]</f>
        <v>15733.26</v>
      </c>
      <c r="Z456" s="507">
        <f>Port[[#This Row],[ECL_Drawn (CNY)]]*Port[[#This Row],[CNY -&gt; FCY]]</f>
        <v>11784.532714410478</v>
      </c>
      <c r="AA456" s="507">
        <f>Port[[#This Row],[ECL_Undrawn (CNY)]]*Port[[#This Row],[CNY -&gt; FCY]]</f>
        <v>0</v>
      </c>
      <c r="AB456" s="507">
        <f>Port[[#This Row],[ECL (CNY)]]*Port[[#This Row],[CNY -&gt; FCY]]</f>
        <v>11784.532714410478</v>
      </c>
      <c r="AC456" s="507">
        <f>Port[[#This Row],[ECL_Interest (CNY)]]*Port[[#This Row],[CNY -&gt; FCY]]</f>
        <v>290.48868851985588</v>
      </c>
      <c r="AD456" s="507">
        <f>Port[[#This Row],[EAD_Drawn (CNY)]]*Port[[#This Row],[CNY -&gt; THB]]</f>
        <v>3350131.7355359998</v>
      </c>
      <c r="AE456" s="507">
        <f>Port[[#This Row],[EAD_Undrawn (CNY)]]*Port[[#This Row],[CNY -&gt; THB]]</f>
        <v>0</v>
      </c>
      <c r="AF456" s="507">
        <f>Port[[#This Row],[EAD (CNY)]]*Port[[#This Row],[CNY -&gt; THB]]</f>
        <v>3350131.7355359998</v>
      </c>
      <c r="AG456" s="507">
        <f>Port[[#This Row],[EAD_Interest (CNY)]]*Port[[#This Row],[CNY -&gt; THB]]</f>
        <v>82580.735088000001</v>
      </c>
      <c r="AH456" s="507">
        <f>Port[[#This Row],[ECL_Drawn (CNY)]]*Port[[#This Row],[CNY -&gt; THB]]</f>
        <v>61854.655311397713</v>
      </c>
      <c r="AI456" s="507">
        <f>Port[[#This Row],[ECL_Undrawn (CNY)]]*Port[[#This Row],[CNY -&gt; THB]]</f>
        <v>0</v>
      </c>
      <c r="AJ456" s="507">
        <f>Port[[#This Row],[ECL (CNY)]]*Port[[#This Row],[CNY -&gt; THB]]</f>
        <v>61854.655311397713</v>
      </c>
      <c r="AK456" s="507">
        <f>Port[[#This Row],[ECL_Interest (CNY)]]*Port[[#This Row],[CNY -&gt; THB]]</f>
        <v>1524.7170283030196</v>
      </c>
      <c r="AL456" s="507">
        <f>Port[[#This Row],[EAD (THB)]]*Port[[#This Row],[PD_avg]]</f>
        <v>68727.394790441904</v>
      </c>
      <c r="AM456" s="507">
        <f>Port[[#This Row],[EAD_Interest (THB)]]*Port[[#This Row],[PD_avg]]</f>
        <v>1694.1300314477994</v>
      </c>
      <c r="AN456" s="507">
        <f>Port[[#This Row],[EAD (THB)]]*Port[[#This Row],[LGD_avg]]</f>
        <v>3015118.5619823998</v>
      </c>
      <c r="AO456" s="507">
        <f>Port[[#This Row],[EAD_Interest (THB)]]*Port[[#This Row],[LGD_avg]]</f>
        <v>74322.661579200008</v>
      </c>
      <c r="AP456" s="507">
        <f>Port[[#This Row],[EAD_Drawn (THB)]]+Port[[#This Row],[EAD_Interest (THB)]]</f>
        <v>3432712.4706239998</v>
      </c>
      <c r="AQ4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50251.976033039995</v>
      </c>
      <c r="AR456" s="522">
        <f>MAX(Port[[#This Row],[ECL (THB)]]+Port[[#This Row],[ECL_Interest (THB)]], Port[[#This Row],[ECL CBIRC (THB)]])</f>
        <v>63379.372339700734</v>
      </c>
    </row>
    <row r="457" spans="1:44">
      <c r="A457" s="2" t="s">
        <v>1159</v>
      </c>
      <c r="B457" s="2" t="s">
        <v>371</v>
      </c>
      <c r="C457" s="2" t="s">
        <v>328</v>
      </c>
      <c r="D457" s="2" t="s">
        <v>18</v>
      </c>
      <c r="E457" s="2" t="s">
        <v>19</v>
      </c>
      <c r="F457" s="2" t="s">
        <v>20</v>
      </c>
      <c r="G457" s="2" t="s">
        <v>21</v>
      </c>
      <c r="H457">
        <v>1</v>
      </c>
      <c r="I457" s="2" t="s">
        <v>526</v>
      </c>
      <c r="J457" s="505">
        <v>2.0514833509807026E-2</v>
      </c>
      <c r="K457" s="505">
        <v>0.90000000000000024</v>
      </c>
      <c r="L457" s="3">
        <v>1</v>
      </c>
      <c r="M457" s="3">
        <v>5.2488000000000001</v>
      </c>
      <c r="N457" s="507">
        <v>114137.27</v>
      </c>
      <c r="O457" s="507">
        <v>0</v>
      </c>
      <c r="P457" s="507">
        <v>114137.27</v>
      </c>
      <c r="Q457" s="507">
        <v>1708.89</v>
      </c>
      <c r="R457" s="507">
        <v>2107.3563821825032</v>
      </c>
      <c r="S457" s="507">
        <v>0</v>
      </c>
      <c r="T457" s="507">
        <v>2107.3563821825032</v>
      </c>
      <c r="U457" s="507">
        <v>31.551834452916719</v>
      </c>
      <c r="V457" s="507">
        <f>Port[[#This Row],[EAD_Drawn (CNY)]]*Port[[#This Row],[CNY -&gt; FCY]]</f>
        <v>114137.27</v>
      </c>
      <c r="W457" s="507">
        <f>Port[[#This Row],[EAD_Undrawn (CNY)]]*Port[[#This Row],[CNY -&gt; FCY]]</f>
        <v>0</v>
      </c>
      <c r="X457" s="507">
        <f>Port[[#This Row],[EAD (CNY)]]*Port[[#This Row],[CNY -&gt; FCY]]</f>
        <v>114137.27</v>
      </c>
      <c r="Y457" s="507">
        <f>Port[[#This Row],[EAD_Interest (CNY)]]*Port[[#This Row],[CNY -&gt; FCY]]</f>
        <v>1708.89</v>
      </c>
      <c r="Z457" s="507">
        <f>Port[[#This Row],[ECL_Drawn (CNY)]]*Port[[#This Row],[CNY -&gt; FCY]]</f>
        <v>2107.3563821825032</v>
      </c>
      <c r="AA457" s="507">
        <f>Port[[#This Row],[ECL_Undrawn (CNY)]]*Port[[#This Row],[CNY -&gt; FCY]]</f>
        <v>0</v>
      </c>
      <c r="AB457" s="507">
        <f>Port[[#This Row],[ECL (CNY)]]*Port[[#This Row],[CNY -&gt; FCY]]</f>
        <v>2107.3563821825032</v>
      </c>
      <c r="AC457" s="507">
        <f>Port[[#This Row],[ECL_Interest (CNY)]]*Port[[#This Row],[CNY -&gt; FCY]]</f>
        <v>31.551834452916719</v>
      </c>
      <c r="AD457" s="507">
        <f>Port[[#This Row],[EAD_Drawn (CNY)]]*Port[[#This Row],[CNY -&gt; THB]]</f>
        <v>599083.70277600002</v>
      </c>
      <c r="AE457" s="507">
        <f>Port[[#This Row],[EAD_Undrawn (CNY)]]*Port[[#This Row],[CNY -&gt; THB]]</f>
        <v>0</v>
      </c>
      <c r="AF457" s="507">
        <f>Port[[#This Row],[EAD (CNY)]]*Port[[#This Row],[CNY -&gt; THB]]</f>
        <v>599083.70277600002</v>
      </c>
      <c r="AG457" s="507">
        <f>Port[[#This Row],[EAD_Interest (CNY)]]*Port[[#This Row],[CNY -&gt; THB]]</f>
        <v>8969.6218320000007</v>
      </c>
      <c r="AH457" s="507">
        <f>Port[[#This Row],[ECL_Drawn (CNY)]]*Port[[#This Row],[CNY -&gt; THB]]</f>
        <v>11061.092178799523</v>
      </c>
      <c r="AI457" s="507">
        <f>Port[[#This Row],[ECL_Undrawn (CNY)]]*Port[[#This Row],[CNY -&gt; THB]]</f>
        <v>0</v>
      </c>
      <c r="AJ457" s="507">
        <f>Port[[#This Row],[ECL (CNY)]]*Port[[#This Row],[CNY -&gt; THB]]</f>
        <v>11061.092178799523</v>
      </c>
      <c r="AK457" s="507">
        <f>Port[[#This Row],[ECL_Interest (CNY)]]*Port[[#This Row],[CNY -&gt; THB]]</f>
        <v>165.60926867646927</v>
      </c>
      <c r="AL457" s="507">
        <f>Port[[#This Row],[EAD (THB)]]*Port[[#This Row],[PD_avg]]</f>
        <v>12290.102420888357</v>
      </c>
      <c r="AM457" s="507">
        <f>Port[[#This Row],[EAD_Interest (THB)]]*Port[[#This Row],[PD_avg]]</f>
        <v>184.01029852941031</v>
      </c>
      <c r="AN457" s="507">
        <f>Port[[#This Row],[EAD (THB)]]*Port[[#This Row],[LGD_avg]]</f>
        <v>539175.33249840012</v>
      </c>
      <c r="AO457" s="507">
        <f>Port[[#This Row],[EAD_Interest (THB)]]*Port[[#This Row],[LGD_avg]]</f>
        <v>8072.6596488000032</v>
      </c>
      <c r="AP457" s="507">
        <f>Port[[#This Row],[EAD_Drawn (THB)]]+Port[[#This Row],[EAD_Interest (THB)]]</f>
        <v>608053.324608</v>
      </c>
      <c r="AQ4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8986.2555416399991</v>
      </c>
      <c r="AR457" s="522">
        <f>MAX(Port[[#This Row],[ECL (THB)]]+Port[[#This Row],[ECL_Interest (THB)]], Port[[#This Row],[ECL CBIRC (THB)]])</f>
        <v>11226.701447475993</v>
      </c>
    </row>
    <row r="458" spans="1:44">
      <c r="A458" s="2" t="s">
        <v>1160</v>
      </c>
      <c r="B458" s="2" t="s">
        <v>371</v>
      </c>
      <c r="C458" s="2" t="s">
        <v>328</v>
      </c>
      <c r="D458" s="2" t="s">
        <v>18</v>
      </c>
      <c r="E458" s="2" t="s">
        <v>19</v>
      </c>
      <c r="F458" s="2" t="s">
        <v>20</v>
      </c>
      <c r="G458" s="2" t="s">
        <v>21</v>
      </c>
      <c r="H458">
        <v>1</v>
      </c>
      <c r="I458" s="2" t="s">
        <v>526</v>
      </c>
      <c r="J458" s="505">
        <v>2.0514833509807026E-2</v>
      </c>
      <c r="K458" s="505">
        <v>0.9</v>
      </c>
      <c r="L458" s="3">
        <v>1</v>
      </c>
      <c r="M458" s="3">
        <v>5.2488000000000001</v>
      </c>
      <c r="N458" s="507">
        <v>22632.83</v>
      </c>
      <c r="O458" s="507">
        <v>0</v>
      </c>
      <c r="P458" s="507">
        <v>22632.83</v>
      </c>
      <c r="Q458" s="507">
        <v>338.86</v>
      </c>
      <c r="R458" s="507">
        <v>417.87786537518923</v>
      </c>
      <c r="S458" s="507">
        <v>0</v>
      </c>
      <c r="T458" s="507">
        <v>417.87786537518923</v>
      </c>
      <c r="U458" s="507">
        <v>6.2564908348198882</v>
      </c>
      <c r="V458" s="507">
        <f>Port[[#This Row],[EAD_Drawn (CNY)]]*Port[[#This Row],[CNY -&gt; FCY]]</f>
        <v>22632.83</v>
      </c>
      <c r="W458" s="507">
        <f>Port[[#This Row],[EAD_Undrawn (CNY)]]*Port[[#This Row],[CNY -&gt; FCY]]</f>
        <v>0</v>
      </c>
      <c r="X458" s="507">
        <f>Port[[#This Row],[EAD (CNY)]]*Port[[#This Row],[CNY -&gt; FCY]]</f>
        <v>22632.83</v>
      </c>
      <c r="Y458" s="507">
        <f>Port[[#This Row],[EAD_Interest (CNY)]]*Port[[#This Row],[CNY -&gt; FCY]]</f>
        <v>338.86</v>
      </c>
      <c r="Z458" s="507">
        <f>Port[[#This Row],[ECL_Drawn (CNY)]]*Port[[#This Row],[CNY -&gt; FCY]]</f>
        <v>417.87786537518923</v>
      </c>
      <c r="AA458" s="507">
        <f>Port[[#This Row],[ECL_Undrawn (CNY)]]*Port[[#This Row],[CNY -&gt; FCY]]</f>
        <v>0</v>
      </c>
      <c r="AB458" s="507">
        <f>Port[[#This Row],[ECL (CNY)]]*Port[[#This Row],[CNY -&gt; FCY]]</f>
        <v>417.87786537518923</v>
      </c>
      <c r="AC458" s="507">
        <f>Port[[#This Row],[ECL_Interest (CNY)]]*Port[[#This Row],[CNY -&gt; FCY]]</f>
        <v>6.2564908348198882</v>
      </c>
      <c r="AD458" s="507">
        <f>Port[[#This Row],[EAD_Drawn (CNY)]]*Port[[#This Row],[CNY -&gt; THB]]</f>
        <v>118795.19810400001</v>
      </c>
      <c r="AE458" s="507">
        <f>Port[[#This Row],[EAD_Undrawn (CNY)]]*Port[[#This Row],[CNY -&gt; THB]]</f>
        <v>0</v>
      </c>
      <c r="AF458" s="507">
        <f>Port[[#This Row],[EAD (CNY)]]*Port[[#This Row],[CNY -&gt; THB]]</f>
        <v>118795.19810400001</v>
      </c>
      <c r="AG458" s="507">
        <f>Port[[#This Row],[EAD_Interest (CNY)]]*Port[[#This Row],[CNY -&gt; THB]]</f>
        <v>1778.6083680000002</v>
      </c>
      <c r="AH458" s="507">
        <f>Port[[#This Row],[ECL_Drawn (CNY)]]*Port[[#This Row],[CNY -&gt; THB]]</f>
        <v>2193.3573397812934</v>
      </c>
      <c r="AI458" s="507">
        <f>Port[[#This Row],[ECL_Undrawn (CNY)]]*Port[[#This Row],[CNY -&gt; THB]]</f>
        <v>0</v>
      </c>
      <c r="AJ458" s="507">
        <f>Port[[#This Row],[ECL (CNY)]]*Port[[#This Row],[CNY -&gt; THB]]</f>
        <v>2193.3573397812934</v>
      </c>
      <c r="AK458" s="507">
        <f>Port[[#This Row],[ECL_Interest (CNY)]]*Port[[#This Row],[CNY -&gt; THB]]</f>
        <v>32.839069093802628</v>
      </c>
      <c r="AL458" s="507">
        <f>Port[[#This Row],[EAD (THB)]]*Port[[#This Row],[PD_avg]]</f>
        <v>2437.0637108681035</v>
      </c>
      <c r="AM458" s="507">
        <f>Port[[#This Row],[EAD_Interest (THB)]]*Port[[#This Row],[PD_avg]]</f>
        <v>36.487854548669588</v>
      </c>
      <c r="AN458" s="507">
        <f>Port[[#This Row],[EAD (THB)]]*Port[[#This Row],[LGD_avg]]</f>
        <v>106915.67829360001</v>
      </c>
      <c r="AO458" s="507">
        <f>Port[[#This Row],[EAD_Interest (THB)]]*Port[[#This Row],[LGD_avg]]</f>
        <v>1600.7475312000001</v>
      </c>
      <c r="AP458" s="507">
        <f>Port[[#This Row],[EAD_Drawn (THB)]]+Port[[#This Row],[EAD_Interest (THB)]]</f>
        <v>120573.80647200001</v>
      </c>
      <c r="AQ4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1781.9279715600001</v>
      </c>
      <c r="AR458" s="522">
        <f>MAX(Port[[#This Row],[ECL (THB)]]+Port[[#This Row],[ECL_Interest (THB)]], Port[[#This Row],[ECL CBIRC (THB)]])</f>
        <v>2226.196408875096</v>
      </c>
    </row>
    <row r="459" spans="1:44">
      <c r="A459" s="2" t="s">
        <v>1161</v>
      </c>
      <c r="B459" s="2" t="s">
        <v>371</v>
      </c>
      <c r="C459" s="2" t="s">
        <v>328</v>
      </c>
      <c r="D459" s="2" t="s">
        <v>18</v>
      </c>
      <c r="E459" s="2" t="s">
        <v>19</v>
      </c>
      <c r="F459" s="2" t="s">
        <v>20</v>
      </c>
      <c r="G459" s="2" t="s">
        <v>21</v>
      </c>
      <c r="H459">
        <v>1</v>
      </c>
      <c r="I459" s="2" t="s">
        <v>526</v>
      </c>
      <c r="J459" s="505">
        <v>2.0514833509807026E-2</v>
      </c>
      <c r="K459" s="505">
        <v>0.90000000000000013</v>
      </c>
      <c r="L459" s="3">
        <v>1</v>
      </c>
      <c r="M459" s="3">
        <v>5.2488000000000001</v>
      </c>
      <c r="N459" s="507">
        <v>59408.78</v>
      </c>
      <c r="O459" s="507">
        <v>0</v>
      </c>
      <c r="P459" s="507">
        <v>59408.78</v>
      </c>
      <c r="Q459" s="507">
        <v>889.48</v>
      </c>
      <c r="R459" s="507">
        <v>1096.8851076486783</v>
      </c>
      <c r="S459" s="507">
        <v>0</v>
      </c>
      <c r="T459" s="507">
        <v>1096.8851076486783</v>
      </c>
      <c r="U459" s="507">
        <v>16.422780699272838</v>
      </c>
      <c r="V459" s="507">
        <f>Port[[#This Row],[EAD_Drawn (CNY)]]*Port[[#This Row],[CNY -&gt; FCY]]</f>
        <v>59408.78</v>
      </c>
      <c r="W459" s="507">
        <f>Port[[#This Row],[EAD_Undrawn (CNY)]]*Port[[#This Row],[CNY -&gt; FCY]]</f>
        <v>0</v>
      </c>
      <c r="X459" s="507">
        <f>Port[[#This Row],[EAD (CNY)]]*Port[[#This Row],[CNY -&gt; FCY]]</f>
        <v>59408.78</v>
      </c>
      <c r="Y459" s="507">
        <f>Port[[#This Row],[EAD_Interest (CNY)]]*Port[[#This Row],[CNY -&gt; FCY]]</f>
        <v>889.48</v>
      </c>
      <c r="Z459" s="507">
        <f>Port[[#This Row],[ECL_Drawn (CNY)]]*Port[[#This Row],[CNY -&gt; FCY]]</f>
        <v>1096.8851076486783</v>
      </c>
      <c r="AA459" s="507">
        <f>Port[[#This Row],[ECL_Undrawn (CNY)]]*Port[[#This Row],[CNY -&gt; FCY]]</f>
        <v>0</v>
      </c>
      <c r="AB459" s="507">
        <f>Port[[#This Row],[ECL (CNY)]]*Port[[#This Row],[CNY -&gt; FCY]]</f>
        <v>1096.8851076486783</v>
      </c>
      <c r="AC459" s="507">
        <f>Port[[#This Row],[ECL_Interest (CNY)]]*Port[[#This Row],[CNY -&gt; FCY]]</f>
        <v>16.422780699272838</v>
      </c>
      <c r="AD459" s="507">
        <f>Port[[#This Row],[EAD_Drawn (CNY)]]*Port[[#This Row],[CNY -&gt; THB]]</f>
        <v>311824.80446399999</v>
      </c>
      <c r="AE459" s="507">
        <f>Port[[#This Row],[EAD_Undrawn (CNY)]]*Port[[#This Row],[CNY -&gt; THB]]</f>
        <v>0</v>
      </c>
      <c r="AF459" s="507">
        <f>Port[[#This Row],[EAD (CNY)]]*Port[[#This Row],[CNY -&gt; THB]]</f>
        <v>311824.80446399999</v>
      </c>
      <c r="AG459" s="507">
        <f>Port[[#This Row],[EAD_Interest (CNY)]]*Port[[#This Row],[CNY -&gt; THB]]</f>
        <v>4668.7026240000005</v>
      </c>
      <c r="AH459" s="507">
        <f>Port[[#This Row],[ECL_Drawn (CNY)]]*Port[[#This Row],[CNY -&gt; THB]]</f>
        <v>5757.3305530263824</v>
      </c>
      <c r="AI459" s="507">
        <f>Port[[#This Row],[ECL_Undrawn (CNY)]]*Port[[#This Row],[CNY -&gt; THB]]</f>
        <v>0</v>
      </c>
      <c r="AJ459" s="507">
        <f>Port[[#This Row],[ECL (CNY)]]*Port[[#This Row],[CNY -&gt; THB]]</f>
        <v>5757.3305530263824</v>
      </c>
      <c r="AK459" s="507">
        <f>Port[[#This Row],[ECL_Interest (CNY)]]*Port[[#This Row],[CNY -&gt; THB]]</f>
        <v>86.199891334343278</v>
      </c>
      <c r="AL459" s="507">
        <f>Port[[#This Row],[EAD (THB)]]*Port[[#This Row],[PD_avg]]</f>
        <v>6397.03394780709</v>
      </c>
      <c r="AM459" s="507">
        <f>Port[[#This Row],[EAD_Interest (THB)]]*Port[[#This Row],[PD_avg]]</f>
        <v>95.777657038159205</v>
      </c>
      <c r="AN459" s="507">
        <f>Port[[#This Row],[EAD (THB)]]*Port[[#This Row],[LGD_avg]]</f>
        <v>280642.32401760004</v>
      </c>
      <c r="AO459" s="507">
        <f>Port[[#This Row],[EAD_Interest (THB)]]*Port[[#This Row],[LGD_avg]]</f>
        <v>4201.8323616000007</v>
      </c>
      <c r="AP459" s="507">
        <f>Port[[#This Row],[EAD_Drawn (THB)]]+Port[[#This Row],[EAD_Interest (THB)]]</f>
        <v>316493.50708800001</v>
      </c>
      <c r="AQ4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4677.3720669599998</v>
      </c>
      <c r="AR459" s="522">
        <f>MAX(Port[[#This Row],[ECL (THB)]]+Port[[#This Row],[ECL_Interest (THB)]], Port[[#This Row],[ECL CBIRC (THB)]])</f>
        <v>5843.5304443607256</v>
      </c>
    </row>
    <row r="460" spans="1:44">
      <c r="A460" s="2" t="s">
        <v>1162</v>
      </c>
      <c r="B460" s="2" t="s">
        <v>372</v>
      </c>
      <c r="C460" s="2" t="s">
        <v>328</v>
      </c>
      <c r="D460" s="2" t="s">
        <v>18</v>
      </c>
      <c r="E460" s="2" t="s">
        <v>19</v>
      </c>
      <c r="F460" s="2" t="s">
        <v>20</v>
      </c>
      <c r="G460" s="2" t="s">
        <v>21</v>
      </c>
      <c r="H460">
        <v>1</v>
      </c>
      <c r="I460" s="2" t="s">
        <v>526</v>
      </c>
      <c r="J460" s="505">
        <v>2.0514833509807026E-2</v>
      </c>
      <c r="K460" s="505">
        <v>0.90000000000000013</v>
      </c>
      <c r="L460" s="3">
        <v>1</v>
      </c>
      <c r="M460" s="3">
        <v>5.2488000000000001</v>
      </c>
      <c r="N460" s="507">
        <v>151936.88</v>
      </c>
      <c r="O460" s="507">
        <v>0</v>
      </c>
      <c r="P460" s="507">
        <v>151936.88</v>
      </c>
      <c r="Q460" s="507">
        <v>2274.83</v>
      </c>
      <c r="R460" s="507">
        <v>2805.2638174795761</v>
      </c>
      <c r="S460" s="507">
        <v>0</v>
      </c>
      <c r="T460" s="507">
        <v>2805.2638174795761</v>
      </c>
      <c r="U460" s="507">
        <v>42.000982841802887</v>
      </c>
      <c r="V460" s="507">
        <f>Port[[#This Row],[EAD_Drawn (CNY)]]*Port[[#This Row],[CNY -&gt; FCY]]</f>
        <v>151936.88</v>
      </c>
      <c r="W460" s="507">
        <f>Port[[#This Row],[EAD_Undrawn (CNY)]]*Port[[#This Row],[CNY -&gt; FCY]]</f>
        <v>0</v>
      </c>
      <c r="X460" s="507">
        <f>Port[[#This Row],[EAD (CNY)]]*Port[[#This Row],[CNY -&gt; FCY]]</f>
        <v>151936.88</v>
      </c>
      <c r="Y460" s="507">
        <f>Port[[#This Row],[EAD_Interest (CNY)]]*Port[[#This Row],[CNY -&gt; FCY]]</f>
        <v>2274.83</v>
      </c>
      <c r="Z460" s="507">
        <f>Port[[#This Row],[ECL_Drawn (CNY)]]*Port[[#This Row],[CNY -&gt; FCY]]</f>
        <v>2805.2638174795761</v>
      </c>
      <c r="AA460" s="507">
        <f>Port[[#This Row],[ECL_Undrawn (CNY)]]*Port[[#This Row],[CNY -&gt; FCY]]</f>
        <v>0</v>
      </c>
      <c r="AB460" s="507">
        <f>Port[[#This Row],[ECL (CNY)]]*Port[[#This Row],[CNY -&gt; FCY]]</f>
        <v>2805.2638174795761</v>
      </c>
      <c r="AC460" s="507">
        <f>Port[[#This Row],[ECL_Interest (CNY)]]*Port[[#This Row],[CNY -&gt; FCY]]</f>
        <v>42.000982841802887</v>
      </c>
      <c r="AD460" s="507">
        <f>Port[[#This Row],[EAD_Drawn (CNY)]]*Port[[#This Row],[CNY -&gt; THB]]</f>
        <v>797486.295744</v>
      </c>
      <c r="AE460" s="507">
        <f>Port[[#This Row],[EAD_Undrawn (CNY)]]*Port[[#This Row],[CNY -&gt; THB]]</f>
        <v>0</v>
      </c>
      <c r="AF460" s="507">
        <f>Port[[#This Row],[EAD (CNY)]]*Port[[#This Row],[CNY -&gt; THB]]</f>
        <v>797486.295744</v>
      </c>
      <c r="AG460" s="507">
        <f>Port[[#This Row],[EAD_Interest (CNY)]]*Port[[#This Row],[CNY -&gt; THB]]</f>
        <v>11940.127704</v>
      </c>
      <c r="AH460" s="507">
        <f>Port[[#This Row],[ECL_Drawn (CNY)]]*Port[[#This Row],[CNY -&gt; THB]]</f>
        <v>14724.268725186799</v>
      </c>
      <c r="AI460" s="507">
        <f>Port[[#This Row],[ECL_Undrawn (CNY)]]*Port[[#This Row],[CNY -&gt; THB]]</f>
        <v>0</v>
      </c>
      <c r="AJ460" s="507">
        <f>Port[[#This Row],[ECL (CNY)]]*Port[[#This Row],[CNY -&gt; THB]]</f>
        <v>14724.268725186799</v>
      </c>
      <c r="AK460" s="507">
        <f>Port[[#This Row],[ECL_Interest (CNY)]]*Port[[#This Row],[CNY -&gt; THB]]</f>
        <v>220.45475874005501</v>
      </c>
      <c r="AL460" s="507">
        <f>Port[[#This Row],[EAD (THB)]]*Port[[#This Row],[PD_avg]]</f>
        <v>16360.298583540887</v>
      </c>
      <c r="AM460" s="507">
        <f>Port[[#This Row],[EAD_Interest (THB)]]*Port[[#This Row],[PD_avg]]</f>
        <v>244.94973193339445</v>
      </c>
      <c r="AN460" s="507">
        <f>Port[[#This Row],[EAD (THB)]]*Port[[#This Row],[LGD_avg]]</f>
        <v>717737.6661696001</v>
      </c>
      <c r="AO460" s="507">
        <f>Port[[#This Row],[EAD_Interest (THB)]]*Port[[#This Row],[LGD_avg]]</f>
        <v>10746.114933600002</v>
      </c>
      <c r="AP460" s="507">
        <f>Port[[#This Row],[EAD_Drawn (THB)]]+Port[[#This Row],[EAD_Interest (THB)]]</f>
        <v>809426.42344799999</v>
      </c>
      <c r="AQ46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11962.29443616</v>
      </c>
      <c r="AR460" s="522">
        <f>MAX(Port[[#This Row],[ECL (THB)]]+Port[[#This Row],[ECL_Interest (THB)]], Port[[#This Row],[ECL CBIRC (THB)]])</f>
        <v>14944.723483926855</v>
      </c>
    </row>
    <row r="461" spans="1:44">
      <c r="A461" s="2" t="s">
        <v>1163</v>
      </c>
      <c r="B461" s="2" t="s">
        <v>338</v>
      </c>
      <c r="C461" s="2" t="s">
        <v>328</v>
      </c>
      <c r="D461" s="2" t="s">
        <v>18</v>
      </c>
      <c r="E461" s="2" t="s">
        <v>19</v>
      </c>
      <c r="F461" s="2" t="s">
        <v>20</v>
      </c>
      <c r="G461" s="2" t="s">
        <v>21</v>
      </c>
      <c r="H461">
        <v>1</v>
      </c>
      <c r="I461" s="2" t="s">
        <v>526</v>
      </c>
      <c r="J461" s="505">
        <v>2.0514833509807026E-2</v>
      </c>
      <c r="K461" s="505">
        <v>0.90000000000000013</v>
      </c>
      <c r="L461" s="3">
        <v>1</v>
      </c>
      <c r="M461" s="3">
        <v>5.2488000000000001</v>
      </c>
      <c r="N461" s="507">
        <v>5000000</v>
      </c>
      <c r="O461" s="507">
        <v>0</v>
      </c>
      <c r="P461" s="507">
        <v>5000000</v>
      </c>
      <c r="Q461" s="507">
        <v>126083.33</v>
      </c>
      <c r="R461" s="507">
        <v>92316.750794131629</v>
      </c>
      <c r="S461" s="507">
        <v>0</v>
      </c>
      <c r="T461" s="507">
        <v>92316.750794131629</v>
      </c>
      <c r="U461" s="507">
        <v>2327.9206709808518</v>
      </c>
      <c r="V461" s="507">
        <f>Port[[#This Row],[EAD_Drawn (CNY)]]*Port[[#This Row],[CNY -&gt; FCY]]</f>
        <v>5000000</v>
      </c>
      <c r="W461" s="507">
        <f>Port[[#This Row],[EAD_Undrawn (CNY)]]*Port[[#This Row],[CNY -&gt; FCY]]</f>
        <v>0</v>
      </c>
      <c r="X461" s="507">
        <f>Port[[#This Row],[EAD (CNY)]]*Port[[#This Row],[CNY -&gt; FCY]]</f>
        <v>5000000</v>
      </c>
      <c r="Y461" s="507">
        <f>Port[[#This Row],[EAD_Interest (CNY)]]*Port[[#This Row],[CNY -&gt; FCY]]</f>
        <v>126083.33</v>
      </c>
      <c r="Z461" s="507">
        <f>Port[[#This Row],[ECL_Drawn (CNY)]]*Port[[#This Row],[CNY -&gt; FCY]]</f>
        <v>92316.750794131629</v>
      </c>
      <c r="AA461" s="507">
        <f>Port[[#This Row],[ECL_Undrawn (CNY)]]*Port[[#This Row],[CNY -&gt; FCY]]</f>
        <v>0</v>
      </c>
      <c r="AB461" s="507">
        <f>Port[[#This Row],[ECL (CNY)]]*Port[[#This Row],[CNY -&gt; FCY]]</f>
        <v>92316.750794131629</v>
      </c>
      <c r="AC461" s="507">
        <f>Port[[#This Row],[ECL_Interest (CNY)]]*Port[[#This Row],[CNY -&gt; FCY]]</f>
        <v>2327.9206709808518</v>
      </c>
      <c r="AD461" s="507">
        <f>Port[[#This Row],[EAD_Drawn (CNY)]]*Port[[#This Row],[CNY -&gt; THB]]</f>
        <v>26244000</v>
      </c>
      <c r="AE461" s="507">
        <f>Port[[#This Row],[EAD_Undrawn (CNY)]]*Port[[#This Row],[CNY -&gt; THB]]</f>
        <v>0</v>
      </c>
      <c r="AF461" s="507">
        <f>Port[[#This Row],[EAD (CNY)]]*Port[[#This Row],[CNY -&gt; THB]]</f>
        <v>26244000</v>
      </c>
      <c r="AG461" s="507">
        <f>Port[[#This Row],[EAD_Interest (CNY)]]*Port[[#This Row],[CNY -&gt; THB]]</f>
        <v>661786.18250400003</v>
      </c>
      <c r="AH461" s="507">
        <f>Port[[#This Row],[ECL_Drawn (CNY)]]*Port[[#This Row],[CNY -&gt; THB]]</f>
        <v>484552.16156823811</v>
      </c>
      <c r="AI461" s="507">
        <f>Port[[#This Row],[ECL_Undrawn (CNY)]]*Port[[#This Row],[CNY -&gt; THB]]</f>
        <v>0</v>
      </c>
      <c r="AJ461" s="507">
        <f>Port[[#This Row],[ECL (CNY)]]*Port[[#This Row],[CNY -&gt; THB]]</f>
        <v>484552.16156823811</v>
      </c>
      <c r="AK461" s="507">
        <f>Port[[#This Row],[ECL_Interest (CNY)]]*Port[[#This Row],[CNY -&gt; THB]]</f>
        <v>12218.790017844296</v>
      </c>
      <c r="AL461" s="507">
        <f>Port[[#This Row],[EAD (THB)]]*Port[[#This Row],[PD_avg]]</f>
        <v>538391.29063137562</v>
      </c>
      <c r="AM461" s="507">
        <f>Port[[#This Row],[EAD_Interest (THB)]]*Port[[#This Row],[PD_avg]]</f>
        <v>13576.433353160328</v>
      </c>
      <c r="AN461" s="507">
        <f>Port[[#This Row],[EAD (THB)]]*Port[[#This Row],[LGD_avg]]</f>
        <v>23619600.000000004</v>
      </c>
      <c r="AO461" s="507">
        <f>Port[[#This Row],[EAD_Interest (THB)]]*Port[[#This Row],[LGD_avg]]</f>
        <v>595607.56425360008</v>
      </c>
      <c r="AP461" s="507">
        <f>Port[[#This Row],[EAD_Drawn (THB)]]+Port[[#This Row],[EAD_Interest (THB)]]</f>
        <v>26905786.182503998</v>
      </c>
      <c r="AQ46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61" s="522">
        <f>MAX(Port[[#This Row],[ECL (THB)]]+Port[[#This Row],[ECL_Interest (THB)]], Port[[#This Row],[ECL CBIRC (THB)]])</f>
        <v>496770.9515860824</v>
      </c>
    </row>
    <row r="462" spans="1:44">
      <c r="A462" s="2" t="s">
        <v>1164</v>
      </c>
      <c r="B462" s="2" t="s">
        <v>342</v>
      </c>
      <c r="C462" s="2" t="s">
        <v>328</v>
      </c>
      <c r="D462" s="2" t="s">
        <v>18</v>
      </c>
      <c r="E462" s="2" t="s">
        <v>19</v>
      </c>
      <c r="F462" s="2" t="s">
        <v>20</v>
      </c>
      <c r="G462" s="2" t="s">
        <v>21</v>
      </c>
      <c r="H462">
        <v>1</v>
      </c>
      <c r="I462" s="2" t="s">
        <v>526</v>
      </c>
      <c r="J462" s="505">
        <v>2.0514833509807026E-2</v>
      </c>
      <c r="K462" s="505">
        <v>0.9</v>
      </c>
      <c r="L462" s="3">
        <v>1</v>
      </c>
      <c r="M462" s="3">
        <v>5.2488000000000001</v>
      </c>
      <c r="N462" s="507">
        <v>2176713</v>
      </c>
      <c r="O462" s="507">
        <v>0</v>
      </c>
      <c r="P462" s="507">
        <v>2176713</v>
      </c>
      <c r="Q462" s="507">
        <v>53039.24</v>
      </c>
      <c r="R462" s="507">
        <v>40189.414314269328</v>
      </c>
      <c r="S462" s="507">
        <v>0</v>
      </c>
      <c r="T462" s="507">
        <v>40189.414314269328</v>
      </c>
      <c r="U462" s="507">
        <v>979.28206027802764</v>
      </c>
      <c r="V462" s="507">
        <f>Port[[#This Row],[EAD_Drawn (CNY)]]*Port[[#This Row],[CNY -&gt; FCY]]</f>
        <v>2176713</v>
      </c>
      <c r="W462" s="507">
        <f>Port[[#This Row],[EAD_Undrawn (CNY)]]*Port[[#This Row],[CNY -&gt; FCY]]</f>
        <v>0</v>
      </c>
      <c r="X462" s="507">
        <f>Port[[#This Row],[EAD (CNY)]]*Port[[#This Row],[CNY -&gt; FCY]]</f>
        <v>2176713</v>
      </c>
      <c r="Y462" s="507">
        <f>Port[[#This Row],[EAD_Interest (CNY)]]*Port[[#This Row],[CNY -&gt; FCY]]</f>
        <v>53039.24</v>
      </c>
      <c r="Z462" s="507">
        <f>Port[[#This Row],[ECL_Drawn (CNY)]]*Port[[#This Row],[CNY -&gt; FCY]]</f>
        <v>40189.414314269328</v>
      </c>
      <c r="AA462" s="507">
        <f>Port[[#This Row],[ECL_Undrawn (CNY)]]*Port[[#This Row],[CNY -&gt; FCY]]</f>
        <v>0</v>
      </c>
      <c r="AB462" s="507">
        <f>Port[[#This Row],[ECL (CNY)]]*Port[[#This Row],[CNY -&gt; FCY]]</f>
        <v>40189.414314269328</v>
      </c>
      <c r="AC462" s="507">
        <f>Port[[#This Row],[ECL_Interest (CNY)]]*Port[[#This Row],[CNY -&gt; FCY]]</f>
        <v>979.28206027802764</v>
      </c>
      <c r="AD462" s="507">
        <f>Port[[#This Row],[EAD_Drawn (CNY)]]*Port[[#This Row],[CNY -&gt; THB]]</f>
        <v>11425131.194399999</v>
      </c>
      <c r="AE462" s="507">
        <f>Port[[#This Row],[EAD_Undrawn (CNY)]]*Port[[#This Row],[CNY -&gt; THB]]</f>
        <v>0</v>
      </c>
      <c r="AF462" s="507">
        <f>Port[[#This Row],[EAD (CNY)]]*Port[[#This Row],[CNY -&gt; THB]]</f>
        <v>11425131.194399999</v>
      </c>
      <c r="AG462" s="507">
        <f>Port[[#This Row],[EAD_Interest (CNY)]]*Port[[#This Row],[CNY -&gt; THB]]</f>
        <v>278392.36291199998</v>
      </c>
      <c r="AH462" s="507">
        <f>Port[[#This Row],[ECL_Drawn (CNY)]]*Port[[#This Row],[CNY -&gt; THB]]</f>
        <v>210946.19785273686</v>
      </c>
      <c r="AI462" s="507">
        <f>Port[[#This Row],[ECL_Undrawn (CNY)]]*Port[[#This Row],[CNY -&gt; THB]]</f>
        <v>0</v>
      </c>
      <c r="AJ462" s="507">
        <f>Port[[#This Row],[ECL (CNY)]]*Port[[#This Row],[CNY -&gt; THB]]</f>
        <v>210946.19785273686</v>
      </c>
      <c r="AK462" s="507">
        <f>Port[[#This Row],[ECL_Interest (CNY)]]*Port[[#This Row],[CNY -&gt; THB]]</f>
        <v>5140.0556779873114</v>
      </c>
      <c r="AL462" s="507">
        <f>Port[[#This Row],[EAD (THB)]]*Port[[#This Row],[PD_avg]]</f>
        <v>234384.66428081869</v>
      </c>
      <c r="AM462" s="507">
        <f>Port[[#This Row],[EAD_Interest (THB)]]*Port[[#This Row],[PD_avg]]</f>
        <v>5711.1729755414563</v>
      </c>
      <c r="AN462" s="507">
        <f>Port[[#This Row],[EAD (THB)]]*Port[[#This Row],[LGD_avg]]</f>
        <v>10282618.074959999</v>
      </c>
      <c r="AO462" s="507">
        <f>Port[[#This Row],[EAD_Interest (THB)]]*Port[[#This Row],[LGD_avg]]</f>
        <v>250553.1266208</v>
      </c>
      <c r="AP462" s="507">
        <f>Port[[#This Row],[EAD_Drawn (THB)]]+Port[[#This Row],[EAD_Interest (THB)]]</f>
        <v>11703523.557311999</v>
      </c>
      <c r="AQ46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171376.96791599999</v>
      </c>
      <c r="AR462" s="522">
        <f>MAX(Port[[#This Row],[ECL (THB)]]+Port[[#This Row],[ECL_Interest (THB)]], Port[[#This Row],[ECL CBIRC (THB)]])</f>
        <v>216086.25353072418</v>
      </c>
    </row>
    <row r="463" spans="1:44">
      <c r="A463" s="2" t="s">
        <v>1165</v>
      </c>
      <c r="B463" s="2" t="s">
        <v>338</v>
      </c>
      <c r="C463" s="2" t="s">
        <v>328</v>
      </c>
      <c r="D463" s="2" t="s">
        <v>18</v>
      </c>
      <c r="E463" s="2" t="s">
        <v>19</v>
      </c>
      <c r="F463" s="2" t="s">
        <v>20</v>
      </c>
      <c r="G463" s="2" t="s">
        <v>21</v>
      </c>
      <c r="H463">
        <v>1</v>
      </c>
      <c r="I463" s="2" t="s">
        <v>526</v>
      </c>
      <c r="J463" s="505">
        <v>2.0514833509807026E-2</v>
      </c>
      <c r="K463" s="505">
        <v>0.89999999999999991</v>
      </c>
      <c r="L463" s="3">
        <v>1</v>
      </c>
      <c r="M463" s="3">
        <v>5.2488000000000001</v>
      </c>
      <c r="N463" s="507">
        <v>3938265.8</v>
      </c>
      <c r="O463" s="507">
        <v>0</v>
      </c>
      <c r="P463" s="507">
        <v>3938265.8</v>
      </c>
      <c r="Q463" s="507">
        <v>99309.94</v>
      </c>
      <c r="R463" s="507">
        <v>72713.580483930273</v>
      </c>
      <c r="S463" s="507">
        <v>0</v>
      </c>
      <c r="T463" s="507">
        <v>72713.580483930273</v>
      </c>
      <c r="U463" s="507">
        <v>1833.5941964720328</v>
      </c>
      <c r="V463" s="507">
        <f>Port[[#This Row],[EAD_Drawn (CNY)]]*Port[[#This Row],[CNY -&gt; FCY]]</f>
        <v>3938265.8</v>
      </c>
      <c r="W463" s="507">
        <f>Port[[#This Row],[EAD_Undrawn (CNY)]]*Port[[#This Row],[CNY -&gt; FCY]]</f>
        <v>0</v>
      </c>
      <c r="X463" s="507">
        <f>Port[[#This Row],[EAD (CNY)]]*Port[[#This Row],[CNY -&gt; FCY]]</f>
        <v>3938265.8</v>
      </c>
      <c r="Y463" s="507">
        <f>Port[[#This Row],[EAD_Interest (CNY)]]*Port[[#This Row],[CNY -&gt; FCY]]</f>
        <v>99309.94</v>
      </c>
      <c r="Z463" s="507">
        <f>Port[[#This Row],[ECL_Drawn (CNY)]]*Port[[#This Row],[CNY -&gt; FCY]]</f>
        <v>72713.580483930273</v>
      </c>
      <c r="AA463" s="507">
        <f>Port[[#This Row],[ECL_Undrawn (CNY)]]*Port[[#This Row],[CNY -&gt; FCY]]</f>
        <v>0</v>
      </c>
      <c r="AB463" s="507">
        <f>Port[[#This Row],[ECL (CNY)]]*Port[[#This Row],[CNY -&gt; FCY]]</f>
        <v>72713.580483930273</v>
      </c>
      <c r="AC463" s="507">
        <f>Port[[#This Row],[ECL_Interest (CNY)]]*Port[[#This Row],[CNY -&gt; FCY]]</f>
        <v>1833.5941964720328</v>
      </c>
      <c r="AD463" s="507">
        <f>Port[[#This Row],[EAD_Drawn (CNY)]]*Port[[#This Row],[CNY -&gt; THB]]</f>
        <v>20671169.531039998</v>
      </c>
      <c r="AE463" s="507">
        <f>Port[[#This Row],[EAD_Undrawn (CNY)]]*Port[[#This Row],[CNY -&gt; THB]]</f>
        <v>0</v>
      </c>
      <c r="AF463" s="507">
        <f>Port[[#This Row],[EAD (CNY)]]*Port[[#This Row],[CNY -&gt; THB]]</f>
        <v>20671169.531039998</v>
      </c>
      <c r="AG463" s="507">
        <f>Port[[#This Row],[EAD_Interest (CNY)]]*Port[[#This Row],[CNY -&gt; THB]]</f>
        <v>521258.013072</v>
      </c>
      <c r="AH463" s="507">
        <f>Port[[#This Row],[ECL_Drawn (CNY)]]*Port[[#This Row],[CNY -&gt; THB]]</f>
        <v>381659.04124405322</v>
      </c>
      <c r="AI463" s="507">
        <f>Port[[#This Row],[ECL_Undrawn (CNY)]]*Port[[#This Row],[CNY -&gt; THB]]</f>
        <v>0</v>
      </c>
      <c r="AJ463" s="507">
        <f>Port[[#This Row],[ECL (CNY)]]*Port[[#This Row],[CNY -&gt; THB]]</f>
        <v>381659.04124405322</v>
      </c>
      <c r="AK463" s="507">
        <f>Port[[#This Row],[ECL_Interest (CNY)]]*Port[[#This Row],[CNY -&gt; THB]]</f>
        <v>9624.1692184424064</v>
      </c>
      <c r="AL463" s="507">
        <f>Port[[#This Row],[EAD (THB)]]*Port[[#This Row],[PD_avg]]</f>
        <v>424065.60138228134</v>
      </c>
      <c r="AM463" s="507">
        <f>Port[[#This Row],[EAD_Interest (THB)]]*Port[[#This Row],[PD_avg]]</f>
        <v>10693.521353824894</v>
      </c>
      <c r="AN463" s="507">
        <f>Port[[#This Row],[EAD (THB)]]*Port[[#This Row],[LGD_avg]]</f>
        <v>18604052.577935997</v>
      </c>
      <c r="AO463" s="507">
        <f>Port[[#This Row],[EAD_Interest (THB)]]*Port[[#This Row],[LGD_avg]]</f>
        <v>469132.21176479995</v>
      </c>
      <c r="AP463" s="507">
        <f>Port[[#This Row],[EAD_Drawn (THB)]]+Port[[#This Row],[EAD_Interest (THB)]]</f>
        <v>21192427.544111997</v>
      </c>
      <c r="AQ46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310067.54296559998</v>
      </c>
      <c r="AR463" s="522">
        <f>MAX(Port[[#This Row],[ECL (THB)]]+Port[[#This Row],[ECL_Interest (THB)]], Port[[#This Row],[ECL CBIRC (THB)]])</f>
        <v>391283.21046249563</v>
      </c>
    </row>
    <row r="464" spans="1:44">
      <c r="A464" s="2" t="s">
        <v>1166</v>
      </c>
      <c r="B464" s="2" t="s">
        <v>376</v>
      </c>
      <c r="C464" s="2" t="s">
        <v>328</v>
      </c>
      <c r="D464" s="2" t="s">
        <v>18</v>
      </c>
      <c r="E464" s="2" t="s">
        <v>19</v>
      </c>
      <c r="F464" s="2" t="s">
        <v>20</v>
      </c>
      <c r="G464" s="2" t="s">
        <v>21</v>
      </c>
      <c r="H464">
        <v>1</v>
      </c>
      <c r="I464" s="2" t="s">
        <v>526</v>
      </c>
      <c r="J464" s="505">
        <v>2.0514833509807026E-2</v>
      </c>
      <c r="K464" s="505">
        <v>0.90000000000000024</v>
      </c>
      <c r="L464" s="3">
        <v>1</v>
      </c>
      <c r="M464" s="3">
        <v>5.2488000000000001</v>
      </c>
      <c r="N464" s="507">
        <v>129024.04</v>
      </c>
      <c r="O464" s="507">
        <v>0</v>
      </c>
      <c r="P464" s="507">
        <v>129024.04</v>
      </c>
      <c r="Q464" s="507">
        <v>1879.09</v>
      </c>
      <c r="R464" s="507">
        <v>2382.216029426414</v>
      </c>
      <c r="S464" s="507">
        <v>0</v>
      </c>
      <c r="T464" s="507">
        <v>2382.216029426414</v>
      </c>
      <c r="U464" s="507">
        <v>34.69429664994896</v>
      </c>
      <c r="V464" s="507">
        <f>Port[[#This Row],[EAD_Drawn (CNY)]]*Port[[#This Row],[CNY -&gt; FCY]]</f>
        <v>129024.04</v>
      </c>
      <c r="W464" s="507">
        <f>Port[[#This Row],[EAD_Undrawn (CNY)]]*Port[[#This Row],[CNY -&gt; FCY]]</f>
        <v>0</v>
      </c>
      <c r="X464" s="507">
        <f>Port[[#This Row],[EAD (CNY)]]*Port[[#This Row],[CNY -&gt; FCY]]</f>
        <v>129024.04</v>
      </c>
      <c r="Y464" s="507">
        <f>Port[[#This Row],[EAD_Interest (CNY)]]*Port[[#This Row],[CNY -&gt; FCY]]</f>
        <v>1879.09</v>
      </c>
      <c r="Z464" s="507">
        <f>Port[[#This Row],[ECL_Drawn (CNY)]]*Port[[#This Row],[CNY -&gt; FCY]]</f>
        <v>2382.216029426414</v>
      </c>
      <c r="AA464" s="507">
        <f>Port[[#This Row],[ECL_Undrawn (CNY)]]*Port[[#This Row],[CNY -&gt; FCY]]</f>
        <v>0</v>
      </c>
      <c r="AB464" s="507">
        <f>Port[[#This Row],[ECL (CNY)]]*Port[[#This Row],[CNY -&gt; FCY]]</f>
        <v>2382.216029426414</v>
      </c>
      <c r="AC464" s="507">
        <f>Port[[#This Row],[ECL_Interest (CNY)]]*Port[[#This Row],[CNY -&gt; FCY]]</f>
        <v>34.69429664994896</v>
      </c>
      <c r="AD464" s="507">
        <f>Port[[#This Row],[EAD_Drawn (CNY)]]*Port[[#This Row],[CNY -&gt; THB]]</f>
        <v>677221.38115199993</v>
      </c>
      <c r="AE464" s="507">
        <f>Port[[#This Row],[EAD_Undrawn (CNY)]]*Port[[#This Row],[CNY -&gt; THB]]</f>
        <v>0</v>
      </c>
      <c r="AF464" s="507">
        <f>Port[[#This Row],[EAD (CNY)]]*Port[[#This Row],[CNY -&gt; THB]]</f>
        <v>677221.38115199993</v>
      </c>
      <c r="AG464" s="507">
        <f>Port[[#This Row],[EAD_Interest (CNY)]]*Port[[#This Row],[CNY -&gt; THB]]</f>
        <v>9862.9675919999991</v>
      </c>
      <c r="AH464" s="507">
        <f>Port[[#This Row],[ECL_Drawn (CNY)]]*Port[[#This Row],[CNY -&gt; THB]]</f>
        <v>12503.775495253361</v>
      </c>
      <c r="AI464" s="507">
        <f>Port[[#This Row],[ECL_Undrawn (CNY)]]*Port[[#This Row],[CNY -&gt; THB]]</f>
        <v>0</v>
      </c>
      <c r="AJ464" s="507">
        <f>Port[[#This Row],[ECL (CNY)]]*Port[[#This Row],[CNY -&gt; THB]]</f>
        <v>12503.775495253361</v>
      </c>
      <c r="AK464" s="507">
        <f>Port[[#This Row],[ECL_Interest (CNY)]]*Port[[#This Row],[CNY -&gt; THB]]</f>
        <v>182.10342425625211</v>
      </c>
      <c r="AL464" s="507">
        <f>Port[[#This Row],[EAD (THB)]]*Port[[#This Row],[PD_avg]]</f>
        <v>13893.083883614845</v>
      </c>
      <c r="AM464" s="507">
        <f>Port[[#This Row],[EAD_Interest (THB)]]*Port[[#This Row],[PD_avg]]</f>
        <v>202.33713806250231</v>
      </c>
      <c r="AN464" s="507">
        <f>Port[[#This Row],[EAD (THB)]]*Port[[#This Row],[LGD_avg]]</f>
        <v>609499.24303680006</v>
      </c>
      <c r="AO464" s="507">
        <f>Port[[#This Row],[EAD_Interest (THB)]]*Port[[#This Row],[LGD_avg]]</f>
        <v>8876.6708328000022</v>
      </c>
      <c r="AP464" s="507">
        <f>Port[[#This Row],[EAD_Drawn (THB)]]+Port[[#This Row],[EAD_Interest (THB)]]</f>
        <v>687084.34874399996</v>
      </c>
      <c r="AQ46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10158.320717279999</v>
      </c>
      <c r="AR464" s="522">
        <f>MAX(Port[[#This Row],[ECL (THB)]]+Port[[#This Row],[ECL_Interest (THB)]], Port[[#This Row],[ECL CBIRC (THB)]])</f>
        <v>12685.878919509614</v>
      </c>
    </row>
    <row r="465" spans="1:44">
      <c r="A465" s="2" t="s">
        <v>1167</v>
      </c>
      <c r="B465" s="2" t="s">
        <v>1119</v>
      </c>
      <c r="C465" s="2" t="s">
        <v>328</v>
      </c>
      <c r="D465" s="2" t="s">
        <v>18</v>
      </c>
      <c r="E465" s="2" t="s">
        <v>19</v>
      </c>
      <c r="F465" s="2" t="s">
        <v>20</v>
      </c>
      <c r="G465" s="2" t="s">
        <v>21</v>
      </c>
      <c r="H465">
        <v>1</v>
      </c>
      <c r="I465" s="2" t="s">
        <v>526</v>
      </c>
      <c r="J465" s="505">
        <v>2.0514833509807026E-2</v>
      </c>
      <c r="K465" s="505">
        <v>0.90000000000000013</v>
      </c>
      <c r="L465" s="3">
        <v>1</v>
      </c>
      <c r="M465" s="3">
        <v>5.2488000000000001</v>
      </c>
      <c r="N465" s="507">
        <v>215547.33</v>
      </c>
      <c r="O465" s="507">
        <v>0</v>
      </c>
      <c r="P465" s="507">
        <v>215547.33</v>
      </c>
      <c r="Q465" s="507">
        <v>3139.21</v>
      </c>
      <c r="R465" s="507">
        <v>3979.7258295900901</v>
      </c>
      <c r="S465" s="507">
        <v>0</v>
      </c>
      <c r="T465" s="507">
        <v>3979.7258295900901</v>
      </c>
      <c r="U465" s="507">
        <v>57.960333452089188</v>
      </c>
      <c r="V465" s="507">
        <f>Port[[#This Row],[EAD_Drawn (CNY)]]*Port[[#This Row],[CNY -&gt; FCY]]</f>
        <v>215547.33</v>
      </c>
      <c r="W465" s="507">
        <f>Port[[#This Row],[EAD_Undrawn (CNY)]]*Port[[#This Row],[CNY -&gt; FCY]]</f>
        <v>0</v>
      </c>
      <c r="X465" s="507">
        <f>Port[[#This Row],[EAD (CNY)]]*Port[[#This Row],[CNY -&gt; FCY]]</f>
        <v>215547.33</v>
      </c>
      <c r="Y465" s="507">
        <f>Port[[#This Row],[EAD_Interest (CNY)]]*Port[[#This Row],[CNY -&gt; FCY]]</f>
        <v>3139.21</v>
      </c>
      <c r="Z465" s="507">
        <f>Port[[#This Row],[ECL_Drawn (CNY)]]*Port[[#This Row],[CNY -&gt; FCY]]</f>
        <v>3979.7258295900901</v>
      </c>
      <c r="AA465" s="507">
        <f>Port[[#This Row],[ECL_Undrawn (CNY)]]*Port[[#This Row],[CNY -&gt; FCY]]</f>
        <v>0</v>
      </c>
      <c r="AB465" s="507">
        <f>Port[[#This Row],[ECL (CNY)]]*Port[[#This Row],[CNY -&gt; FCY]]</f>
        <v>3979.7258295900901</v>
      </c>
      <c r="AC465" s="507">
        <f>Port[[#This Row],[ECL_Interest (CNY)]]*Port[[#This Row],[CNY -&gt; FCY]]</f>
        <v>57.960333452089188</v>
      </c>
      <c r="AD465" s="507">
        <f>Port[[#This Row],[EAD_Drawn (CNY)]]*Port[[#This Row],[CNY -&gt; THB]]</f>
        <v>1131364.825704</v>
      </c>
      <c r="AE465" s="507">
        <f>Port[[#This Row],[EAD_Undrawn (CNY)]]*Port[[#This Row],[CNY -&gt; THB]]</f>
        <v>0</v>
      </c>
      <c r="AF465" s="507">
        <f>Port[[#This Row],[EAD (CNY)]]*Port[[#This Row],[CNY -&gt; THB]]</f>
        <v>1131364.825704</v>
      </c>
      <c r="AG465" s="507">
        <f>Port[[#This Row],[EAD_Interest (CNY)]]*Port[[#This Row],[CNY -&gt; THB]]</f>
        <v>16477.085448000002</v>
      </c>
      <c r="AH465" s="507">
        <f>Port[[#This Row],[ECL_Drawn (CNY)]]*Port[[#This Row],[CNY -&gt; THB]]</f>
        <v>20888.784934352465</v>
      </c>
      <c r="AI465" s="507">
        <f>Port[[#This Row],[ECL_Undrawn (CNY)]]*Port[[#This Row],[CNY -&gt; THB]]</f>
        <v>0</v>
      </c>
      <c r="AJ465" s="507">
        <f>Port[[#This Row],[ECL (CNY)]]*Port[[#This Row],[CNY -&gt; THB]]</f>
        <v>20888.784934352465</v>
      </c>
      <c r="AK465" s="507">
        <f>Port[[#This Row],[ECL_Interest (CNY)]]*Port[[#This Row],[CNY -&gt; THB]]</f>
        <v>304.22219822332573</v>
      </c>
      <c r="AL465" s="507">
        <f>Port[[#This Row],[EAD (THB)]]*Port[[#This Row],[PD_avg]]</f>
        <v>23209.761038169403</v>
      </c>
      <c r="AM465" s="507">
        <f>Port[[#This Row],[EAD_Interest (THB)]]*Port[[#This Row],[PD_avg]]</f>
        <v>338.02466469258417</v>
      </c>
      <c r="AN465" s="507">
        <f>Port[[#This Row],[EAD (THB)]]*Port[[#This Row],[LGD_avg]]</f>
        <v>1018228.3431336001</v>
      </c>
      <c r="AO465" s="507">
        <f>Port[[#This Row],[EAD_Interest (THB)]]*Port[[#This Row],[LGD_avg]]</f>
        <v>14829.376903200004</v>
      </c>
      <c r="AP465" s="507">
        <f>Port[[#This Row],[EAD_Drawn (THB)]]+Port[[#This Row],[EAD_Interest (THB)]]</f>
        <v>1147841.9111520001</v>
      </c>
      <c r="AQ46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16970.472385559999</v>
      </c>
      <c r="AR465" s="522">
        <f>MAX(Port[[#This Row],[ECL (THB)]]+Port[[#This Row],[ECL_Interest (THB)]], Port[[#This Row],[ECL CBIRC (THB)]])</f>
        <v>21193.007132575789</v>
      </c>
    </row>
    <row r="466" spans="1:44">
      <c r="A466" s="2" t="s">
        <v>1168</v>
      </c>
      <c r="B466" s="2" t="s">
        <v>1169</v>
      </c>
      <c r="C466" s="2" t="s">
        <v>328</v>
      </c>
      <c r="D466" s="2" t="s">
        <v>18</v>
      </c>
      <c r="E466" s="2" t="s">
        <v>19</v>
      </c>
      <c r="F466" s="2" t="s">
        <v>20</v>
      </c>
      <c r="G466" s="2" t="s">
        <v>21</v>
      </c>
      <c r="H466">
        <v>1</v>
      </c>
      <c r="I466" s="2" t="s">
        <v>526</v>
      </c>
      <c r="J466" s="505">
        <v>2.0514833509807026E-2</v>
      </c>
      <c r="K466" s="505">
        <v>0.89999999999999991</v>
      </c>
      <c r="L466" s="3">
        <v>1</v>
      </c>
      <c r="M466" s="3">
        <v>5.2488000000000001</v>
      </c>
      <c r="N466" s="507">
        <v>1107002.56</v>
      </c>
      <c r="O466" s="507">
        <v>0</v>
      </c>
      <c r="P466" s="507">
        <v>1107002.56</v>
      </c>
      <c r="Q466" s="507">
        <v>16122.26</v>
      </c>
      <c r="R466" s="507">
        <v>20438.975891997146</v>
      </c>
      <c r="S466" s="507">
        <v>0</v>
      </c>
      <c r="T466" s="507">
        <v>20438.975891997146</v>
      </c>
      <c r="U466" s="507">
        <v>297.67093173163931</v>
      </c>
      <c r="V466" s="507">
        <f>Port[[#This Row],[EAD_Drawn (CNY)]]*Port[[#This Row],[CNY -&gt; FCY]]</f>
        <v>1107002.56</v>
      </c>
      <c r="W466" s="507">
        <f>Port[[#This Row],[EAD_Undrawn (CNY)]]*Port[[#This Row],[CNY -&gt; FCY]]</f>
        <v>0</v>
      </c>
      <c r="X466" s="507">
        <f>Port[[#This Row],[EAD (CNY)]]*Port[[#This Row],[CNY -&gt; FCY]]</f>
        <v>1107002.56</v>
      </c>
      <c r="Y466" s="507">
        <f>Port[[#This Row],[EAD_Interest (CNY)]]*Port[[#This Row],[CNY -&gt; FCY]]</f>
        <v>16122.26</v>
      </c>
      <c r="Z466" s="507">
        <f>Port[[#This Row],[ECL_Drawn (CNY)]]*Port[[#This Row],[CNY -&gt; FCY]]</f>
        <v>20438.975891997146</v>
      </c>
      <c r="AA466" s="507">
        <f>Port[[#This Row],[ECL_Undrawn (CNY)]]*Port[[#This Row],[CNY -&gt; FCY]]</f>
        <v>0</v>
      </c>
      <c r="AB466" s="507">
        <f>Port[[#This Row],[ECL (CNY)]]*Port[[#This Row],[CNY -&gt; FCY]]</f>
        <v>20438.975891997146</v>
      </c>
      <c r="AC466" s="507">
        <f>Port[[#This Row],[ECL_Interest (CNY)]]*Port[[#This Row],[CNY -&gt; FCY]]</f>
        <v>297.67093173163931</v>
      </c>
      <c r="AD466" s="507">
        <f>Port[[#This Row],[EAD_Drawn (CNY)]]*Port[[#This Row],[CNY -&gt; THB]]</f>
        <v>5810435.0369280009</v>
      </c>
      <c r="AE466" s="507">
        <f>Port[[#This Row],[EAD_Undrawn (CNY)]]*Port[[#This Row],[CNY -&gt; THB]]</f>
        <v>0</v>
      </c>
      <c r="AF466" s="507">
        <f>Port[[#This Row],[EAD (CNY)]]*Port[[#This Row],[CNY -&gt; THB]]</f>
        <v>5810435.0369280009</v>
      </c>
      <c r="AG466" s="507">
        <f>Port[[#This Row],[EAD_Interest (CNY)]]*Port[[#This Row],[CNY -&gt; THB]]</f>
        <v>84622.518288000007</v>
      </c>
      <c r="AH466" s="507">
        <f>Port[[#This Row],[ECL_Drawn (CNY)]]*Port[[#This Row],[CNY -&gt; THB]]</f>
        <v>107280.09666191462</v>
      </c>
      <c r="AI466" s="507">
        <f>Port[[#This Row],[ECL_Undrawn (CNY)]]*Port[[#This Row],[CNY -&gt; THB]]</f>
        <v>0</v>
      </c>
      <c r="AJ466" s="507">
        <f>Port[[#This Row],[ECL (CNY)]]*Port[[#This Row],[CNY -&gt; THB]]</f>
        <v>107280.09666191462</v>
      </c>
      <c r="AK466" s="507">
        <f>Port[[#This Row],[ECL_Interest (CNY)]]*Port[[#This Row],[CNY -&gt; THB]]</f>
        <v>1562.4151864730284</v>
      </c>
      <c r="AL466" s="507">
        <f>Port[[#This Row],[EAD (THB)]]*Port[[#This Row],[PD_avg]]</f>
        <v>119200.10740212738</v>
      </c>
      <c r="AM466" s="507">
        <f>Port[[#This Row],[EAD_Interest (THB)]]*Port[[#This Row],[PD_avg]]</f>
        <v>1736.0168738589205</v>
      </c>
      <c r="AN466" s="507">
        <f>Port[[#This Row],[EAD (THB)]]*Port[[#This Row],[LGD_avg]]</f>
        <v>5229391.5332352007</v>
      </c>
      <c r="AO466" s="507">
        <f>Port[[#This Row],[EAD_Interest (THB)]]*Port[[#This Row],[LGD_avg]]</f>
        <v>76160.266459199993</v>
      </c>
      <c r="AP466" s="507">
        <f>Port[[#This Row],[EAD_Drawn (THB)]]+Port[[#This Row],[EAD_Interest (THB)]]</f>
        <v>5895057.5552160004</v>
      </c>
      <c r="AQ46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87156.525553920015</v>
      </c>
      <c r="AR466" s="522">
        <f>MAX(Port[[#This Row],[ECL (THB)]]+Port[[#This Row],[ECL_Interest (THB)]], Port[[#This Row],[ECL CBIRC (THB)]])</f>
        <v>108842.51184838764</v>
      </c>
    </row>
    <row r="467" spans="1:44">
      <c r="A467" s="2" t="s">
        <v>1170</v>
      </c>
      <c r="B467" s="2" t="s">
        <v>365</v>
      </c>
      <c r="C467" s="2" t="s">
        <v>328</v>
      </c>
      <c r="D467" s="2" t="s">
        <v>18</v>
      </c>
      <c r="E467" s="2" t="s">
        <v>19</v>
      </c>
      <c r="F467" s="2" t="s">
        <v>20</v>
      </c>
      <c r="G467" s="2" t="s">
        <v>21</v>
      </c>
      <c r="H467">
        <v>1</v>
      </c>
      <c r="I467" s="2" t="s">
        <v>526</v>
      </c>
      <c r="J467" s="505">
        <v>2.0514833509807026E-2</v>
      </c>
      <c r="K467" s="505">
        <v>0.90000000000000013</v>
      </c>
      <c r="L467" s="3">
        <v>1</v>
      </c>
      <c r="M467" s="3">
        <v>5.2488000000000001</v>
      </c>
      <c r="N467" s="507">
        <v>54226.63</v>
      </c>
      <c r="O467" s="507">
        <v>0</v>
      </c>
      <c r="P467" s="507">
        <v>54226.63</v>
      </c>
      <c r="Q467" s="507">
        <v>789.75</v>
      </c>
      <c r="R467" s="507">
        <v>1001.2052576231163</v>
      </c>
      <c r="S467" s="507">
        <v>0</v>
      </c>
      <c r="T467" s="507">
        <v>1001.2052576231163</v>
      </c>
      <c r="U467" s="507">
        <v>14.581430787933089</v>
      </c>
      <c r="V467" s="507">
        <f>Port[[#This Row],[EAD_Drawn (CNY)]]*Port[[#This Row],[CNY -&gt; FCY]]</f>
        <v>54226.63</v>
      </c>
      <c r="W467" s="507">
        <f>Port[[#This Row],[EAD_Undrawn (CNY)]]*Port[[#This Row],[CNY -&gt; FCY]]</f>
        <v>0</v>
      </c>
      <c r="X467" s="507">
        <f>Port[[#This Row],[EAD (CNY)]]*Port[[#This Row],[CNY -&gt; FCY]]</f>
        <v>54226.63</v>
      </c>
      <c r="Y467" s="507">
        <f>Port[[#This Row],[EAD_Interest (CNY)]]*Port[[#This Row],[CNY -&gt; FCY]]</f>
        <v>789.75</v>
      </c>
      <c r="Z467" s="507">
        <f>Port[[#This Row],[ECL_Drawn (CNY)]]*Port[[#This Row],[CNY -&gt; FCY]]</f>
        <v>1001.2052576231163</v>
      </c>
      <c r="AA467" s="507">
        <f>Port[[#This Row],[ECL_Undrawn (CNY)]]*Port[[#This Row],[CNY -&gt; FCY]]</f>
        <v>0</v>
      </c>
      <c r="AB467" s="507">
        <f>Port[[#This Row],[ECL (CNY)]]*Port[[#This Row],[CNY -&gt; FCY]]</f>
        <v>1001.2052576231163</v>
      </c>
      <c r="AC467" s="507">
        <f>Port[[#This Row],[ECL_Interest (CNY)]]*Port[[#This Row],[CNY -&gt; FCY]]</f>
        <v>14.581430787933089</v>
      </c>
      <c r="AD467" s="507">
        <f>Port[[#This Row],[EAD_Drawn (CNY)]]*Port[[#This Row],[CNY -&gt; THB]]</f>
        <v>284624.735544</v>
      </c>
      <c r="AE467" s="507">
        <f>Port[[#This Row],[EAD_Undrawn (CNY)]]*Port[[#This Row],[CNY -&gt; THB]]</f>
        <v>0</v>
      </c>
      <c r="AF467" s="507">
        <f>Port[[#This Row],[EAD (CNY)]]*Port[[#This Row],[CNY -&gt; THB]]</f>
        <v>284624.735544</v>
      </c>
      <c r="AG467" s="507">
        <f>Port[[#This Row],[EAD_Interest (CNY)]]*Port[[#This Row],[CNY -&gt; THB]]</f>
        <v>4145.2398000000003</v>
      </c>
      <c r="AH467" s="507">
        <f>Port[[#This Row],[ECL_Drawn (CNY)]]*Port[[#This Row],[CNY -&gt; THB]]</f>
        <v>5255.1261562122127</v>
      </c>
      <c r="AI467" s="507">
        <f>Port[[#This Row],[ECL_Undrawn (CNY)]]*Port[[#This Row],[CNY -&gt; THB]]</f>
        <v>0</v>
      </c>
      <c r="AJ467" s="507">
        <f>Port[[#This Row],[ECL (CNY)]]*Port[[#This Row],[CNY -&gt; THB]]</f>
        <v>5255.1261562122127</v>
      </c>
      <c r="AK467" s="507">
        <f>Port[[#This Row],[ECL_Interest (CNY)]]*Port[[#This Row],[CNY -&gt; THB]]</f>
        <v>76.535013919703204</v>
      </c>
      <c r="AL467" s="507">
        <f>Port[[#This Row],[EAD (THB)]]*Port[[#This Row],[PD_avg]]</f>
        <v>5839.0290624580139</v>
      </c>
      <c r="AM467" s="507">
        <f>Port[[#This Row],[EAD_Interest (THB)]]*Port[[#This Row],[PD_avg]]</f>
        <v>85.038904355225782</v>
      </c>
      <c r="AN467" s="507">
        <f>Port[[#This Row],[EAD (THB)]]*Port[[#This Row],[LGD_avg]]</f>
        <v>256162.26198960003</v>
      </c>
      <c r="AO467" s="507">
        <f>Port[[#This Row],[EAD_Interest (THB)]]*Port[[#This Row],[LGD_avg]]</f>
        <v>3730.7158200000008</v>
      </c>
      <c r="AP467" s="507">
        <f>Port[[#This Row],[EAD_Drawn (THB)]]+Port[[#This Row],[EAD_Interest (THB)]]</f>
        <v>288769.97534399998</v>
      </c>
      <c r="AQ46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4269.3710331599996</v>
      </c>
      <c r="AR467" s="522">
        <f>MAX(Port[[#This Row],[ECL (THB)]]+Port[[#This Row],[ECL_Interest (THB)]], Port[[#This Row],[ECL CBIRC (THB)]])</f>
        <v>5331.6611701319162</v>
      </c>
    </row>
    <row r="468" spans="1:44">
      <c r="A468" s="2" t="s">
        <v>1171</v>
      </c>
      <c r="B468" s="2" t="s">
        <v>363</v>
      </c>
      <c r="C468" s="2" t="s">
        <v>328</v>
      </c>
      <c r="D468" s="2" t="s">
        <v>348</v>
      </c>
      <c r="E468" s="2" t="s">
        <v>19</v>
      </c>
      <c r="F468" s="2" t="s">
        <v>20</v>
      </c>
      <c r="G468" s="2" t="s">
        <v>21</v>
      </c>
      <c r="H468">
        <v>1</v>
      </c>
      <c r="I468" s="2" t="s">
        <v>526</v>
      </c>
      <c r="J468" s="505">
        <v>2.0514833509807026E-2</v>
      </c>
      <c r="K468" s="505">
        <v>0.9</v>
      </c>
      <c r="L468" s="3">
        <v>1</v>
      </c>
      <c r="M468" s="3">
        <v>5.2488000000000001</v>
      </c>
      <c r="N468" s="507">
        <v>109913.29</v>
      </c>
      <c r="O468" s="507">
        <v>0</v>
      </c>
      <c r="P468" s="507">
        <v>109913.29</v>
      </c>
      <c r="Q468" s="507">
        <v>1600.76</v>
      </c>
      <c r="R468" s="507">
        <v>2029.3675603786239</v>
      </c>
      <c r="S468" s="507">
        <v>0</v>
      </c>
      <c r="T468" s="507">
        <v>2029.3675603786239</v>
      </c>
      <c r="U468" s="507">
        <v>29.55539240024283</v>
      </c>
      <c r="V468" s="507">
        <f>Port[[#This Row],[EAD_Drawn (CNY)]]*Port[[#This Row],[CNY -&gt; FCY]]</f>
        <v>109913.29</v>
      </c>
      <c r="W468" s="507">
        <f>Port[[#This Row],[EAD_Undrawn (CNY)]]*Port[[#This Row],[CNY -&gt; FCY]]</f>
        <v>0</v>
      </c>
      <c r="X468" s="507">
        <f>Port[[#This Row],[EAD (CNY)]]*Port[[#This Row],[CNY -&gt; FCY]]</f>
        <v>109913.29</v>
      </c>
      <c r="Y468" s="507">
        <f>Port[[#This Row],[EAD_Interest (CNY)]]*Port[[#This Row],[CNY -&gt; FCY]]</f>
        <v>1600.76</v>
      </c>
      <c r="Z468" s="507">
        <f>Port[[#This Row],[ECL_Drawn (CNY)]]*Port[[#This Row],[CNY -&gt; FCY]]</f>
        <v>2029.3675603786239</v>
      </c>
      <c r="AA468" s="507">
        <f>Port[[#This Row],[ECL_Undrawn (CNY)]]*Port[[#This Row],[CNY -&gt; FCY]]</f>
        <v>0</v>
      </c>
      <c r="AB468" s="507">
        <f>Port[[#This Row],[ECL (CNY)]]*Port[[#This Row],[CNY -&gt; FCY]]</f>
        <v>2029.3675603786239</v>
      </c>
      <c r="AC468" s="507">
        <f>Port[[#This Row],[ECL_Interest (CNY)]]*Port[[#This Row],[CNY -&gt; FCY]]</f>
        <v>29.55539240024283</v>
      </c>
      <c r="AD468" s="507">
        <f>Port[[#This Row],[EAD_Drawn (CNY)]]*Port[[#This Row],[CNY -&gt; THB]]</f>
        <v>576912.87655199994</v>
      </c>
      <c r="AE468" s="507">
        <f>Port[[#This Row],[EAD_Undrawn (CNY)]]*Port[[#This Row],[CNY -&gt; THB]]</f>
        <v>0</v>
      </c>
      <c r="AF468" s="507">
        <f>Port[[#This Row],[EAD (CNY)]]*Port[[#This Row],[CNY -&gt; THB]]</f>
        <v>576912.87655199994</v>
      </c>
      <c r="AG468" s="507">
        <f>Port[[#This Row],[EAD_Interest (CNY)]]*Port[[#This Row],[CNY -&gt; THB]]</f>
        <v>8402.0690880000002</v>
      </c>
      <c r="AH468" s="507">
        <f>Port[[#This Row],[ECL_Drawn (CNY)]]*Port[[#This Row],[CNY -&gt; THB]]</f>
        <v>10651.744450915321</v>
      </c>
      <c r="AI468" s="507">
        <f>Port[[#This Row],[ECL_Undrawn (CNY)]]*Port[[#This Row],[CNY -&gt; THB]]</f>
        <v>0</v>
      </c>
      <c r="AJ468" s="507">
        <f>Port[[#This Row],[ECL (CNY)]]*Port[[#This Row],[CNY -&gt; THB]]</f>
        <v>10651.744450915321</v>
      </c>
      <c r="AK468" s="507">
        <f>Port[[#This Row],[ECL_Interest (CNY)]]*Port[[#This Row],[CNY -&gt; THB]]</f>
        <v>155.13034363039458</v>
      </c>
      <c r="AL468" s="507">
        <f>Port[[#This Row],[EAD (THB)]]*Port[[#This Row],[PD_avg]]</f>
        <v>11835.271612128132</v>
      </c>
      <c r="AM468" s="507">
        <f>Port[[#This Row],[EAD_Interest (THB)]]*Port[[#This Row],[PD_avg]]</f>
        <v>172.36704847821616</v>
      </c>
      <c r="AN468" s="507">
        <f>Port[[#This Row],[EAD (THB)]]*Port[[#This Row],[LGD_avg]]</f>
        <v>519221.58889679995</v>
      </c>
      <c r="AO468" s="507">
        <f>Port[[#This Row],[EAD_Interest (THB)]]*Port[[#This Row],[LGD_avg]]</f>
        <v>7561.8621792000004</v>
      </c>
      <c r="AP468" s="507">
        <f>Port[[#This Row],[EAD_Drawn (THB)]]+Port[[#This Row],[EAD_Interest (THB)]]</f>
        <v>585314.94563999993</v>
      </c>
      <c r="AQ46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8653.6931482799991</v>
      </c>
      <c r="AR468" s="522">
        <f>MAX(Port[[#This Row],[ECL (THB)]]+Port[[#This Row],[ECL_Interest (THB)]], Port[[#This Row],[ECL CBIRC (THB)]])</f>
        <v>10806.874794545716</v>
      </c>
    </row>
    <row r="469" spans="1:44">
      <c r="A469" s="2" t="s">
        <v>1172</v>
      </c>
      <c r="B469" s="2" t="s">
        <v>1117</v>
      </c>
      <c r="C469" s="2" t="s">
        <v>328</v>
      </c>
      <c r="D469" s="2" t="s">
        <v>18</v>
      </c>
      <c r="E469" s="2" t="s">
        <v>19</v>
      </c>
      <c r="F469" s="2" t="s">
        <v>20</v>
      </c>
      <c r="G469" s="2" t="s">
        <v>21</v>
      </c>
      <c r="H469">
        <v>1</v>
      </c>
      <c r="I469" s="2" t="s">
        <v>526</v>
      </c>
      <c r="J469" s="505">
        <v>2.0514833509807026E-2</v>
      </c>
      <c r="K469" s="505">
        <v>0.90000000000000013</v>
      </c>
      <c r="L469" s="3">
        <v>1</v>
      </c>
      <c r="M469" s="3">
        <v>5.2488000000000001</v>
      </c>
      <c r="N469" s="507">
        <v>21276.93</v>
      </c>
      <c r="O469" s="507">
        <v>0</v>
      </c>
      <c r="P469" s="507">
        <v>21276.93</v>
      </c>
      <c r="Q469" s="507">
        <v>309.87</v>
      </c>
      <c r="R469" s="507">
        <v>392.84340889483661</v>
      </c>
      <c r="S469" s="507">
        <v>0</v>
      </c>
      <c r="T469" s="507">
        <v>392.84340889483661</v>
      </c>
      <c r="U469" s="507">
        <v>5.7212383137155127</v>
      </c>
      <c r="V469" s="507">
        <f>Port[[#This Row],[EAD_Drawn (CNY)]]*Port[[#This Row],[CNY -&gt; FCY]]</f>
        <v>21276.93</v>
      </c>
      <c r="W469" s="507">
        <f>Port[[#This Row],[EAD_Undrawn (CNY)]]*Port[[#This Row],[CNY -&gt; FCY]]</f>
        <v>0</v>
      </c>
      <c r="X469" s="507">
        <f>Port[[#This Row],[EAD (CNY)]]*Port[[#This Row],[CNY -&gt; FCY]]</f>
        <v>21276.93</v>
      </c>
      <c r="Y469" s="507">
        <f>Port[[#This Row],[EAD_Interest (CNY)]]*Port[[#This Row],[CNY -&gt; FCY]]</f>
        <v>309.87</v>
      </c>
      <c r="Z469" s="507">
        <f>Port[[#This Row],[ECL_Drawn (CNY)]]*Port[[#This Row],[CNY -&gt; FCY]]</f>
        <v>392.84340889483661</v>
      </c>
      <c r="AA469" s="507">
        <f>Port[[#This Row],[ECL_Undrawn (CNY)]]*Port[[#This Row],[CNY -&gt; FCY]]</f>
        <v>0</v>
      </c>
      <c r="AB469" s="507">
        <f>Port[[#This Row],[ECL (CNY)]]*Port[[#This Row],[CNY -&gt; FCY]]</f>
        <v>392.84340889483661</v>
      </c>
      <c r="AC469" s="507">
        <f>Port[[#This Row],[ECL_Interest (CNY)]]*Port[[#This Row],[CNY -&gt; FCY]]</f>
        <v>5.7212383137155127</v>
      </c>
      <c r="AD469" s="507">
        <f>Port[[#This Row],[EAD_Drawn (CNY)]]*Port[[#This Row],[CNY -&gt; THB]]</f>
        <v>111678.35018400001</v>
      </c>
      <c r="AE469" s="507">
        <f>Port[[#This Row],[EAD_Undrawn (CNY)]]*Port[[#This Row],[CNY -&gt; THB]]</f>
        <v>0</v>
      </c>
      <c r="AF469" s="507">
        <f>Port[[#This Row],[EAD (CNY)]]*Port[[#This Row],[CNY -&gt; THB]]</f>
        <v>111678.35018400001</v>
      </c>
      <c r="AG469" s="507">
        <f>Port[[#This Row],[EAD_Interest (CNY)]]*Port[[#This Row],[CNY -&gt; THB]]</f>
        <v>1626.4456560000001</v>
      </c>
      <c r="AH469" s="507">
        <f>Port[[#This Row],[ECL_Drawn (CNY)]]*Port[[#This Row],[CNY -&gt; THB]]</f>
        <v>2061.9564846072185</v>
      </c>
      <c r="AI469" s="507">
        <f>Port[[#This Row],[ECL_Undrawn (CNY)]]*Port[[#This Row],[CNY -&gt; THB]]</f>
        <v>0</v>
      </c>
      <c r="AJ469" s="507">
        <f>Port[[#This Row],[ECL (CNY)]]*Port[[#This Row],[CNY -&gt; THB]]</f>
        <v>2061.9564846072185</v>
      </c>
      <c r="AK469" s="507">
        <f>Port[[#This Row],[ECL_Interest (CNY)]]*Port[[#This Row],[CNY -&gt; THB]]</f>
        <v>30.029635661029985</v>
      </c>
      <c r="AL469" s="507">
        <f>Port[[#This Row],[EAD (THB)]]*Port[[#This Row],[PD_avg]]</f>
        <v>2291.0627606746871</v>
      </c>
      <c r="AM469" s="507">
        <f>Port[[#This Row],[EAD_Interest (THB)]]*Port[[#This Row],[PD_avg]]</f>
        <v>33.366261845588873</v>
      </c>
      <c r="AN469" s="507">
        <f>Port[[#This Row],[EAD (THB)]]*Port[[#This Row],[LGD_avg]]</f>
        <v>100510.51516560002</v>
      </c>
      <c r="AO469" s="507">
        <f>Port[[#This Row],[EAD_Interest (THB)]]*Port[[#This Row],[LGD_avg]]</f>
        <v>1463.8010904000002</v>
      </c>
      <c r="AP469" s="507">
        <f>Port[[#This Row],[EAD_Drawn (THB)]]+Port[[#This Row],[EAD_Interest (THB)]]</f>
        <v>113304.79584000001</v>
      </c>
      <c r="AQ46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1675.1752527600001</v>
      </c>
      <c r="AR469" s="522">
        <f>MAX(Port[[#This Row],[ECL (THB)]]+Port[[#This Row],[ECL_Interest (THB)]], Port[[#This Row],[ECL CBIRC (THB)]])</f>
        <v>2091.9861202682487</v>
      </c>
    </row>
    <row r="470" spans="1:44">
      <c r="A470" s="2" t="s">
        <v>1173</v>
      </c>
      <c r="B470" s="2" t="s">
        <v>346</v>
      </c>
      <c r="C470" s="2" t="s">
        <v>328</v>
      </c>
      <c r="D470" s="2" t="s">
        <v>18</v>
      </c>
      <c r="E470" s="2" t="s">
        <v>19</v>
      </c>
      <c r="F470" s="2" t="s">
        <v>20</v>
      </c>
      <c r="G470" s="2" t="s">
        <v>21</v>
      </c>
      <c r="H470">
        <v>1</v>
      </c>
      <c r="I470" s="2" t="s">
        <v>526</v>
      </c>
      <c r="J470" s="505">
        <v>2.0514833509807026E-2</v>
      </c>
      <c r="K470" s="505">
        <v>0.90000000000000024</v>
      </c>
      <c r="L470" s="3">
        <v>1</v>
      </c>
      <c r="M470" s="3">
        <v>5.2488000000000001</v>
      </c>
      <c r="N470" s="507">
        <v>4907412</v>
      </c>
      <c r="O470" s="507">
        <v>0</v>
      </c>
      <c r="P470" s="507">
        <v>4907412</v>
      </c>
      <c r="Q470" s="507">
        <v>118882.06</v>
      </c>
      <c r="R470" s="507">
        <v>90607.266129626223</v>
      </c>
      <c r="S470" s="507">
        <v>0</v>
      </c>
      <c r="T470" s="507">
        <v>90607.266129626223</v>
      </c>
      <c r="U470" s="507">
        <v>2194.9611013826006</v>
      </c>
      <c r="V470" s="507">
        <f>Port[[#This Row],[EAD_Drawn (CNY)]]*Port[[#This Row],[CNY -&gt; FCY]]</f>
        <v>4907412</v>
      </c>
      <c r="W470" s="507">
        <f>Port[[#This Row],[EAD_Undrawn (CNY)]]*Port[[#This Row],[CNY -&gt; FCY]]</f>
        <v>0</v>
      </c>
      <c r="X470" s="507">
        <f>Port[[#This Row],[EAD (CNY)]]*Port[[#This Row],[CNY -&gt; FCY]]</f>
        <v>4907412</v>
      </c>
      <c r="Y470" s="507">
        <f>Port[[#This Row],[EAD_Interest (CNY)]]*Port[[#This Row],[CNY -&gt; FCY]]</f>
        <v>118882.06</v>
      </c>
      <c r="Z470" s="507">
        <f>Port[[#This Row],[ECL_Drawn (CNY)]]*Port[[#This Row],[CNY -&gt; FCY]]</f>
        <v>90607.266129626223</v>
      </c>
      <c r="AA470" s="507">
        <f>Port[[#This Row],[ECL_Undrawn (CNY)]]*Port[[#This Row],[CNY -&gt; FCY]]</f>
        <v>0</v>
      </c>
      <c r="AB470" s="507">
        <f>Port[[#This Row],[ECL (CNY)]]*Port[[#This Row],[CNY -&gt; FCY]]</f>
        <v>90607.266129626223</v>
      </c>
      <c r="AC470" s="507">
        <f>Port[[#This Row],[ECL_Interest (CNY)]]*Port[[#This Row],[CNY -&gt; FCY]]</f>
        <v>2194.9611013826006</v>
      </c>
      <c r="AD470" s="507">
        <f>Port[[#This Row],[EAD_Drawn (CNY)]]*Port[[#This Row],[CNY -&gt; THB]]</f>
        <v>25758024.105599999</v>
      </c>
      <c r="AE470" s="507">
        <f>Port[[#This Row],[EAD_Undrawn (CNY)]]*Port[[#This Row],[CNY -&gt; THB]]</f>
        <v>0</v>
      </c>
      <c r="AF470" s="507">
        <f>Port[[#This Row],[EAD (CNY)]]*Port[[#This Row],[CNY -&gt; THB]]</f>
        <v>25758024.105599999</v>
      </c>
      <c r="AG470" s="507">
        <f>Port[[#This Row],[EAD_Interest (CNY)]]*Port[[#This Row],[CNY -&gt; THB]]</f>
        <v>623988.15652800002</v>
      </c>
      <c r="AH470" s="507">
        <f>Port[[#This Row],[ECL_Drawn (CNY)]]*Port[[#This Row],[CNY -&gt; THB]]</f>
        <v>475579.41846118215</v>
      </c>
      <c r="AI470" s="507">
        <f>Port[[#This Row],[ECL_Undrawn (CNY)]]*Port[[#This Row],[CNY -&gt; THB]]</f>
        <v>0</v>
      </c>
      <c r="AJ470" s="507">
        <f>Port[[#This Row],[ECL (CNY)]]*Port[[#This Row],[CNY -&gt; THB]]</f>
        <v>475579.41846118215</v>
      </c>
      <c r="AK470" s="507">
        <f>Port[[#This Row],[ECL_Interest (CNY)]]*Port[[#This Row],[CNY -&gt; THB]]</f>
        <v>11520.911828936994</v>
      </c>
      <c r="AL470" s="507">
        <f>Port[[#This Row],[EAD (THB)]]*Port[[#This Row],[PD_avg]]</f>
        <v>528421.57606798003</v>
      </c>
      <c r="AM470" s="507">
        <f>Port[[#This Row],[EAD_Interest (THB)]]*Port[[#This Row],[PD_avg]]</f>
        <v>12801.013143263326</v>
      </c>
      <c r="AN470" s="507">
        <f>Port[[#This Row],[EAD (THB)]]*Port[[#This Row],[LGD_avg]]</f>
        <v>23182221.695040006</v>
      </c>
      <c r="AO470" s="507">
        <f>Port[[#This Row],[EAD_Interest (THB)]]*Port[[#This Row],[LGD_avg]]</f>
        <v>561589.34087520023</v>
      </c>
      <c r="AP470" s="507">
        <f>Port[[#This Row],[EAD_Drawn (THB)]]+Port[[#This Row],[EAD_Interest (THB)]]</f>
        <v>26382012.262127999</v>
      </c>
      <c r="AQ47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386370.361584</v>
      </c>
      <c r="AR470" s="522">
        <f>MAX(Port[[#This Row],[ECL (THB)]]+Port[[#This Row],[ECL_Interest (THB)]], Port[[#This Row],[ECL CBIRC (THB)]])</f>
        <v>487100.33029011916</v>
      </c>
    </row>
    <row r="471" spans="1:44">
      <c r="A471" s="2" t="s">
        <v>1174</v>
      </c>
      <c r="B471" s="2" t="s">
        <v>377</v>
      </c>
      <c r="C471" s="2" t="s">
        <v>328</v>
      </c>
      <c r="D471" s="2" t="s">
        <v>18</v>
      </c>
      <c r="E471" s="2" t="s">
        <v>19</v>
      </c>
      <c r="F471" s="2" t="s">
        <v>20</v>
      </c>
      <c r="G471" s="2" t="s">
        <v>21</v>
      </c>
      <c r="H471">
        <v>1</v>
      </c>
      <c r="I471" s="2" t="s">
        <v>526</v>
      </c>
      <c r="J471" s="505">
        <v>2.0514833509807026E-2</v>
      </c>
      <c r="K471" s="505">
        <v>0.90000000000000036</v>
      </c>
      <c r="L471" s="3">
        <v>1</v>
      </c>
      <c r="M471" s="3">
        <v>5.2488000000000001</v>
      </c>
      <c r="N471" s="507">
        <v>176871.45</v>
      </c>
      <c r="O471" s="507">
        <v>0</v>
      </c>
      <c r="P471" s="507">
        <v>176871.45</v>
      </c>
      <c r="Q471" s="507">
        <v>2551.86</v>
      </c>
      <c r="R471" s="507">
        <v>3265.6395144493431</v>
      </c>
      <c r="S471" s="507">
        <v>0</v>
      </c>
      <c r="T471" s="507">
        <v>3265.6395144493431</v>
      </c>
      <c r="U471" s="507">
        <v>47.115884736302554</v>
      </c>
      <c r="V471" s="507">
        <f>Port[[#This Row],[EAD_Drawn (CNY)]]*Port[[#This Row],[CNY -&gt; FCY]]</f>
        <v>176871.45</v>
      </c>
      <c r="W471" s="507">
        <f>Port[[#This Row],[EAD_Undrawn (CNY)]]*Port[[#This Row],[CNY -&gt; FCY]]</f>
        <v>0</v>
      </c>
      <c r="X471" s="507">
        <f>Port[[#This Row],[EAD (CNY)]]*Port[[#This Row],[CNY -&gt; FCY]]</f>
        <v>176871.45</v>
      </c>
      <c r="Y471" s="507">
        <f>Port[[#This Row],[EAD_Interest (CNY)]]*Port[[#This Row],[CNY -&gt; FCY]]</f>
        <v>2551.86</v>
      </c>
      <c r="Z471" s="507">
        <f>Port[[#This Row],[ECL_Drawn (CNY)]]*Port[[#This Row],[CNY -&gt; FCY]]</f>
        <v>3265.6395144493431</v>
      </c>
      <c r="AA471" s="507">
        <f>Port[[#This Row],[ECL_Undrawn (CNY)]]*Port[[#This Row],[CNY -&gt; FCY]]</f>
        <v>0</v>
      </c>
      <c r="AB471" s="507">
        <f>Port[[#This Row],[ECL (CNY)]]*Port[[#This Row],[CNY -&gt; FCY]]</f>
        <v>3265.6395144493431</v>
      </c>
      <c r="AC471" s="507">
        <f>Port[[#This Row],[ECL_Interest (CNY)]]*Port[[#This Row],[CNY -&gt; FCY]]</f>
        <v>47.115884736302554</v>
      </c>
      <c r="AD471" s="507">
        <f>Port[[#This Row],[EAD_Drawn (CNY)]]*Port[[#This Row],[CNY -&gt; THB]]</f>
        <v>928362.86676000012</v>
      </c>
      <c r="AE471" s="507">
        <f>Port[[#This Row],[EAD_Undrawn (CNY)]]*Port[[#This Row],[CNY -&gt; THB]]</f>
        <v>0</v>
      </c>
      <c r="AF471" s="507">
        <f>Port[[#This Row],[EAD (CNY)]]*Port[[#This Row],[CNY -&gt; THB]]</f>
        <v>928362.86676000012</v>
      </c>
      <c r="AG471" s="507">
        <f>Port[[#This Row],[EAD_Interest (CNY)]]*Port[[#This Row],[CNY -&gt; THB]]</f>
        <v>13394.202768000001</v>
      </c>
      <c r="AH471" s="507">
        <f>Port[[#This Row],[ECL_Drawn (CNY)]]*Port[[#This Row],[CNY -&gt; THB]]</f>
        <v>17140.688683441713</v>
      </c>
      <c r="AI471" s="507">
        <f>Port[[#This Row],[ECL_Undrawn (CNY)]]*Port[[#This Row],[CNY -&gt; THB]]</f>
        <v>0</v>
      </c>
      <c r="AJ471" s="507">
        <f>Port[[#This Row],[ECL (CNY)]]*Port[[#This Row],[CNY -&gt; THB]]</f>
        <v>17140.688683441713</v>
      </c>
      <c r="AK471" s="507">
        <f>Port[[#This Row],[ECL_Interest (CNY)]]*Port[[#This Row],[CNY -&gt; THB]]</f>
        <v>247.30185580390486</v>
      </c>
      <c r="AL471" s="507">
        <f>Port[[#This Row],[EAD (THB)]]*Port[[#This Row],[PD_avg]]</f>
        <v>19045.209648268567</v>
      </c>
      <c r="AM471" s="507">
        <f>Port[[#This Row],[EAD_Interest (THB)]]*Port[[#This Row],[PD_avg]]</f>
        <v>274.77983978211643</v>
      </c>
      <c r="AN471" s="507">
        <f>Port[[#This Row],[EAD (THB)]]*Port[[#This Row],[LGD_avg]]</f>
        <v>835526.58008400048</v>
      </c>
      <c r="AO471" s="507">
        <f>Port[[#This Row],[EAD_Interest (THB)]]*Port[[#This Row],[LGD_avg]]</f>
        <v>12054.782491200005</v>
      </c>
      <c r="AP471" s="507">
        <f>Port[[#This Row],[EAD_Drawn (THB)]]+Port[[#This Row],[EAD_Interest (THB)]]</f>
        <v>941757.06952800008</v>
      </c>
      <c r="AQ47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13925.443001400001</v>
      </c>
      <c r="AR471" s="522">
        <f>MAX(Port[[#This Row],[ECL (THB)]]+Port[[#This Row],[ECL_Interest (THB)]], Port[[#This Row],[ECL CBIRC (THB)]])</f>
        <v>17387.990539245617</v>
      </c>
    </row>
    <row r="472" spans="1:44">
      <c r="A472" s="2" t="s">
        <v>1175</v>
      </c>
      <c r="B472" s="2" t="s">
        <v>1096</v>
      </c>
      <c r="C472" s="2" t="s">
        <v>328</v>
      </c>
      <c r="D472" s="2" t="s">
        <v>18</v>
      </c>
      <c r="E472" s="2" t="s">
        <v>19</v>
      </c>
      <c r="F472" s="2" t="s">
        <v>20</v>
      </c>
      <c r="G472" s="2" t="s">
        <v>21</v>
      </c>
      <c r="H472">
        <v>1</v>
      </c>
      <c r="I472" s="2" t="s">
        <v>526</v>
      </c>
      <c r="J472" s="505">
        <v>2.0514833509807026E-2</v>
      </c>
      <c r="K472" s="505">
        <v>0.90000000000000013</v>
      </c>
      <c r="L472" s="3">
        <v>1</v>
      </c>
      <c r="M472" s="3">
        <v>5.2488000000000001</v>
      </c>
      <c r="N472" s="507">
        <v>240484.38</v>
      </c>
      <c r="O472" s="507">
        <v>0</v>
      </c>
      <c r="P472" s="507">
        <v>240484.38</v>
      </c>
      <c r="Q472" s="507">
        <v>3502.39</v>
      </c>
      <c r="R472" s="507">
        <v>4440.1473156682505</v>
      </c>
      <c r="S472" s="507">
        <v>0</v>
      </c>
      <c r="T472" s="507">
        <v>4440.1473156682505</v>
      </c>
      <c r="U472" s="507">
        <v>64.665852962771723</v>
      </c>
      <c r="V472" s="507">
        <f>Port[[#This Row],[EAD_Drawn (CNY)]]*Port[[#This Row],[CNY -&gt; FCY]]</f>
        <v>240484.38</v>
      </c>
      <c r="W472" s="507">
        <f>Port[[#This Row],[EAD_Undrawn (CNY)]]*Port[[#This Row],[CNY -&gt; FCY]]</f>
        <v>0</v>
      </c>
      <c r="X472" s="507">
        <f>Port[[#This Row],[EAD (CNY)]]*Port[[#This Row],[CNY -&gt; FCY]]</f>
        <v>240484.38</v>
      </c>
      <c r="Y472" s="507">
        <f>Port[[#This Row],[EAD_Interest (CNY)]]*Port[[#This Row],[CNY -&gt; FCY]]</f>
        <v>3502.39</v>
      </c>
      <c r="Z472" s="507">
        <f>Port[[#This Row],[ECL_Drawn (CNY)]]*Port[[#This Row],[CNY -&gt; FCY]]</f>
        <v>4440.1473156682505</v>
      </c>
      <c r="AA472" s="507">
        <f>Port[[#This Row],[ECL_Undrawn (CNY)]]*Port[[#This Row],[CNY -&gt; FCY]]</f>
        <v>0</v>
      </c>
      <c r="AB472" s="507">
        <f>Port[[#This Row],[ECL (CNY)]]*Port[[#This Row],[CNY -&gt; FCY]]</f>
        <v>4440.1473156682505</v>
      </c>
      <c r="AC472" s="507">
        <f>Port[[#This Row],[ECL_Interest (CNY)]]*Port[[#This Row],[CNY -&gt; FCY]]</f>
        <v>64.665852962771723</v>
      </c>
      <c r="AD472" s="507">
        <f>Port[[#This Row],[EAD_Drawn (CNY)]]*Port[[#This Row],[CNY -&gt; THB]]</f>
        <v>1262254.413744</v>
      </c>
      <c r="AE472" s="507">
        <f>Port[[#This Row],[EAD_Undrawn (CNY)]]*Port[[#This Row],[CNY -&gt; THB]]</f>
        <v>0</v>
      </c>
      <c r="AF472" s="507">
        <f>Port[[#This Row],[EAD (CNY)]]*Port[[#This Row],[CNY -&gt; THB]]</f>
        <v>1262254.413744</v>
      </c>
      <c r="AG472" s="507">
        <f>Port[[#This Row],[EAD_Interest (CNY)]]*Port[[#This Row],[CNY -&gt; THB]]</f>
        <v>18383.344632</v>
      </c>
      <c r="AH472" s="507">
        <f>Port[[#This Row],[ECL_Drawn (CNY)]]*Port[[#This Row],[CNY -&gt; THB]]</f>
        <v>23305.445230479512</v>
      </c>
      <c r="AI472" s="507">
        <f>Port[[#This Row],[ECL_Undrawn (CNY)]]*Port[[#This Row],[CNY -&gt; THB]]</f>
        <v>0</v>
      </c>
      <c r="AJ472" s="507">
        <f>Port[[#This Row],[ECL (CNY)]]*Port[[#This Row],[CNY -&gt; THB]]</f>
        <v>23305.445230479512</v>
      </c>
      <c r="AK472" s="507">
        <f>Port[[#This Row],[ECL_Interest (CNY)]]*Port[[#This Row],[CNY -&gt; THB]]</f>
        <v>339.41812903099623</v>
      </c>
      <c r="AL472" s="507">
        <f>Port[[#This Row],[EAD (THB)]]*Port[[#This Row],[PD_avg]]</f>
        <v>25894.939144977234</v>
      </c>
      <c r="AM472" s="507">
        <f>Port[[#This Row],[EAD_Interest (THB)]]*Port[[#This Row],[PD_avg]]</f>
        <v>377.13125447888473</v>
      </c>
      <c r="AN472" s="507">
        <f>Port[[#This Row],[EAD (THB)]]*Port[[#This Row],[LGD_avg]]</f>
        <v>1136028.9723696001</v>
      </c>
      <c r="AO472" s="507">
        <f>Port[[#This Row],[EAD_Interest (THB)]]*Port[[#This Row],[LGD_avg]]</f>
        <v>16545.010168800003</v>
      </c>
      <c r="AP472" s="507">
        <f>Port[[#This Row],[EAD_Drawn (THB)]]+Port[[#This Row],[EAD_Interest (THB)]]</f>
        <v>1280637.758376</v>
      </c>
      <c r="AQ47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18933.816206159998</v>
      </c>
      <c r="AR472" s="522">
        <f>MAX(Port[[#This Row],[ECL (THB)]]+Port[[#This Row],[ECL_Interest (THB)]], Port[[#This Row],[ECL CBIRC (THB)]])</f>
        <v>23644.863359510509</v>
      </c>
    </row>
    <row r="473" spans="1:44">
      <c r="A473" s="2" t="s">
        <v>1176</v>
      </c>
      <c r="B473" s="2" t="s">
        <v>361</v>
      </c>
      <c r="C473" s="2" t="s">
        <v>328</v>
      </c>
      <c r="D473" s="2" t="s">
        <v>18</v>
      </c>
      <c r="E473" s="2" t="s">
        <v>19</v>
      </c>
      <c r="F473" s="2" t="s">
        <v>20</v>
      </c>
      <c r="G473" s="2" t="s">
        <v>21</v>
      </c>
      <c r="H473">
        <v>1</v>
      </c>
      <c r="I473" s="2" t="s">
        <v>526</v>
      </c>
      <c r="J473" s="505">
        <v>2.0514833509807026E-2</v>
      </c>
      <c r="K473" s="505">
        <v>0.9</v>
      </c>
      <c r="L473" s="3">
        <v>1</v>
      </c>
      <c r="M473" s="3">
        <v>5.2488000000000001</v>
      </c>
      <c r="N473" s="507">
        <v>83807.13</v>
      </c>
      <c r="O473" s="507">
        <v>0</v>
      </c>
      <c r="P473" s="507">
        <v>83807.13</v>
      </c>
      <c r="Q473" s="507">
        <v>1209.1500000000001</v>
      </c>
      <c r="R473" s="507">
        <v>1547.3603869962785</v>
      </c>
      <c r="S473" s="507">
        <v>0</v>
      </c>
      <c r="T473" s="507">
        <v>1547.3603869962785</v>
      </c>
      <c r="U473" s="507">
        <v>22.324959844544853</v>
      </c>
      <c r="V473" s="507">
        <f>Port[[#This Row],[EAD_Drawn (CNY)]]*Port[[#This Row],[CNY -&gt; FCY]]</f>
        <v>83807.13</v>
      </c>
      <c r="W473" s="507">
        <f>Port[[#This Row],[EAD_Undrawn (CNY)]]*Port[[#This Row],[CNY -&gt; FCY]]</f>
        <v>0</v>
      </c>
      <c r="X473" s="507">
        <f>Port[[#This Row],[EAD (CNY)]]*Port[[#This Row],[CNY -&gt; FCY]]</f>
        <v>83807.13</v>
      </c>
      <c r="Y473" s="507">
        <f>Port[[#This Row],[EAD_Interest (CNY)]]*Port[[#This Row],[CNY -&gt; FCY]]</f>
        <v>1209.1500000000001</v>
      </c>
      <c r="Z473" s="507">
        <f>Port[[#This Row],[ECL_Drawn (CNY)]]*Port[[#This Row],[CNY -&gt; FCY]]</f>
        <v>1547.3603869962785</v>
      </c>
      <c r="AA473" s="507">
        <f>Port[[#This Row],[ECL_Undrawn (CNY)]]*Port[[#This Row],[CNY -&gt; FCY]]</f>
        <v>0</v>
      </c>
      <c r="AB473" s="507">
        <f>Port[[#This Row],[ECL (CNY)]]*Port[[#This Row],[CNY -&gt; FCY]]</f>
        <v>1547.3603869962785</v>
      </c>
      <c r="AC473" s="507">
        <f>Port[[#This Row],[ECL_Interest (CNY)]]*Port[[#This Row],[CNY -&gt; FCY]]</f>
        <v>22.324959844544853</v>
      </c>
      <c r="AD473" s="507">
        <f>Port[[#This Row],[EAD_Drawn (CNY)]]*Port[[#This Row],[CNY -&gt; THB]]</f>
        <v>439886.86394400004</v>
      </c>
      <c r="AE473" s="507">
        <f>Port[[#This Row],[EAD_Undrawn (CNY)]]*Port[[#This Row],[CNY -&gt; THB]]</f>
        <v>0</v>
      </c>
      <c r="AF473" s="507">
        <f>Port[[#This Row],[EAD (CNY)]]*Port[[#This Row],[CNY -&gt; THB]]</f>
        <v>439886.86394400004</v>
      </c>
      <c r="AG473" s="507">
        <f>Port[[#This Row],[EAD_Interest (CNY)]]*Port[[#This Row],[CNY -&gt; THB]]</f>
        <v>6346.5865200000007</v>
      </c>
      <c r="AH473" s="507">
        <f>Port[[#This Row],[ECL_Drawn (CNY)]]*Port[[#This Row],[CNY -&gt; THB]]</f>
        <v>8121.7851992660671</v>
      </c>
      <c r="AI473" s="507">
        <f>Port[[#This Row],[ECL_Undrawn (CNY)]]*Port[[#This Row],[CNY -&gt; THB]]</f>
        <v>0</v>
      </c>
      <c r="AJ473" s="507">
        <f>Port[[#This Row],[ECL (CNY)]]*Port[[#This Row],[CNY -&gt; THB]]</f>
        <v>8121.7851992660671</v>
      </c>
      <c r="AK473" s="507">
        <f>Port[[#This Row],[ECL_Interest (CNY)]]*Port[[#This Row],[CNY -&gt; THB]]</f>
        <v>117.17924923204703</v>
      </c>
      <c r="AL473" s="507">
        <f>Port[[#This Row],[EAD (THB)]]*Port[[#This Row],[PD_avg]]</f>
        <v>9024.205776962297</v>
      </c>
      <c r="AM473" s="507">
        <f>Port[[#This Row],[EAD_Interest (THB)]]*Port[[#This Row],[PD_avg]]</f>
        <v>130.19916581338558</v>
      </c>
      <c r="AN473" s="507">
        <f>Port[[#This Row],[EAD (THB)]]*Port[[#This Row],[LGD_avg]]</f>
        <v>395898.17754960002</v>
      </c>
      <c r="AO473" s="507">
        <f>Port[[#This Row],[EAD_Interest (THB)]]*Port[[#This Row],[LGD_avg]]</f>
        <v>5711.9278680000007</v>
      </c>
      <c r="AP473" s="507">
        <f>Port[[#This Row],[EAD_Drawn (THB)]]+Port[[#This Row],[EAD_Interest (THB)]]</f>
        <v>446233.45046400005</v>
      </c>
      <c r="AQ47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6598.3029591600007</v>
      </c>
      <c r="AR473" s="522">
        <f>MAX(Port[[#This Row],[ECL (THB)]]+Port[[#This Row],[ECL_Interest (THB)]], Port[[#This Row],[ECL CBIRC (THB)]])</f>
        <v>8238.9644484981145</v>
      </c>
    </row>
    <row r="474" spans="1:44">
      <c r="A474" s="2" t="s">
        <v>1177</v>
      </c>
      <c r="B474" s="2" t="s">
        <v>361</v>
      </c>
      <c r="C474" s="2" t="s">
        <v>328</v>
      </c>
      <c r="D474" s="2" t="s">
        <v>18</v>
      </c>
      <c r="E474" s="2" t="s">
        <v>19</v>
      </c>
      <c r="F474" s="2" t="s">
        <v>20</v>
      </c>
      <c r="G474" s="2" t="s">
        <v>21</v>
      </c>
      <c r="H474">
        <v>1</v>
      </c>
      <c r="I474" s="2" t="s">
        <v>526</v>
      </c>
      <c r="J474" s="505">
        <v>2.0514833509807026E-2</v>
      </c>
      <c r="K474" s="505">
        <v>0.9</v>
      </c>
      <c r="L474" s="3">
        <v>1</v>
      </c>
      <c r="M474" s="3">
        <v>5.2488000000000001</v>
      </c>
      <c r="N474" s="507">
        <v>82176.78</v>
      </c>
      <c r="O474" s="507">
        <v>0</v>
      </c>
      <c r="P474" s="507">
        <v>82176.78</v>
      </c>
      <c r="Q474" s="507">
        <v>1185.6300000000001</v>
      </c>
      <c r="R474" s="507">
        <v>1517.258664064836</v>
      </c>
      <c r="S474" s="507">
        <v>0</v>
      </c>
      <c r="T474" s="507">
        <v>1517.258664064836</v>
      </c>
      <c r="U474" s="507">
        <v>21.890701848809258</v>
      </c>
      <c r="V474" s="507">
        <f>Port[[#This Row],[EAD_Drawn (CNY)]]*Port[[#This Row],[CNY -&gt; FCY]]</f>
        <v>82176.78</v>
      </c>
      <c r="W474" s="507">
        <f>Port[[#This Row],[EAD_Undrawn (CNY)]]*Port[[#This Row],[CNY -&gt; FCY]]</f>
        <v>0</v>
      </c>
      <c r="X474" s="507">
        <f>Port[[#This Row],[EAD (CNY)]]*Port[[#This Row],[CNY -&gt; FCY]]</f>
        <v>82176.78</v>
      </c>
      <c r="Y474" s="507">
        <f>Port[[#This Row],[EAD_Interest (CNY)]]*Port[[#This Row],[CNY -&gt; FCY]]</f>
        <v>1185.6300000000001</v>
      </c>
      <c r="Z474" s="507">
        <f>Port[[#This Row],[ECL_Drawn (CNY)]]*Port[[#This Row],[CNY -&gt; FCY]]</f>
        <v>1517.258664064836</v>
      </c>
      <c r="AA474" s="507">
        <f>Port[[#This Row],[ECL_Undrawn (CNY)]]*Port[[#This Row],[CNY -&gt; FCY]]</f>
        <v>0</v>
      </c>
      <c r="AB474" s="507">
        <f>Port[[#This Row],[ECL (CNY)]]*Port[[#This Row],[CNY -&gt; FCY]]</f>
        <v>1517.258664064836</v>
      </c>
      <c r="AC474" s="507">
        <f>Port[[#This Row],[ECL_Interest (CNY)]]*Port[[#This Row],[CNY -&gt; FCY]]</f>
        <v>21.890701848809258</v>
      </c>
      <c r="AD474" s="507">
        <f>Port[[#This Row],[EAD_Drawn (CNY)]]*Port[[#This Row],[CNY -&gt; THB]]</f>
        <v>431329.48286400002</v>
      </c>
      <c r="AE474" s="507">
        <f>Port[[#This Row],[EAD_Undrawn (CNY)]]*Port[[#This Row],[CNY -&gt; THB]]</f>
        <v>0</v>
      </c>
      <c r="AF474" s="507">
        <f>Port[[#This Row],[EAD (CNY)]]*Port[[#This Row],[CNY -&gt; THB]]</f>
        <v>431329.48286400002</v>
      </c>
      <c r="AG474" s="507">
        <f>Port[[#This Row],[EAD_Interest (CNY)]]*Port[[#This Row],[CNY -&gt; THB]]</f>
        <v>6223.1347440000009</v>
      </c>
      <c r="AH474" s="507">
        <f>Port[[#This Row],[ECL_Drawn (CNY)]]*Port[[#This Row],[CNY -&gt; THB]]</f>
        <v>7963.7872759435113</v>
      </c>
      <c r="AI474" s="507">
        <f>Port[[#This Row],[ECL_Undrawn (CNY)]]*Port[[#This Row],[CNY -&gt; THB]]</f>
        <v>0</v>
      </c>
      <c r="AJ474" s="507">
        <f>Port[[#This Row],[ECL (CNY)]]*Port[[#This Row],[CNY -&gt; THB]]</f>
        <v>7963.7872759435113</v>
      </c>
      <c r="AK474" s="507">
        <f>Port[[#This Row],[ECL_Interest (CNY)]]*Port[[#This Row],[CNY -&gt; THB]]</f>
        <v>114.89991586403004</v>
      </c>
      <c r="AL474" s="507">
        <f>Port[[#This Row],[EAD (THB)]]*Port[[#This Row],[PD_avg]]</f>
        <v>8848.6525288261237</v>
      </c>
      <c r="AM474" s="507">
        <f>Port[[#This Row],[EAD_Interest (THB)]]*Port[[#This Row],[PD_avg]]</f>
        <v>127.66657318225559</v>
      </c>
      <c r="AN474" s="507">
        <f>Port[[#This Row],[EAD (THB)]]*Port[[#This Row],[LGD_avg]]</f>
        <v>388196.53457760002</v>
      </c>
      <c r="AO474" s="507">
        <f>Port[[#This Row],[EAD_Interest (THB)]]*Port[[#This Row],[LGD_avg]]</f>
        <v>5600.821269600001</v>
      </c>
      <c r="AP474" s="507">
        <f>Port[[#This Row],[EAD_Drawn (THB)]]+Port[[#This Row],[EAD_Interest (THB)]]</f>
        <v>437552.617608</v>
      </c>
      <c r="AQ47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6469.9422429599999</v>
      </c>
      <c r="AR474" s="522">
        <f>MAX(Port[[#This Row],[ECL (THB)]]+Port[[#This Row],[ECL_Interest (THB)]], Port[[#This Row],[ECL CBIRC (THB)]])</f>
        <v>8078.6871918075412</v>
      </c>
    </row>
    <row r="475" spans="1:44">
      <c r="A475" s="2" t="s">
        <v>1178</v>
      </c>
      <c r="B475" s="2" t="s">
        <v>1091</v>
      </c>
      <c r="C475" s="2" t="s">
        <v>328</v>
      </c>
      <c r="D475" s="2" t="s">
        <v>18</v>
      </c>
      <c r="E475" s="2" t="s">
        <v>19</v>
      </c>
      <c r="F475" s="2" t="s">
        <v>20</v>
      </c>
      <c r="G475" s="2" t="s">
        <v>21</v>
      </c>
      <c r="H475">
        <v>1</v>
      </c>
      <c r="I475" s="2" t="s">
        <v>526</v>
      </c>
      <c r="J475" s="505">
        <v>2.0514833509807026E-2</v>
      </c>
      <c r="K475" s="505">
        <v>0.90000000000000013</v>
      </c>
      <c r="L475" s="3">
        <v>1</v>
      </c>
      <c r="M475" s="3">
        <v>5.2488000000000001</v>
      </c>
      <c r="N475" s="507">
        <v>24304.91</v>
      </c>
      <c r="O475" s="507">
        <v>0</v>
      </c>
      <c r="P475" s="507">
        <v>24304.91</v>
      </c>
      <c r="Q475" s="507">
        <v>350.67</v>
      </c>
      <c r="R475" s="507">
        <v>448.75006390875956</v>
      </c>
      <c r="S475" s="507">
        <v>0</v>
      </c>
      <c r="T475" s="507">
        <v>448.75006390875956</v>
      </c>
      <c r="U475" s="507">
        <v>6.4745430001956281</v>
      </c>
      <c r="V475" s="507">
        <f>Port[[#This Row],[EAD_Drawn (CNY)]]*Port[[#This Row],[CNY -&gt; FCY]]</f>
        <v>24304.91</v>
      </c>
      <c r="W475" s="507">
        <f>Port[[#This Row],[EAD_Undrawn (CNY)]]*Port[[#This Row],[CNY -&gt; FCY]]</f>
        <v>0</v>
      </c>
      <c r="X475" s="507">
        <f>Port[[#This Row],[EAD (CNY)]]*Port[[#This Row],[CNY -&gt; FCY]]</f>
        <v>24304.91</v>
      </c>
      <c r="Y475" s="507">
        <f>Port[[#This Row],[EAD_Interest (CNY)]]*Port[[#This Row],[CNY -&gt; FCY]]</f>
        <v>350.67</v>
      </c>
      <c r="Z475" s="507">
        <f>Port[[#This Row],[ECL_Drawn (CNY)]]*Port[[#This Row],[CNY -&gt; FCY]]</f>
        <v>448.75006390875956</v>
      </c>
      <c r="AA475" s="507">
        <f>Port[[#This Row],[ECL_Undrawn (CNY)]]*Port[[#This Row],[CNY -&gt; FCY]]</f>
        <v>0</v>
      </c>
      <c r="AB475" s="507">
        <f>Port[[#This Row],[ECL (CNY)]]*Port[[#This Row],[CNY -&gt; FCY]]</f>
        <v>448.75006390875956</v>
      </c>
      <c r="AC475" s="507">
        <f>Port[[#This Row],[ECL_Interest (CNY)]]*Port[[#This Row],[CNY -&gt; FCY]]</f>
        <v>6.4745430001956281</v>
      </c>
      <c r="AD475" s="507">
        <f>Port[[#This Row],[EAD_Drawn (CNY)]]*Port[[#This Row],[CNY -&gt; THB]]</f>
        <v>127571.61160800001</v>
      </c>
      <c r="AE475" s="507">
        <f>Port[[#This Row],[EAD_Undrawn (CNY)]]*Port[[#This Row],[CNY -&gt; THB]]</f>
        <v>0</v>
      </c>
      <c r="AF475" s="507">
        <f>Port[[#This Row],[EAD (CNY)]]*Port[[#This Row],[CNY -&gt; THB]]</f>
        <v>127571.61160800001</v>
      </c>
      <c r="AG475" s="507">
        <f>Port[[#This Row],[EAD_Interest (CNY)]]*Port[[#This Row],[CNY -&gt; THB]]</f>
        <v>1840.5966960000001</v>
      </c>
      <c r="AH475" s="507">
        <f>Port[[#This Row],[ECL_Drawn (CNY)]]*Port[[#This Row],[CNY -&gt; THB]]</f>
        <v>2355.3993354442973</v>
      </c>
      <c r="AI475" s="507">
        <f>Port[[#This Row],[ECL_Undrawn (CNY)]]*Port[[#This Row],[CNY -&gt; THB]]</f>
        <v>0</v>
      </c>
      <c r="AJ475" s="507">
        <f>Port[[#This Row],[ECL (CNY)]]*Port[[#This Row],[CNY -&gt; THB]]</f>
        <v>2355.3993354442973</v>
      </c>
      <c r="AK475" s="507">
        <f>Port[[#This Row],[ECL_Interest (CNY)]]*Port[[#This Row],[CNY -&gt; THB]]</f>
        <v>33.983581299426817</v>
      </c>
      <c r="AL475" s="507">
        <f>Port[[#This Row],[EAD (THB)]]*Port[[#This Row],[PD_avg]]</f>
        <v>2617.1103727158857</v>
      </c>
      <c r="AM475" s="507">
        <f>Port[[#This Row],[EAD_Interest (THB)]]*Port[[#This Row],[PD_avg]]</f>
        <v>37.7595347771409</v>
      </c>
      <c r="AN475" s="507">
        <f>Port[[#This Row],[EAD (THB)]]*Port[[#This Row],[LGD_avg]]</f>
        <v>114814.45044720003</v>
      </c>
      <c r="AO475" s="507">
        <f>Port[[#This Row],[EAD_Interest (THB)]]*Port[[#This Row],[LGD_avg]]</f>
        <v>1656.5370264000003</v>
      </c>
      <c r="AP475" s="507">
        <f>Port[[#This Row],[EAD_Drawn (THB)]]+Port[[#This Row],[EAD_Interest (THB)]]</f>
        <v>129412.208304</v>
      </c>
      <c r="AQ47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1913.57417412</v>
      </c>
      <c r="AR475" s="522">
        <f>MAX(Port[[#This Row],[ECL (THB)]]+Port[[#This Row],[ECL_Interest (THB)]], Port[[#This Row],[ECL CBIRC (THB)]])</f>
        <v>2389.3829167437243</v>
      </c>
    </row>
    <row r="476" spans="1:44">
      <c r="A476" s="2" t="s">
        <v>1179</v>
      </c>
      <c r="B476" s="2" t="s">
        <v>376</v>
      </c>
      <c r="C476" s="2" t="s">
        <v>328</v>
      </c>
      <c r="D476" s="2" t="s">
        <v>18</v>
      </c>
      <c r="E476" s="2" t="s">
        <v>19</v>
      </c>
      <c r="F476" s="2" t="s">
        <v>20</v>
      </c>
      <c r="G476" s="2" t="s">
        <v>21</v>
      </c>
      <c r="H476">
        <v>1</v>
      </c>
      <c r="I476" s="2" t="s">
        <v>526</v>
      </c>
      <c r="J476" s="505">
        <v>2.0514833509807026E-2</v>
      </c>
      <c r="K476" s="505">
        <v>0.89999999999999991</v>
      </c>
      <c r="L476" s="3">
        <v>1</v>
      </c>
      <c r="M476" s="3">
        <v>5.2488000000000001</v>
      </c>
      <c r="N476" s="507">
        <v>86907.66</v>
      </c>
      <c r="O476" s="507">
        <v>0</v>
      </c>
      <c r="P476" s="507">
        <v>86907.66</v>
      </c>
      <c r="Q476" s="507">
        <v>1253.8800000000001</v>
      </c>
      <c r="R476" s="507">
        <v>1604.6065580642241</v>
      </c>
      <c r="S476" s="507">
        <v>0</v>
      </c>
      <c r="T476" s="507">
        <v>1604.6065580642241</v>
      </c>
      <c r="U476" s="507">
        <v>23.150825497149153</v>
      </c>
      <c r="V476" s="507">
        <f>Port[[#This Row],[EAD_Drawn (CNY)]]*Port[[#This Row],[CNY -&gt; FCY]]</f>
        <v>86907.66</v>
      </c>
      <c r="W476" s="507">
        <f>Port[[#This Row],[EAD_Undrawn (CNY)]]*Port[[#This Row],[CNY -&gt; FCY]]</f>
        <v>0</v>
      </c>
      <c r="X476" s="507">
        <f>Port[[#This Row],[EAD (CNY)]]*Port[[#This Row],[CNY -&gt; FCY]]</f>
        <v>86907.66</v>
      </c>
      <c r="Y476" s="507">
        <f>Port[[#This Row],[EAD_Interest (CNY)]]*Port[[#This Row],[CNY -&gt; FCY]]</f>
        <v>1253.8800000000001</v>
      </c>
      <c r="Z476" s="507">
        <f>Port[[#This Row],[ECL_Drawn (CNY)]]*Port[[#This Row],[CNY -&gt; FCY]]</f>
        <v>1604.6065580642241</v>
      </c>
      <c r="AA476" s="507">
        <f>Port[[#This Row],[ECL_Undrawn (CNY)]]*Port[[#This Row],[CNY -&gt; FCY]]</f>
        <v>0</v>
      </c>
      <c r="AB476" s="507">
        <f>Port[[#This Row],[ECL (CNY)]]*Port[[#This Row],[CNY -&gt; FCY]]</f>
        <v>1604.6065580642241</v>
      </c>
      <c r="AC476" s="507">
        <f>Port[[#This Row],[ECL_Interest (CNY)]]*Port[[#This Row],[CNY -&gt; FCY]]</f>
        <v>23.150825497149153</v>
      </c>
      <c r="AD476" s="507">
        <f>Port[[#This Row],[EAD_Drawn (CNY)]]*Port[[#This Row],[CNY -&gt; THB]]</f>
        <v>456160.92580800003</v>
      </c>
      <c r="AE476" s="507">
        <f>Port[[#This Row],[EAD_Undrawn (CNY)]]*Port[[#This Row],[CNY -&gt; THB]]</f>
        <v>0</v>
      </c>
      <c r="AF476" s="507">
        <f>Port[[#This Row],[EAD (CNY)]]*Port[[#This Row],[CNY -&gt; THB]]</f>
        <v>456160.92580800003</v>
      </c>
      <c r="AG476" s="507">
        <f>Port[[#This Row],[EAD_Interest (CNY)]]*Port[[#This Row],[CNY -&gt; THB]]</f>
        <v>6581.3653440000007</v>
      </c>
      <c r="AH476" s="507">
        <f>Port[[#This Row],[ECL_Drawn (CNY)]]*Port[[#This Row],[CNY -&gt; THB]]</f>
        <v>8422.2589019674997</v>
      </c>
      <c r="AI476" s="507">
        <f>Port[[#This Row],[ECL_Undrawn (CNY)]]*Port[[#This Row],[CNY -&gt; THB]]</f>
        <v>0</v>
      </c>
      <c r="AJ476" s="507">
        <f>Port[[#This Row],[ECL (CNY)]]*Port[[#This Row],[CNY -&gt; THB]]</f>
        <v>8422.2589019674997</v>
      </c>
      <c r="AK476" s="507">
        <f>Port[[#This Row],[ECL_Interest (CNY)]]*Port[[#This Row],[CNY -&gt; THB]]</f>
        <v>121.51405286943648</v>
      </c>
      <c r="AL476" s="507">
        <f>Port[[#This Row],[EAD (THB)]]*Port[[#This Row],[PD_avg]]</f>
        <v>9358.065446630555</v>
      </c>
      <c r="AM476" s="507">
        <f>Port[[#This Row],[EAD_Interest (THB)]]*Port[[#This Row],[PD_avg]]</f>
        <v>135.01561429937385</v>
      </c>
      <c r="AN476" s="507">
        <f>Port[[#This Row],[EAD (THB)]]*Port[[#This Row],[LGD_avg]]</f>
        <v>410544.83322719997</v>
      </c>
      <c r="AO476" s="507">
        <f>Port[[#This Row],[EAD_Interest (THB)]]*Port[[#This Row],[LGD_avg]]</f>
        <v>5923.2288096000002</v>
      </c>
      <c r="AP476" s="507">
        <f>Port[[#This Row],[EAD_Drawn (THB)]]+Port[[#This Row],[EAD_Interest (THB)]]</f>
        <v>462742.29115200002</v>
      </c>
      <c r="AQ47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6842.4138871200003</v>
      </c>
      <c r="AR476" s="522">
        <f>MAX(Port[[#This Row],[ECL (THB)]]+Port[[#This Row],[ECL_Interest (THB)]], Port[[#This Row],[ECL CBIRC (THB)]])</f>
        <v>8543.7729548369371</v>
      </c>
    </row>
    <row r="477" spans="1:44">
      <c r="A477" s="2" t="s">
        <v>1180</v>
      </c>
      <c r="B477" s="2" t="s">
        <v>1099</v>
      </c>
      <c r="C477" s="2" t="s">
        <v>328</v>
      </c>
      <c r="D477" s="2" t="s">
        <v>18</v>
      </c>
      <c r="E477" s="2" t="s">
        <v>19</v>
      </c>
      <c r="F477" s="2" t="s">
        <v>20</v>
      </c>
      <c r="G477" s="2" t="s">
        <v>21</v>
      </c>
      <c r="H477">
        <v>1</v>
      </c>
      <c r="I477" s="2" t="s">
        <v>526</v>
      </c>
      <c r="J477" s="505">
        <v>2.0514833509807026E-2</v>
      </c>
      <c r="K477" s="505">
        <v>0.90000000000000024</v>
      </c>
      <c r="L477" s="3">
        <v>1</v>
      </c>
      <c r="M477" s="3">
        <v>5.2488000000000001</v>
      </c>
      <c r="N477" s="507">
        <v>311711.2</v>
      </c>
      <c r="O477" s="507">
        <v>0</v>
      </c>
      <c r="P477" s="507">
        <v>311711.2</v>
      </c>
      <c r="Q477" s="507">
        <v>4497.3</v>
      </c>
      <c r="R477" s="507">
        <v>5755.233034027945</v>
      </c>
      <c r="S477" s="507">
        <v>0</v>
      </c>
      <c r="T477" s="507">
        <v>5755.233034027945</v>
      </c>
      <c r="U477" s="507">
        <v>83.035224669289619</v>
      </c>
      <c r="V477" s="507">
        <f>Port[[#This Row],[EAD_Drawn (CNY)]]*Port[[#This Row],[CNY -&gt; FCY]]</f>
        <v>311711.2</v>
      </c>
      <c r="W477" s="507">
        <f>Port[[#This Row],[EAD_Undrawn (CNY)]]*Port[[#This Row],[CNY -&gt; FCY]]</f>
        <v>0</v>
      </c>
      <c r="X477" s="507">
        <f>Port[[#This Row],[EAD (CNY)]]*Port[[#This Row],[CNY -&gt; FCY]]</f>
        <v>311711.2</v>
      </c>
      <c r="Y477" s="507">
        <f>Port[[#This Row],[EAD_Interest (CNY)]]*Port[[#This Row],[CNY -&gt; FCY]]</f>
        <v>4497.3</v>
      </c>
      <c r="Z477" s="507">
        <f>Port[[#This Row],[ECL_Drawn (CNY)]]*Port[[#This Row],[CNY -&gt; FCY]]</f>
        <v>5755.233034027945</v>
      </c>
      <c r="AA477" s="507">
        <f>Port[[#This Row],[ECL_Undrawn (CNY)]]*Port[[#This Row],[CNY -&gt; FCY]]</f>
        <v>0</v>
      </c>
      <c r="AB477" s="507">
        <f>Port[[#This Row],[ECL (CNY)]]*Port[[#This Row],[CNY -&gt; FCY]]</f>
        <v>5755.233034027945</v>
      </c>
      <c r="AC477" s="507">
        <f>Port[[#This Row],[ECL_Interest (CNY)]]*Port[[#This Row],[CNY -&gt; FCY]]</f>
        <v>83.035224669289619</v>
      </c>
      <c r="AD477" s="507">
        <f>Port[[#This Row],[EAD_Drawn (CNY)]]*Port[[#This Row],[CNY -&gt; THB]]</f>
        <v>1636109.7465600001</v>
      </c>
      <c r="AE477" s="507">
        <f>Port[[#This Row],[EAD_Undrawn (CNY)]]*Port[[#This Row],[CNY -&gt; THB]]</f>
        <v>0</v>
      </c>
      <c r="AF477" s="507">
        <f>Port[[#This Row],[EAD (CNY)]]*Port[[#This Row],[CNY -&gt; THB]]</f>
        <v>1636109.7465600001</v>
      </c>
      <c r="AG477" s="507">
        <f>Port[[#This Row],[EAD_Interest (CNY)]]*Port[[#This Row],[CNY -&gt; THB]]</f>
        <v>23605.428240000001</v>
      </c>
      <c r="AH477" s="507">
        <f>Port[[#This Row],[ECL_Drawn (CNY)]]*Port[[#This Row],[CNY -&gt; THB]]</f>
        <v>30208.067149005878</v>
      </c>
      <c r="AI477" s="507">
        <f>Port[[#This Row],[ECL_Undrawn (CNY)]]*Port[[#This Row],[CNY -&gt; THB]]</f>
        <v>0</v>
      </c>
      <c r="AJ477" s="507">
        <f>Port[[#This Row],[ECL (CNY)]]*Port[[#This Row],[CNY -&gt; THB]]</f>
        <v>30208.067149005878</v>
      </c>
      <c r="AK477" s="507">
        <f>Port[[#This Row],[ECL_Interest (CNY)]]*Port[[#This Row],[CNY -&gt; THB]]</f>
        <v>435.83528724416738</v>
      </c>
      <c r="AL477" s="507">
        <f>Port[[#This Row],[EAD (THB)]]*Port[[#This Row],[PD_avg]]</f>
        <v>33564.519054450968</v>
      </c>
      <c r="AM477" s="507">
        <f>Port[[#This Row],[EAD_Interest (THB)]]*Port[[#This Row],[PD_avg]]</f>
        <v>484.26143027129712</v>
      </c>
      <c r="AN477" s="507">
        <f>Port[[#This Row],[EAD (THB)]]*Port[[#This Row],[LGD_avg]]</f>
        <v>1472498.7719040005</v>
      </c>
      <c r="AO477" s="507">
        <f>Port[[#This Row],[EAD_Interest (THB)]]*Port[[#This Row],[LGD_avg]]</f>
        <v>21244.885416000008</v>
      </c>
      <c r="AP477" s="507">
        <f>Port[[#This Row],[EAD_Drawn (THB)]]+Port[[#This Row],[EAD_Interest (THB)]]</f>
        <v>1659715.1748000002</v>
      </c>
      <c r="AQ47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24541.646198400002</v>
      </c>
      <c r="AR477" s="522">
        <f>MAX(Port[[#This Row],[ECL (THB)]]+Port[[#This Row],[ECL_Interest (THB)]], Port[[#This Row],[ECL CBIRC (THB)]])</f>
        <v>30643.902436250046</v>
      </c>
    </row>
    <row r="478" spans="1:44">
      <c r="A478" s="2" t="s">
        <v>1181</v>
      </c>
      <c r="B478" s="2" t="s">
        <v>1099</v>
      </c>
      <c r="C478" s="2" t="s">
        <v>328</v>
      </c>
      <c r="D478" s="2" t="s">
        <v>18</v>
      </c>
      <c r="E478" s="2" t="s">
        <v>19</v>
      </c>
      <c r="F478" s="2" t="s">
        <v>20</v>
      </c>
      <c r="G478" s="2" t="s">
        <v>21</v>
      </c>
      <c r="H478">
        <v>1</v>
      </c>
      <c r="I478" s="2" t="s">
        <v>526</v>
      </c>
      <c r="J478" s="505">
        <v>2.0514833509807026E-2</v>
      </c>
      <c r="K478" s="505">
        <v>0.90000000000000013</v>
      </c>
      <c r="L478" s="3">
        <v>1</v>
      </c>
      <c r="M478" s="3">
        <v>5.2488000000000001</v>
      </c>
      <c r="N478" s="507">
        <v>43199.22</v>
      </c>
      <c r="O478" s="507">
        <v>0</v>
      </c>
      <c r="P478" s="507">
        <v>43199.22</v>
      </c>
      <c r="Q478" s="507">
        <v>623.27</v>
      </c>
      <c r="R478" s="507">
        <v>797.60232544817336</v>
      </c>
      <c r="S478" s="507">
        <v>0</v>
      </c>
      <c r="T478" s="507">
        <v>797.60232544817336</v>
      </c>
      <c r="U478" s="507">
        <v>11.507652253491683</v>
      </c>
      <c r="V478" s="507">
        <f>Port[[#This Row],[EAD_Drawn (CNY)]]*Port[[#This Row],[CNY -&gt; FCY]]</f>
        <v>43199.22</v>
      </c>
      <c r="W478" s="507">
        <f>Port[[#This Row],[EAD_Undrawn (CNY)]]*Port[[#This Row],[CNY -&gt; FCY]]</f>
        <v>0</v>
      </c>
      <c r="X478" s="507">
        <f>Port[[#This Row],[EAD (CNY)]]*Port[[#This Row],[CNY -&gt; FCY]]</f>
        <v>43199.22</v>
      </c>
      <c r="Y478" s="507">
        <f>Port[[#This Row],[EAD_Interest (CNY)]]*Port[[#This Row],[CNY -&gt; FCY]]</f>
        <v>623.27</v>
      </c>
      <c r="Z478" s="507">
        <f>Port[[#This Row],[ECL_Drawn (CNY)]]*Port[[#This Row],[CNY -&gt; FCY]]</f>
        <v>797.60232544817336</v>
      </c>
      <c r="AA478" s="507">
        <f>Port[[#This Row],[ECL_Undrawn (CNY)]]*Port[[#This Row],[CNY -&gt; FCY]]</f>
        <v>0</v>
      </c>
      <c r="AB478" s="507">
        <f>Port[[#This Row],[ECL (CNY)]]*Port[[#This Row],[CNY -&gt; FCY]]</f>
        <v>797.60232544817336</v>
      </c>
      <c r="AC478" s="507">
        <f>Port[[#This Row],[ECL_Interest (CNY)]]*Port[[#This Row],[CNY -&gt; FCY]]</f>
        <v>11.507652253491683</v>
      </c>
      <c r="AD478" s="507">
        <f>Port[[#This Row],[EAD_Drawn (CNY)]]*Port[[#This Row],[CNY -&gt; THB]]</f>
        <v>226744.065936</v>
      </c>
      <c r="AE478" s="507">
        <f>Port[[#This Row],[EAD_Undrawn (CNY)]]*Port[[#This Row],[CNY -&gt; THB]]</f>
        <v>0</v>
      </c>
      <c r="AF478" s="507">
        <f>Port[[#This Row],[EAD (CNY)]]*Port[[#This Row],[CNY -&gt; THB]]</f>
        <v>226744.065936</v>
      </c>
      <c r="AG478" s="507">
        <f>Port[[#This Row],[EAD_Interest (CNY)]]*Port[[#This Row],[CNY -&gt; THB]]</f>
        <v>3271.4195759999998</v>
      </c>
      <c r="AH478" s="507">
        <f>Port[[#This Row],[ECL_Drawn (CNY)]]*Port[[#This Row],[CNY -&gt; THB]]</f>
        <v>4186.4550858123721</v>
      </c>
      <c r="AI478" s="507">
        <f>Port[[#This Row],[ECL_Undrawn (CNY)]]*Port[[#This Row],[CNY -&gt; THB]]</f>
        <v>0</v>
      </c>
      <c r="AJ478" s="507">
        <f>Port[[#This Row],[ECL (CNY)]]*Port[[#This Row],[CNY -&gt; THB]]</f>
        <v>4186.4550858123721</v>
      </c>
      <c r="AK478" s="507">
        <f>Port[[#This Row],[ECL_Interest (CNY)]]*Port[[#This Row],[CNY -&gt; THB]]</f>
        <v>60.401365148127148</v>
      </c>
      <c r="AL478" s="507">
        <f>Port[[#This Row],[EAD (THB)]]*Port[[#This Row],[PD_avg]]</f>
        <v>4651.6167620137467</v>
      </c>
      <c r="AM478" s="507">
        <f>Port[[#This Row],[EAD_Interest (THB)]]*Port[[#This Row],[PD_avg]]</f>
        <v>67.112627942363488</v>
      </c>
      <c r="AN478" s="507">
        <f>Port[[#This Row],[EAD (THB)]]*Port[[#This Row],[LGD_avg]]</f>
        <v>204069.65934240003</v>
      </c>
      <c r="AO478" s="507">
        <f>Port[[#This Row],[EAD_Interest (THB)]]*Port[[#This Row],[LGD_avg]]</f>
        <v>2944.2776184000004</v>
      </c>
      <c r="AP478" s="507">
        <f>Port[[#This Row],[EAD_Drawn (THB)]]+Port[[#This Row],[EAD_Interest (THB)]]</f>
        <v>230015.48551199998</v>
      </c>
      <c r="AQ47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3401.16098904</v>
      </c>
      <c r="AR478" s="522">
        <f>MAX(Port[[#This Row],[ECL (THB)]]+Port[[#This Row],[ECL_Interest (THB)]], Port[[#This Row],[ECL CBIRC (THB)]])</f>
        <v>4246.8564509604994</v>
      </c>
    </row>
    <row r="479" spans="1:44">
      <c r="A479" s="2" t="s">
        <v>1182</v>
      </c>
      <c r="B479" s="2" t="s">
        <v>1099</v>
      </c>
      <c r="C479" s="2" t="s">
        <v>328</v>
      </c>
      <c r="D479" s="2" t="s">
        <v>18</v>
      </c>
      <c r="E479" s="2" t="s">
        <v>19</v>
      </c>
      <c r="F479" s="2" t="s">
        <v>20</v>
      </c>
      <c r="G479" s="2" t="s">
        <v>21</v>
      </c>
      <c r="H479">
        <v>1</v>
      </c>
      <c r="I479" s="2" t="s">
        <v>526</v>
      </c>
      <c r="J479" s="505">
        <v>2.0514833509807026E-2</v>
      </c>
      <c r="K479" s="505">
        <v>0.90000000000000024</v>
      </c>
      <c r="L479" s="3">
        <v>1</v>
      </c>
      <c r="M479" s="3">
        <v>5.2488000000000001</v>
      </c>
      <c r="N479" s="507">
        <v>41261.4</v>
      </c>
      <c r="O479" s="507">
        <v>0</v>
      </c>
      <c r="P479" s="507">
        <v>41261.4</v>
      </c>
      <c r="Q479" s="507">
        <v>595.30999999999995</v>
      </c>
      <c r="R479" s="507">
        <v>761.82367624339668</v>
      </c>
      <c r="S479" s="507">
        <v>0</v>
      </c>
      <c r="T479" s="507">
        <v>761.82367624339668</v>
      </c>
      <c r="U479" s="507">
        <v>10.991416983050899</v>
      </c>
      <c r="V479" s="507">
        <f>Port[[#This Row],[EAD_Drawn (CNY)]]*Port[[#This Row],[CNY -&gt; FCY]]</f>
        <v>41261.4</v>
      </c>
      <c r="W479" s="507">
        <f>Port[[#This Row],[EAD_Undrawn (CNY)]]*Port[[#This Row],[CNY -&gt; FCY]]</f>
        <v>0</v>
      </c>
      <c r="X479" s="507">
        <f>Port[[#This Row],[EAD (CNY)]]*Port[[#This Row],[CNY -&gt; FCY]]</f>
        <v>41261.4</v>
      </c>
      <c r="Y479" s="507">
        <f>Port[[#This Row],[EAD_Interest (CNY)]]*Port[[#This Row],[CNY -&gt; FCY]]</f>
        <v>595.30999999999995</v>
      </c>
      <c r="Z479" s="507">
        <f>Port[[#This Row],[ECL_Drawn (CNY)]]*Port[[#This Row],[CNY -&gt; FCY]]</f>
        <v>761.82367624339668</v>
      </c>
      <c r="AA479" s="507">
        <f>Port[[#This Row],[ECL_Undrawn (CNY)]]*Port[[#This Row],[CNY -&gt; FCY]]</f>
        <v>0</v>
      </c>
      <c r="AB479" s="507">
        <f>Port[[#This Row],[ECL (CNY)]]*Port[[#This Row],[CNY -&gt; FCY]]</f>
        <v>761.82367624339668</v>
      </c>
      <c r="AC479" s="507">
        <f>Port[[#This Row],[ECL_Interest (CNY)]]*Port[[#This Row],[CNY -&gt; FCY]]</f>
        <v>10.991416983050899</v>
      </c>
      <c r="AD479" s="507">
        <f>Port[[#This Row],[EAD_Drawn (CNY)]]*Port[[#This Row],[CNY -&gt; THB]]</f>
        <v>216572.83632</v>
      </c>
      <c r="AE479" s="507">
        <f>Port[[#This Row],[EAD_Undrawn (CNY)]]*Port[[#This Row],[CNY -&gt; THB]]</f>
        <v>0</v>
      </c>
      <c r="AF479" s="507">
        <f>Port[[#This Row],[EAD (CNY)]]*Port[[#This Row],[CNY -&gt; THB]]</f>
        <v>216572.83632</v>
      </c>
      <c r="AG479" s="507">
        <f>Port[[#This Row],[EAD_Interest (CNY)]]*Port[[#This Row],[CNY -&gt; THB]]</f>
        <v>3124.6631279999997</v>
      </c>
      <c r="AH479" s="507">
        <f>Port[[#This Row],[ECL_Drawn (CNY)]]*Port[[#This Row],[CNY -&gt; THB]]</f>
        <v>3998.6601118663407</v>
      </c>
      <c r="AI479" s="507">
        <f>Port[[#This Row],[ECL_Undrawn (CNY)]]*Port[[#This Row],[CNY -&gt; THB]]</f>
        <v>0</v>
      </c>
      <c r="AJ479" s="507">
        <f>Port[[#This Row],[ECL (CNY)]]*Port[[#This Row],[CNY -&gt; THB]]</f>
        <v>3998.6601118663407</v>
      </c>
      <c r="AK479" s="507">
        <f>Port[[#This Row],[ECL_Interest (CNY)]]*Port[[#This Row],[CNY -&gt; THB]]</f>
        <v>57.69174946063756</v>
      </c>
      <c r="AL479" s="507">
        <f>Port[[#This Row],[EAD (THB)]]*Port[[#This Row],[PD_avg]]</f>
        <v>4442.9556798514886</v>
      </c>
      <c r="AM479" s="507">
        <f>Port[[#This Row],[EAD_Interest (THB)]]*Port[[#This Row],[PD_avg]]</f>
        <v>64.101943845152832</v>
      </c>
      <c r="AN479" s="507">
        <f>Port[[#This Row],[EAD (THB)]]*Port[[#This Row],[LGD_avg]]</f>
        <v>194915.55268800005</v>
      </c>
      <c r="AO479" s="507">
        <f>Port[[#This Row],[EAD_Interest (THB)]]*Port[[#This Row],[LGD_avg]]</f>
        <v>2812.1968152000004</v>
      </c>
      <c r="AP479" s="507">
        <f>Port[[#This Row],[EAD_Drawn (THB)]]+Port[[#This Row],[EAD_Interest (THB)]]</f>
        <v>219697.49944799999</v>
      </c>
      <c r="AQ47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3248.5925447999998</v>
      </c>
      <c r="AR479" s="522">
        <f>MAX(Port[[#This Row],[ECL (THB)]]+Port[[#This Row],[ECL_Interest (THB)]], Port[[#This Row],[ECL CBIRC (THB)]])</f>
        <v>4056.3518613269785</v>
      </c>
    </row>
    <row r="480" spans="1:44">
      <c r="A480" s="2" t="s">
        <v>1183</v>
      </c>
      <c r="B480" s="2" t="s">
        <v>375</v>
      </c>
      <c r="C480" s="2" t="s">
        <v>328</v>
      </c>
      <c r="D480" s="2" t="s">
        <v>18</v>
      </c>
      <c r="E480" s="2" t="s">
        <v>19</v>
      </c>
      <c r="F480" s="2" t="s">
        <v>20</v>
      </c>
      <c r="G480" s="2" t="s">
        <v>21</v>
      </c>
      <c r="H480">
        <v>1</v>
      </c>
      <c r="I480" s="2" t="s">
        <v>526</v>
      </c>
      <c r="J480" s="505">
        <v>2.0514833509807026E-2</v>
      </c>
      <c r="K480" s="505">
        <v>0.89999999999999991</v>
      </c>
      <c r="L480" s="3">
        <v>1</v>
      </c>
      <c r="M480" s="3">
        <v>5.2488000000000001</v>
      </c>
      <c r="N480" s="507">
        <v>24297.8</v>
      </c>
      <c r="O480" s="507">
        <v>0</v>
      </c>
      <c r="P480" s="507">
        <v>24297.8</v>
      </c>
      <c r="Q480" s="507">
        <v>350.56</v>
      </c>
      <c r="R480" s="507">
        <v>448.61878948913022</v>
      </c>
      <c r="S480" s="507">
        <v>0</v>
      </c>
      <c r="T480" s="507">
        <v>448.61878948913022</v>
      </c>
      <c r="U480" s="507">
        <v>6.4725120316781561</v>
      </c>
      <c r="V480" s="507">
        <f>Port[[#This Row],[EAD_Drawn (CNY)]]*Port[[#This Row],[CNY -&gt; FCY]]</f>
        <v>24297.8</v>
      </c>
      <c r="W480" s="507">
        <f>Port[[#This Row],[EAD_Undrawn (CNY)]]*Port[[#This Row],[CNY -&gt; FCY]]</f>
        <v>0</v>
      </c>
      <c r="X480" s="507">
        <f>Port[[#This Row],[EAD (CNY)]]*Port[[#This Row],[CNY -&gt; FCY]]</f>
        <v>24297.8</v>
      </c>
      <c r="Y480" s="507">
        <f>Port[[#This Row],[EAD_Interest (CNY)]]*Port[[#This Row],[CNY -&gt; FCY]]</f>
        <v>350.56</v>
      </c>
      <c r="Z480" s="507">
        <f>Port[[#This Row],[ECL_Drawn (CNY)]]*Port[[#This Row],[CNY -&gt; FCY]]</f>
        <v>448.61878948913022</v>
      </c>
      <c r="AA480" s="507">
        <f>Port[[#This Row],[ECL_Undrawn (CNY)]]*Port[[#This Row],[CNY -&gt; FCY]]</f>
        <v>0</v>
      </c>
      <c r="AB480" s="507">
        <f>Port[[#This Row],[ECL (CNY)]]*Port[[#This Row],[CNY -&gt; FCY]]</f>
        <v>448.61878948913022</v>
      </c>
      <c r="AC480" s="507">
        <f>Port[[#This Row],[ECL_Interest (CNY)]]*Port[[#This Row],[CNY -&gt; FCY]]</f>
        <v>6.4725120316781561</v>
      </c>
      <c r="AD480" s="507">
        <f>Port[[#This Row],[EAD_Drawn (CNY)]]*Port[[#This Row],[CNY -&gt; THB]]</f>
        <v>127534.29264</v>
      </c>
      <c r="AE480" s="507">
        <f>Port[[#This Row],[EAD_Undrawn (CNY)]]*Port[[#This Row],[CNY -&gt; THB]]</f>
        <v>0</v>
      </c>
      <c r="AF480" s="507">
        <f>Port[[#This Row],[EAD (CNY)]]*Port[[#This Row],[CNY -&gt; THB]]</f>
        <v>127534.29264</v>
      </c>
      <c r="AG480" s="507">
        <f>Port[[#This Row],[EAD_Interest (CNY)]]*Port[[#This Row],[CNY -&gt; THB]]</f>
        <v>1840.0193280000001</v>
      </c>
      <c r="AH480" s="507">
        <f>Port[[#This Row],[ECL_Drawn (CNY)]]*Port[[#This Row],[CNY -&gt; THB]]</f>
        <v>2354.7103022705469</v>
      </c>
      <c r="AI480" s="507">
        <f>Port[[#This Row],[ECL_Undrawn (CNY)]]*Port[[#This Row],[CNY -&gt; THB]]</f>
        <v>0</v>
      </c>
      <c r="AJ480" s="507">
        <f>Port[[#This Row],[ECL (CNY)]]*Port[[#This Row],[CNY -&gt; THB]]</f>
        <v>2354.7103022705469</v>
      </c>
      <c r="AK480" s="507">
        <f>Port[[#This Row],[ECL_Interest (CNY)]]*Port[[#This Row],[CNY -&gt; THB]]</f>
        <v>33.972921151872306</v>
      </c>
      <c r="AL480" s="507">
        <f>Port[[#This Row],[EAD (THB)]]*Port[[#This Row],[PD_avg]]</f>
        <v>2616.3447803006075</v>
      </c>
      <c r="AM480" s="507">
        <f>Port[[#This Row],[EAD_Interest (THB)]]*Port[[#This Row],[PD_avg]]</f>
        <v>37.747690168747006</v>
      </c>
      <c r="AN480" s="507">
        <f>Port[[#This Row],[EAD (THB)]]*Port[[#This Row],[LGD_avg]]</f>
        <v>114780.86337599999</v>
      </c>
      <c r="AO480" s="507">
        <f>Port[[#This Row],[EAD_Interest (THB)]]*Port[[#This Row],[LGD_avg]]</f>
        <v>1656.0173952</v>
      </c>
      <c r="AP480" s="507">
        <f>Port[[#This Row],[EAD_Drawn (THB)]]+Port[[#This Row],[EAD_Interest (THB)]]</f>
        <v>129374.31196799999</v>
      </c>
      <c r="AQ48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1913.0143896</v>
      </c>
      <c r="AR480" s="522">
        <f>MAX(Port[[#This Row],[ECL (THB)]]+Port[[#This Row],[ECL_Interest (THB)]], Port[[#This Row],[ECL CBIRC (THB)]])</f>
        <v>2388.6832234224194</v>
      </c>
    </row>
    <row r="481" spans="1:44">
      <c r="A481" s="2" t="s">
        <v>1184</v>
      </c>
      <c r="B481" s="2" t="s">
        <v>377</v>
      </c>
      <c r="C481" s="2" t="s">
        <v>328</v>
      </c>
      <c r="D481" s="2" t="s">
        <v>18</v>
      </c>
      <c r="E481" s="2" t="s">
        <v>19</v>
      </c>
      <c r="F481" s="2" t="s">
        <v>20</v>
      </c>
      <c r="G481" s="2" t="s">
        <v>21</v>
      </c>
      <c r="H481">
        <v>1</v>
      </c>
      <c r="I481" s="2" t="s">
        <v>526</v>
      </c>
      <c r="J481" s="505">
        <v>2.0514833509807026E-2</v>
      </c>
      <c r="K481" s="505">
        <v>0.90000000000000013</v>
      </c>
      <c r="L481" s="3">
        <v>1</v>
      </c>
      <c r="M481" s="3">
        <v>5.2488000000000001</v>
      </c>
      <c r="N481" s="507">
        <v>208393.81</v>
      </c>
      <c r="O481" s="507">
        <v>0</v>
      </c>
      <c r="P481" s="507">
        <v>208393.81</v>
      </c>
      <c r="Q481" s="507">
        <v>3006.66</v>
      </c>
      <c r="R481" s="507">
        <v>3847.647884961923</v>
      </c>
      <c r="S481" s="507">
        <v>0</v>
      </c>
      <c r="T481" s="507">
        <v>3847.647884961923</v>
      </c>
      <c r="U481" s="507">
        <v>55.513016388536755</v>
      </c>
      <c r="V481" s="507">
        <f>Port[[#This Row],[EAD_Drawn (CNY)]]*Port[[#This Row],[CNY -&gt; FCY]]</f>
        <v>208393.81</v>
      </c>
      <c r="W481" s="507">
        <f>Port[[#This Row],[EAD_Undrawn (CNY)]]*Port[[#This Row],[CNY -&gt; FCY]]</f>
        <v>0</v>
      </c>
      <c r="X481" s="507">
        <f>Port[[#This Row],[EAD (CNY)]]*Port[[#This Row],[CNY -&gt; FCY]]</f>
        <v>208393.81</v>
      </c>
      <c r="Y481" s="507">
        <f>Port[[#This Row],[EAD_Interest (CNY)]]*Port[[#This Row],[CNY -&gt; FCY]]</f>
        <v>3006.66</v>
      </c>
      <c r="Z481" s="507">
        <f>Port[[#This Row],[ECL_Drawn (CNY)]]*Port[[#This Row],[CNY -&gt; FCY]]</f>
        <v>3847.647884961923</v>
      </c>
      <c r="AA481" s="507">
        <f>Port[[#This Row],[ECL_Undrawn (CNY)]]*Port[[#This Row],[CNY -&gt; FCY]]</f>
        <v>0</v>
      </c>
      <c r="AB481" s="507">
        <f>Port[[#This Row],[ECL (CNY)]]*Port[[#This Row],[CNY -&gt; FCY]]</f>
        <v>3847.647884961923</v>
      </c>
      <c r="AC481" s="507">
        <f>Port[[#This Row],[ECL_Interest (CNY)]]*Port[[#This Row],[CNY -&gt; FCY]]</f>
        <v>55.513016388536755</v>
      </c>
      <c r="AD481" s="507">
        <f>Port[[#This Row],[EAD_Drawn (CNY)]]*Port[[#This Row],[CNY -&gt; THB]]</f>
        <v>1093817.4299280001</v>
      </c>
      <c r="AE481" s="507">
        <f>Port[[#This Row],[EAD_Undrawn (CNY)]]*Port[[#This Row],[CNY -&gt; THB]]</f>
        <v>0</v>
      </c>
      <c r="AF481" s="507">
        <f>Port[[#This Row],[EAD (CNY)]]*Port[[#This Row],[CNY -&gt; THB]]</f>
        <v>1093817.4299280001</v>
      </c>
      <c r="AG481" s="507">
        <f>Port[[#This Row],[EAD_Interest (CNY)]]*Port[[#This Row],[CNY -&gt; THB]]</f>
        <v>15781.357007999999</v>
      </c>
      <c r="AH481" s="507">
        <f>Port[[#This Row],[ECL_Drawn (CNY)]]*Port[[#This Row],[CNY -&gt; THB]]</f>
        <v>20195.534218588142</v>
      </c>
      <c r="AI481" s="507">
        <f>Port[[#This Row],[ECL_Undrawn (CNY)]]*Port[[#This Row],[CNY -&gt; THB]]</f>
        <v>0</v>
      </c>
      <c r="AJ481" s="507">
        <f>Port[[#This Row],[ECL (CNY)]]*Port[[#This Row],[CNY -&gt; THB]]</f>
        <v>20195.534218588142</v>
      </c>
      <c r="AK481" s="507">
        <f>Port[[#This Row],[ECL_Interest (CNY)]]*Port[[#This Row],[CNY -&gt; THB]]</f>
        <v>291.37672042015174</v>
      </c>
      <c r="AL481" s="507">
        <f>Port[[#This Row],[EAD (THB)]]*Port[[#This Row],[PD_avg]]</f>
        <v>22439.482465097935</v>
      </c>
      <c r="AM481" s="507">
        <f>Port[[#This Row],[EAD_Interest (THB)]]*Port[[#This Row],[PD_avg]]</f>
        <v>323.75191157794632</v>
      </c>
      <c r="AN481" s="507">
        <f>Port[[#This Row],[EAD (THB)]]*Port[[#This Row],[LGD_avg]]</f>
        <v>984435.68693520024</v>
      </c>
      <c r="AO481" s="507">
        <f>Port[[#This Row],[EAD_Interest (THB)]]*Port[[#This Row],[LGD_avg]]</f>
        <v>14203.221307200001</v>
      </c>
      <c r="AP481" s="507">
        <f>Port[[#This Row],[EAD_Drawn (THB)]]+Port[[#This Row],[EAD_Interest (THB)]]</f>
        <v>1109598.786936</v>
      </c>
      <c r="AQ48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16407.261448920002</v>
      </c>
      <c r="AR481" s="522">
        <f>MAX(Port[[#This Row],[ECL (THB)]]+Port[[#This Row],[ECL_Interest (THB)]], Port[[#This Row],[ECL CBIRC (THB)]])</f>
        <v>20486.910939008292</v>
      </c>
    </row>
    <row r="482" spans="1:44">
      <c r="A482" s="2" t="s">
        <v>1185</v>
      </c>
      <c r="B482" s="2" t="s">
        <v>372</v>
      </c>
      <c r="C482" s="2" t="s">
        <v>328</v>
      </c>
      <c r="D482" s="2" t="s">
        <v>18</v>
      </c>
      <c r="E482" s="2" t="s">
        <v>19</v>
      </c>
      <c r="F482" s="2" t="s">
        <v>20</v>
      </c>
      <c r="G482" s="2" t="s">
        <v>21</v>
      </c>
      <c r="H482">
        <v>1</v>
      </c>
      <c r="I482" s="2" t="s">
        <v>526</v>
      </c>
      <c r="J482" s="505">
        <v>2.0514833509807026E-2</v>
      </c>
      <c r="K482" s="505">
        <v>0.9</v>
      </c>
      <c r="L482" s="3">
        <v>1</v>
      </c>
      <c r="M482" s="3">
        <v>5.2488000000000001</v>
      </c>
      <c r="N482" s="507">
        <v>52459.86</v>
      </c>
      <c r="O482" s="507">
        <v>0</v>
      </c>
      <c r="P482" s="507">
        <v>52459.86</v>
      </c>
      <c r="Q482" s="507">
        <v>756.88</v>
      </c>
      <c r="R482" s="507">
        <v>968.58476446300665</v>
      </c>
      <c r="S482" s="507">
        <v>0</v>
      </c>
      <c r="T482" s="507">
        <v>968.58476446300665</v>
      </c>
      <c r="U482" s="507">
        <v>13.974540468212469</v>
      </c>
      <c r="V482" s="507">
        <f>Port[[#This Row],[EAD_Drawn (CNY)]]*Port[[#This Row],[CNY -&gt; FCY]]</f>
        <v>52459.86</v>
      </c>
      <c r="W482" s="507">
        <f>Port[[#This Row],[EAD_Undrawn (CNY)]]*Port[[#This Row],[CNY -&gt; FCY]]</f>
        <v>0</v>
      </c>
      <c r="X482" s="507">
        <f>Port[[#This Row],[EAD (CNY)]]*Port[[#This Row],[CNY -&gt; FCY]]</f>
        <v>52459.86</v>
      </c>
      <c r="Y482" s="507">
        <f>Port[[#This Row],[EAD_Interest (CNY)]]*Port[[#This Row],[CNY -&gt; FCY]]</f>
        <v>756.88</v>
      </c>
      <c r="Z482" s="507">
        <f>Port[[#This Row],[ECL_Drawn (CNY)]]*Port[[#This Row],[CNY -&gt; FCY]]</f>
        <v>968.58476446300665</v>
      </c>
      <c r="AA482" s="507">
        <f>Port[[#This Row],[ECL_Undrawn (CNY)]]*Port[[#This Row],[CNY -&gt; FCY]]</f>
        <v>0</v>
      </c>
      <c r="AB482" s="507">
        <f>Port[[#This Row],[ECL (CNY)]]*Port[[#This Row],[CNY -&gt; FCY]]</f>
        <v>968.58476446300665</v>
      </c>
      <c r="AC482" s="507">
        <f>Port[[#This Row],[ECL_Interest (CNY)]]*Port[[#This Row],[CNY -&gt; FCY]]</f>
        <v>13.974540468212469</v>
      </c>
      <c r="AD482" s="507">
        <f>Port[[#This Row],[EAD_Drawn (CNY)]]*Port[[#This Row],[CNY -&gt; THB]]</f>
        <v>275351.31316800002</v>
      </c>
      <c r="AE482" s="507">
        <f>Port[[#This Row],[EAD_Undrawn (CNY)]]*Port[[#This Row],[CNY -&gt; THB]]</f>
        <v>0</v>
      </c>
      <c r="AF482" s="507">
        <f>Port[[#This Row],[EAD (CNY)]]*Port[[#This Row],[CNY -&gt; THB]]</f>
        <v>275351.31316800002</v>
      </c>
      <c r="AG482" s="507">
        <f>Port[[#This Row],[EAD_Interest (CNY)]]*Port[[#This Row],[CNY -&gt; THB]]</f>
        <v>3972.7117440000002</v>
      </c>
      <c r="AH482" s="507">
        <f>Port[[#This Row],[ECL_Drawn (CNY)]]*Port[[#This Row],[CNY -&gt; THB]]</f>
        <v>5083.9077117134293</v>
      </c>
      <c r="AI482" s="507">
        <f>Port[[#This Row],[ECL_Undrawn (CNY)]]*Port[[#This Row],[CNY -&gt; THB]]</f>
        <v>0</v>
      </c>
      <c r="AJ482" s="507">
        <f>Port[[#This Row],[ECL (CNY)]]*Port[[#This Row],[CNY -&gt; THB]]</f>
        <v>5083.9077117134293</v>
      </c>
      <c r="AK482" s="507">
        <f>Port[[#This Row],[ECL_Interest (CNY)]]*Port[[#This Row],[CNY -&gt; THB]]</f>
        <v>73.349568009553607</v>
      </c>
      <c r="AL482" s="507">
        <f>Port[[#This Row],[EAD (THB)]]*Port[[#This Row],[PD_avg]]</f>
        <v>5648.7863463482554</v>
      </c>
      <c r="AM482" s="507">
        <f>Port[[#This Row],[EAD_Interest (THB)]]*Port[[#This Row],[PD_avg]]</f>
        <v>81.499520010615115</v>
      </c>
      <c r="AN482" s="507">
        <f>Port[[#This Row],[EAD (THB)]]*Port[[#This Row],[LGD_avg]]</f>
        <v>247816.18185120003</v>
      </c>
      <c r="AO482" s="507">
        <f>Port[[#This Row],[EAD_Interest (THB)]]*Port[[#This Row],[LGD_avg]]</f>
        <v>3575.4405696000003</v>
      </c>
      <c r="AP482" s="507">
        <f>Port[[#This Row],[EAD_Drawn (THB)]]+Port[[#This Row],[EAD_Interest (THB)]]</f>
        <v>279324.02491200005</v>
      </c>
      <c r="AQ48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4130.2696975200006</v>
      </c>
      <c r="AR482" s="522">
        <f>MAX(Port[[#This Row],[ECL (THB)]]+Port[[#This Row],[ECL_Interest (THB)]], Port[[#This Row],[ECL CBIRC (THB)]])</f>
        <v>5157.2572797229832</v>
      </c>
    </row>
    <row r="483" spans="1:44">
      <c r="A483" s="2" t="s">
        <v>1186</v>
      </c>
      <c r="B483" s="2" t="s">
        <v>1125</v>
      </c>
      <c r="C483" s="2" t="s">
        <v>328</v>
      </c>
      <c r="D483" s="2" t="s">
        <v>18</v>
      </c>
      <c r="E483" s="2" t="s">
        <v>19</v>
      </c>
      <c r="F483" s="2" t="s">
        <v>20</v>
      </c>
      <c r="G483" s="2" t="s">
        <v>21</v>
      </c>
      <c r="H483">
        <v>1</v>
      </c>
      <c r="I483" s="2" t="s">
        <v>526</v>
      </c>
      <c r="J483" s="505">
        <v>2.0514833509807026E-2</v>
      </c>
      <c r="K483" s="505">
        <v>0.89999999999999991</v>
      </c>
      <c r="L483" s="3">
        <v>1</v>
      </c>
      <c r="M483" s="3">
        <v>5.2488000000000001</v>
      </c>
      <c r="N483" s="507">
        <v>109525.3</v>
      </c>
      <c r="O483" s="507">
        <v>0</v>
      </c>
      <c r="P483" s="507">
        <v>109525.3</v>
      </c>
      <c r="Q483" s="507">
        <v>1565.3</v>
      </c>
      <c r="R483" s="507">
        <v>2022.2039651505006</v>
      </c>
      <c r="S483" s="507">
        <v>0</v>
      </c>
      <c r="T483" s="507">
        <v>2022.2039651505006</v>
      </c>
      <c r="U483" s="507">
        <v>28.900682003610846</v>
      </c>
      <c r="V483" s="507">
        <f>Port[[#This Row],[EAD_Drawn (CNY)]]*Port[[#This Row],[CNY -&gt; FCY]]</f>
        <v>109525.3</v>
      </c>
      <c r="W483" s="507">
        <f>Port[[#This Row],[EAD_Undrawn (CNY)]]*Port[[#This Row],[CNY -&gt; FCY]]</f>
        <v>0</v>
      </c>
      <c r="X483" s="507">
        <f>Port[[#This Row],[EAD (CNY)]]*Port[[#This Row],[CNY -&gt; FCY]]</f>
        <v>109525.3</v>
      </c>
      <c r="Y483" s="507">
        <f>Port[[#This Row],[EAD_Interest (CNY)]]*Port[[#This Row],[CNY -&gt; FCY]]</f>
        <v>1565.3</v>
      </c>
      <c r="Z483" s="507">
        <f>Port[[#This Row],[ECL_Drawn (CNY)]]*Port[[#This Row],[CNY -&gt; FCY]]</f>
        <v>2022.2039651505006</v>
      </c>
      <c r="AA483" s="507">
        <f>Port[[#This Row],[ECL_Undrawn (CNY)]]*Port[[#This Row],[CNY -&gt; FCY]]</f>
        <v>0</v>
      </c>
      <c r="AB483" s="507">
        <f>Port[[#This Row],[ECL (CNY)]]*Port[[#This Row],[CNY -&gt; FCY]]</f>
        <v>2022.2039651505006</v>
      </c>
      <c r="AC483" s="507">
        <f>Port[[#This Row],[ECL_Interest (CNY)]]*Port[[#This Row],[CNY -&gt; FCY]]</f>
        <v>28.900682003610846</v>
      </c>
      <c r="AD483" s="507">
        <f>Port[[#This Row],[EAD_Drawn (CNY)]]*Port[[#This Row],[CNY -&gt; THB]]</f>
        <v>574876.39464000007</v>
      </c>
      <c r="AE483" s="507">
        <f>Port[[#This Row],[EAD_Undrawn (CNY)]]*Port[[#This Row],[CNY -&gt; THB]]</f>
        <v>0</v>
      </c>
      <c r="AF483" s="507">
        <f>Port[[#This Row],[EAD (CNY)]]*Port[[#This Row],[CNY -&gt; THB]]</f>
        <v>574876.39464000007</v>
      </c>
      <c r="AG483" s="507">
        <f>Port[[#This Row],[EAD_Interest (CNY)]]*Port[[#This Row],[CNY -&gt; THB]]</f>
        <v>8215.9466400000001</v>
      </c>
      <c r="AH483" s="507">
        <f>Port[[#This Row],[ECL_Drawn (CNY)]]*Port[[#This Row],[CNY -&gt; THB]]</f>
        <v>10614.144172281947</v>
      </c>
      <c r="AI483" s="507">
        <f>Port[[#This Row],[ECL_Undrawn (CNY)]]*Port[[#This Row],[CNY -&gt; THB]]</f>
        <v>0</v>
      </c>
      <c r="AJ483" s="507">
        <f>Port[[#This Row],[ECL (CNY)]]*Port[[#This Row],[CNY -&gt; THB]]</f>
        <v>10614.144172281947</v>
      </c>
      <c r="AK483" s="507">
        <f>Port[[#This Row],[ECL_Interest (CNY)]]*Port[[#This Row],[CNY -&gt; THB]]</f>
        <v>151.69389970055261</v>
      </c>
      <c r="AL483" s="507">
        <f>Port[[#This Row],[EAD (THB)]]*Port[[#This Row],[PD_avg]]</f>
        <v>11793.493524757721</v>
      </c>
      <c r="AM483" s="507">
        <f>Port[[#This Row],[EAD_Interest (THB)]]*Port[[#This Row],[PD_avg]]</f>
        <v>168.54877744505845</v>
      </c>
      <c r="AN483" s="507">
        <f>Port[[#This Row],[EAD (THB)]]*Port[[#This Row],[LGD_avg]]</f>
        <v>517388.75517600001</v>
      </c>
      <c r="AO483" s="507">
        <f>Port[[#This Row],[EAD_Interest (THB)]]*Port[[#This Row],[LGD_avg]]</f>
        <v>7394.351975999999</v>
      </c>
      <c r="AP483" s="507">
        <f>Port[[#This Row],[EAD_Drawn (THB)]]+Port[[#This Row],[EAD_Interest (THB)]]</f>
        <v>583092.34128000005</v>
      </c>
      <c r="AQ48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8623.1459196000014</v>
      </c>
      <c r="AR483" s="522">
        <f>MAX(Port[[#This Row],[ECL (THB)]]+Port[[#This Row],[ECL_Interest (THB)]], Port[[#This Row],[ECL CBIRC (THB)]])</f>
        <v>10765.8380719825</v>
      </c>
    </row>
    <row r="484" spans="1:44">
      <c r="A484" s="2" t="s">
        <v>1187</v>
      </c>
      <c r="B484" s="2" t="s">
        <v>366</v>
      </c>
      <c r="C484" s="2" t="s">
        <v>328</v>
      </c>
      <c r="D484" s="2" t="s">
        <v>18</v>
      </c>
      <c r="E484" s="2" t="s">
        <v>19</v>
      </c>
      <c r="F484" s="2" t="s">
        <v>20</v>
      </c>
      <c r="G484" s="2" t="s">
        <v>21</v>
      </c>
      <c r="H484">
        <v>1</v>
      </c>
      <c r="I484" s="2" t="s">
        <v>526</v>
      </c>
      <c r="J484" s="505">
        <v>2.0514833509807026E-2</v>
      </c>
      <c r="K484" s="505">
        <v>0.90000000000000013</v>
      </c>
      <c r="L484" s="3">
        <v>1</v>
      </c>
      <c r="M484" s="3">
        <v>5.2488000000000001</v>
      </c>
      <c r="N484" s="507">
        <v>83770.45</v>
      </c>
      <c r="O484" s="507">
        <v>0</v>
      </c>
      <c r="P484" s="507">
        <v>83770.45</v>
      </c>
      <c r="Q484" s="507">
        <v>1197.22</v>
      </c>
      <c r="R484" s="507">
        <v>1546.6831513124528</v>
      </c>
      <c r="S484" s="507">
        <v>0</v>
      </c>
      <c r="T484" s="507">
        <v>1546.6831513124528</v>
      </c>
      <c r="U484" s="507">
        <v>22.104692077150052</v>
      </c>
      <c r="V484" s="507">
        <f>Port[[#This Row],[EAD_Drawn (CNY)]]*Port[[#This Row],[CNY -&gt; FCY]]</f>
        <v>83770.45</v>
      </c>
      <c r="W484" s="507">
        <f>Port[[#This Row],[EAD_Undrawn (CNY)]]*Port[[#This Row],[CNY -&gt; FCY]]</f>
        <v>0</v>
      </c>
      <c r="X484" s="507">
        <f>Port[[#This Row],[EAD (CNY)]]*Port[[#This Row],[CNY -&gt; FCY]]</f>
        <v>83770.45</v>
      </c>
      <c r="Y484" s="507">
        <f>Port[[#This Row],[EAD_Interest (CNY)]]*Port[[#This Row],[CNY -&gt; FCY]]</f>
        <v>1197.22</v>
      </c>
      <c r="Z484" s="507">
        <f>Port[[#This Row],[ECL_Drawn (CNY)]]*Port[[#This Row],[CNY -&gt; FCY]]</f>
        <v>1546.6831513124528</v>
      </c>
      <c r="AA484" s="507">
        <f>Port[[#This Row],[ECL_Undrawn (CNY)]]*Port[[#This Row],[CNY -&gt; FCY]]</f>
        <v>0</v>
      </c>
      <c r="AB484" s="507">
        <f>Port[[#This Row],[ECL (CNY)]]*Port[[#This Row],[CNY -&gt; FCY]]</f>
        <v>1546.6831513124528</v>
      </c>
      <c r="AC484" s="507">
        <f>Port[[#This Row],[ECL_Interest (CNY)]]*Port[[#This Row],[CNY -&gt; FCY]]</f>
        <v>22.104692077150052</v>
      </c>
      <c r="AD484" s="507">
        <f>Port[[#This Row],[EAD_Drawn (CNY)]]*Port[[#This Row],[CNY -&gt; THB]]</f>
        <v>439694.33795999998</v>
      </c>
      <c r="AE484" s="507">
        <f>Port[[#This Row],[EAD_Undrawn (CNY)]]*Port[[#This Row],[CNY -&gt; THB]]</f>
        <v>0</v>
      </c>
      <c r="AF484" s="507">
        <f>Port[[#This Row],[EAD (CNY)]]*Port[[#This Row],[CNY -&gt; THB]]</f>
        <v>439694.33795999998</v>
      </c>
      <c r="AG484" s="507">
        <f>Port[[#This Row],[EAD_Interest (CNY)]]*Port[[#This Row],[CNY -&gt; THB]]</f>
        <v>6283.9683359999999</v>
      </c>
      <c r="AH484" s="507">
        <f>Port[[#This Row],[ECL_Drawn (CNY)]]*Port[[#This Row],[CNY -&gt; THB]]</f>
        <v>8118.2305246088026</v>
      </c>
      <c r="AI484" s="507">
        <f>Port[[#This Row],[ECL_Undrawn (CNY)]]*Port[[#This Row],[CNY -&gt; THB]]</f>
        <v>0</v>
      </c>
      <c r="AJ484" s="507">
        <f>Port[[#This Row],[ECL (CNY)]]*Port[[#This Row],[CNY -&gt; THB]]</f>
        <v>8118.2305246088026</v>
      </c>
      <c r="AK484" s="507">
        <f>Port[[#This Row],[ECL_Interest (CNY)]]*Port[[#This Row],[CNY -&gt; THB]]</f>
        <v>116.0231077745452</v>
      </c>
      <c r="AL484" s="507">
        <f>Port[[#This Row],[EAD (THB)]]*Port[[#This Row],[PD_avg]]</f>
        <v>9020.2561384542223</v>
      </c>
      <c r="AM484" s="507">
        <f>Port[[#This Row],[EAD_Interest (THB)]]*Port[[#This Row],[PD_avg]]</f>
        <v>128.9145641939391</v>
      </c>
      <c r="AN484" s="507">
        <f>Port[[#This Row],[EAD (THB)]]*Port[[#This Row],[LGD_avg]]</f>
        <v>395724.90416400007</v>
      </c>
      <c r="AO484" s="507">
        <f>Port[[#This Row],[EAD_Interest (THB)]]*Port[[#This Row],[LGD_avg]]</f>
        <v>5655.571502400001</v>
      </c>
      <c r="AP484" s="507">
        <f>Port[[#This Row],[EAD_Drawn (THB)]]+Port[[#This Row],[EAD_Interest (THB)]]</f>
        <v>445978.30629599997</v>
      </c>
      <c r="AQ48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6595.4150693999991</v>
      </c>
      <c r="AR484" s="522">
        <f>MAX(Port[[#This Row],[ECL (THB)]]+Port[[#This Row],[ECL_Interest (THB)]], Port[[#This Row],[ECL CBIRC (THB)]])</f>
        <v>8234.2536323833483</v>
      </c>
    </row>
    <row r="485" spans="1:44">
      <c r="A485" s="2" t="s">
        <v>1188</v>
      </c>
      <c r="B485" s="2" t="s">
        <v>347</v>
      </c>
      <c r="C485" s="2" t="s">
        <v>328</v>
      </c>
      <c r="D485" s="2" t="s">
        <v>348</v>
      </c>
      <c r="E485" s="2" t="s">
        <v>19</v>
      </c>
      <c r="F485" s="2" t="s">
        <v>20</v>
      </c>
      <c r="G485" s="2" t="s">
        <v>21</v>
      </c>
      <c r="H485">
        <v>1</v>
      </c>
      <c r="I485" s="2" t="s">
        <v>526</v>
      </c>
      <c r="J485" s="505">
        <v>2.0514833509807026E-2</v>
      </c>
      <c r="K485" s="505">
        <v>0.9</v>
      </c>
      <c r="L485" s="3">
        <v>1</v>
      </c>
      <c r="M485" s="3">
        <v>5.2488000000000001</v>
      </c>
      <c r="N485" s="507">
        <v>445910.16</v>
      </c>
      <c r="O485" s="507">
        <v>0</v>
      </c>
      <c r="P485" s="507">
        <v>445910.16</v>
      </c>
      <c r="Q485" s="507">
        <v>6372.8</v>
      </c>
      <c r="R485" s="507">
        <v>8232.995423458271</v>
      </c>
      <c r="S485" s="507">
        <v>0</v>
      </c>
      <c r="T485" s="507">
        <v>8232.995423458271</v>
      </c>
      <c r="U485" s="507">
        <v>117.66323789216841</v>
      </c>
      <c r="V485" s="507">
        <f>Port[[#This Row],[EAD_Drawn (CNY)]]*Port[[#This Row],[CNY -&gt; FCY]]</f>
        <v>445910.16</v>
      </c>
      <c r="W485" s="507">
        <f>Port[[#This Row],[EAD_Undrawn (CNY)]]*Port[[#This Row],[CNY -&gt; FCY]]</f>
        <v>0</v>
      </c>
      <c r="X485" s="507">
        <f>Port[[#This Row],[EAD (CNY)]]*Port[[#This Row],[CNY -&gt; FCY]]</f>
        <v>445910.16</v>
      </c>
      <c r="Y485" s="507">
        <f>Port[[#This Row],[EAD_Interest (CNY)]]*Port[[#This Row],[CNY -&gt; FCY]]</f>
        <v>6372.8</v>
      </c>
      <c r="Z485" s="507">
        <f>Port[[#This Row],[ECL_Drawn (CNY)]]*Port[[#This Row],[CNY -&gt; FCY]]</f>
        <v>8232.995423458271</v>
      </c>
      <c r="AA485" s="507">
        <f>Port[[#This Row],[ECL_Undrawn (CNY)]]*Port[[#This Row],[CNY -&gt; FCY]]</f>
        <v>0</v>
      </c>
      <c r="AB485" s="507">
        <f>Port[[#This Row],[ECL (CNY)]]*Port[[#This Row],[CNY -&gt; FCY]]</f>
        <v>8232.995423458271</v>
      </c>
      <c r="AC485" s="507">
        <f>Port[[#This Row],[ECL_Interest (CNY)]]*Port[[#This Row],[CNY -&gt; FCY]]</f>
        <v>117.66323789216841</v>
      </c>
      <c r="AD485" s="507">
        <f>Port[[#This Row],[EAD_Drawn (CNY)]]*Port[[#This Row],[CNY -&gt; THB]]</f>
        <v>2340493.2478080001</v>
      </c>
      <c r="AE485" s="507">
        <f>Port[[#This Row],[EAD_Undrawn (CNY)]]*Port[[#This Row],[CNY -&gt; THB]]</f>
        <v>0</v>
      </c>
      <c r="AF485" s="507">
        <f>Port[[#This Row],[EAD (CNY)]]*Port[[#This Row],[CNY -&gt; THB]]</f>
        <v>2340493.2478080001</v>
      </c>
      <c r="AG485" s="507">
        <f>Port[[#This Row],[EAD_Interest (CNY)]]*Port[[#This Row],[CNY -&gt; THB]]</f>
        <v>33449.552640000002</v>
      </c>
      <c r="AH485" s="507">
        <f>Port[[#This Row],[ECL_Drawn (CNY)]]*Port[[#This Row],[CNY -&gt; THB]]</f>
        <v>43213.346378647773</v>
      </c>
      <c r="AI485" s="507">
        <f>Port[[#This Row],[ECL_Undrawn (CNY)]]*Port[[#This Row],[CNY -&gt; THB]]</f>
        <v>0</v>
      </c>
      <c r="AJ485" s="507">
        <f>Port[[#This Row],[ECL (CNY)]]*Port[[#This Row],[CNY -&gt; THB]]</f>
        <v>43213.346378647773</v>
      </c>
      <c r="AK485" s="507">
        <f>Port[[#This Row],[ECL_Interest (CNY)]]*Port[[#This Row],[CNY -&gt; THB]]</f>
        <v>617.59080304841359</v>
      </c>
      <c r="AL485" s="507">
        <f>Port[[#This Row],[EAD (THB)]]*Port[[#This Row],[PD_avg]]</f>
        <v>48014.829309608642</v>
      </c>
      <c r="AM485" s="507">
        <f>Port[[#This Row],[EAD_Interest (THB)]]*Port[[#This Row],[PD_avg]]</f>
        <v>686.21200338712606</v>
      </c>
      <c r="AN485" s="507">
        <f>Port[[#This Row],[EAD (THB)]]*Port[[#This Row],[LGD_avg]]</f>
        <v>2106443.9230272002</v>
      </c>
      <c r="AO485" s="507">
        <f>Port[[#This Row],[EAD_Interest (THB)]]*Port[[#This Row],[LGD_avg]]</f>
        <v>30104.597376000002</v>
      </c>
      <c r="AP485" s="507">
        <f>Port[[#This Row],[EAD_Drawn (THB)]]+Port[[#This Row],[EAD_Interest (THB)]]</f>
        <v>2373942.800448</v>
      </c>
      <c r="AQ48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35107.398717119999</v>
      </c>
      <c r="AR485" s="522">
        <f>MAX(Port[[#This Row],[ECL (THB)]]+Port[[#This Row],[ECL_Interest (THB)]], Port[[#This Row],[ECL CBIRC (THB)]])</f>
        <v>43830.937181696187</v>
      </c>
    </row>
    <row r="486" spans="1:44">
      <c r="A486" s="2" t="s">
        <v>1189</v>
      </c>
      <c r="B486" s="2" t="s">
        <v>1190</v>
      </c>
      <c r="C486" s="2" t="s">
        <v>328</v>
      </c>
      <c r="D486" s="2" t="s">
        <v>18</v>
      </c>
      <c r="E486" s="2" t="s">
        <v>19</v>
      </c>
      <c r="F486" s="2" t="s">
        <v>20</v>
      </c>
      <c r="G486" s="2" t="s">
        <v>21</v>
      </c>
      <c r="H486">
        <v>1</v>
      </c>
      <c r="I486" s="2" t="s">
        <v>526</v>
      </c>
      <c r="J486" s="505">
        <v>1.3043899345507868E-2</v>
      </c>
      <c r="K486" s="505">
        <v>0.89999999999999991</v>
      </c>
      <c r="L486" s="3">
        <v>1</v>
      </c>
      <c r="M486" s="3">
        <v>5.2488000000000001</v>
      </c>
      <c r="N486" s="507">
        <v>5000000</v>
      </c>
      <c r="O486" s="507">
        <v>0</v>
      </c>
      <c r="P486" s="507">
        <v>5000000</v>
      </c>
      <c r="Q486" s="507">
        <v>90000</v>
      </c>
      <c r="R486" s="507">
        <v>58697.547054785406</v>
      </c>
      <c r="S486" s="507">
        <v>0</v>
      </c>
      <c r="T486" s="507">
        <v>58697.547054785406</v>
      </c>
      <c r="U486" s="507">
        <v>1056.5558469861373</v>
      </c>
      <c r="V486" s="507">
        <f>Port[[#This Row],[EAD_Drawn (CNY)]]*Port[[#This Row],[CNY -&gt; FCY]]</f>
        <v>5000000</v>
      </c>
      <c r="W486" s="507">
        <f>Port[[#This Row],[EAD_Undrawn (CNY)]]*Port[[#This Row],[CNY -&gt; FCY]]</f>
        <v>0</v>
      </c>
      <c r="X486" s="507">
        <f>Port[[#This Row],[EAD (CNY)]]*Port[[#This Row],[CNY -&gt; FCY]]</f>
        <v>5000000</v>
      </c>
      <c r="Y486" s="507">
        <f>Port[[#This Row],[EAD_Interest (CNY)]]*Port[[#This Row],[CNY -&gt; FCY]]</f>
        <v>90000</v>
      </c>
      <c r="Z486" s="507">
        <f>Port[[#This Row],[ECL_Drawn (CNY)]]*Port[[#This Row],[CNY -&gt; FCY]]</f>
        <v>58697.547054785406</v>
      </c>
      <c r="AA486" s="507">
        <f>Port[[#This Row],[ECL_Undrawn (CNY)]]*Port[[#This Row],[CNY -&gt; FCY]]</f>
        <v>0</v>
      </c>
      <c r="AB486" s="507">
        <f>Port[[#This Row],[ECL (CNY)]]*Port[[#This Row],[CNY -&gt; FCY]]</f>
        <v>58697.547054785406</v>
      </c>
      <c r="AC486" s="507">
        <f>Port[[#This Row],[ECL_Interest (CNY)]]*Port[[#This Row],[CNY -&gt; FCY]]</f>
        <v>1056.5558469861373</v>
      </c>
      <c r="AD486" s="507">
        <f>Port[[#This Row],[EAD_Drawn (CNY)]]*Port[[#This Row],[CNY -&gt; THB]]</f>
        <v>26244000</v>
      </c>
      <c r="AE486" s="507">
        <f>Port[[#This Row],[EAD_Undrawn (CNY)]]*Port[[#This Row],[CNY -&gt; THB]]</f>
        <v>0</v>
      </c>
      <c r="AF486" s="507">
        <f>Port[[#This Row],[EAD (CNY)]]*Port[[#This Row],[CNY -&gt; THB]]</f>
        <v>26244000</v>
      </c>
      <c r="AG486" s="507">
        <f>Port[[#This Row],[EAD_Interest (CNY)]]*Port[[#This Row],[CNY -&gt; THB]]</f>
        <v>472392</v>
      </c>
      <c r="AH486" s="507">
        <f>Port[[#This Row],[ECL_Drawn (CNY)]]*Port[[#This Row],[CNY -&gt; THB]]</f>
        <v>308091.68498115765</v>
      </c>
      <c r="AI486" s="507">
        <f>Port[[#This Row],[ECL_Undrawn (CNY)]]*Port[[#This Row],[CNY -&gt; THB]]</f>
        <v>0</v>
      </c>
      <c r="AJ486" s="507">
        <f>Port[[#This Row],[ECL (CNY)]]*Port[[#This Row],[CNY -&gt; THB]]</f>
        <v>308091.68498115765</v>
      </c>
      <c r="AK486" s="507">
        <f>Port[[#This Row],[ECL_Interest (CNY)]]*Port[[#This Row],[CNY -&gt; THB]]</f>
        <v>5545.650329660838</v>
      </c>
      <c r="AL486" s="507">
        <f>Port[[#This Row],[EAD (THB)]]*Port[[#This Row],[PD_avg]]</f>
        <v>342324.0944235085</v>
      </c>
      <c r="AM486" s="507">
        <f>Port[[#This Row],[EAD_Interest (THB)]]*Port[[#This Row],[PD_avg]]</f>
        <v>6161.8336996231528</v>
      </c>
      <c r="AN486" s="507">
        <f>Port[[#This Row],[EAD (THB)]]*Port[[#This Row],[LGD_avg]]</f>
        <v>23619599.999999996</v>
      </c>
      <c r="AO486" s="507">
        <f>Port[[#This Row],[EAD_Interest (THB)]]*Port[[#This Row],[LGD_avg]]</f>
        <v>425152.79999999993</v>
      </c>
      <c r="AP486" s="507">
        <f>Port[[#This Row],[EAD_Drawn (THB)]]+Port[[#This Row],[EAD_Interest (THB)]]</f>
        <v>26716392</v>
      </c>
      <c r="AQ48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86" s="522">
        <f>MAX(Port[[#This Row],[ECL (THB)]]+Port[[#This Row],[ECL_Interest (THB)]], Port[[#This Row],[ECL CBIRC (THB)]])</f>
        <v>393660</v>
      </c>
    </row>
    <row r="487" spans="1:44">
      <c r="A487" s="2" t="s">
        <v>1191</v>
      </c>
      <c r="B487" s="2" t="s">
        <v>1190</v>
      </c>
      <c r="C487" s="2" t="s">
        <v>328</v>
      </c>
      <c r="D487" s="2" t="s">
        <v>18</v>
      </c>
      <c r="E487" s="2" t="s">
        <v>19</v>
      </c>
      <c r="F487" s="2" t="s">
        <v>20</v>
      </c>
      <c r="G487" s="2" t="s">
        <v>21</v>
      </c>
      <c r="H487">
        <v>1</v>
      </c>
      <c r="I487" s="2" t="s">
        <v>526</v>
      </c>
      <c r="J487" s="505">
        <v>1.3043899345507868E-2</v>
      </c>
      <c r="K487" s="505">
        <v>0.89999999999999991</v>
      </c>
      <c r="L487" s="3">
        <v>1</v>
      </c>
      <c r="M487" s="3">
        <v>5.2488000000000001</v>
      </c>
      <c r="N487" s="507">
        <v>5000000</v>
      </c>
      <c r="O487" s="507">
        <v>0</v>
      </c>
      <c r="P487" s="507">
        <v>5000000</v>
      </c>
      <c r="Q487" s="507">
        <v>90000</v>
      </c>
      <c r="R487" s="507">
        <v>58697.547054785406</v>
      </c>
      <c r="S487" s="507">
        <v>0</v>
      </c>
      <c r="T487" s="507">
        <v>58697.547054785406</v>
      </c>
      <c r="U487" s="507">
        <v>1056.5558469861373</v>
      </c>
      <c r="V487" s="507">
        <f>Port[[#This Row],[EAD_Drawn (CNY)]]*Port[[#This Row],[CNY -&gt; FCY]]</f>
        <v>5000000</v>
      </c>
      <c r="W487" s="507">
        <f>Port[[#This Row],[EAD_Undrawn (CNY)]]*Port[[#This Row],[CNY -&gt; FCY]]</f>
        <v>0</v>
      </c>
      <c r="X487" s="507">
        <f>Port[[#This Row],[EAD (CNY)]]*Port[[#This Row],[CNY -&gt; FCY]]</f>
        <v>5000000</v>
      </c>
      <c r="Y487" s="507">
        <f>Port[[#This Row],[EAD_Interest (CNY)]]*Port[[#This Row],[CNY -&gt; FCY]]</f>
        <v>90000</v>
      </c>
      <c r="Z487" s="507">
        <f>Port[[#This Row],[ECL_Drawn (CNY)]]*Port[[#This Row],[CNY -&gt; FCY]]</f>
        <v>58697.547054785406</v>
      </c>
      <c r="AA487" s="507">
        <f>Port[[#This Row],[ECL_Undrawn (CNY)]]*Port[[#This Row],[CNY -&gt; FCY]]</f>
        <v>0</v>
      </c>
      <c r="AB487" s="507">
        <f>Port[[#This Row],[ECL (CNY)]]*Port[[#This Row],[CNY -&gt; FCY]]</f>
        <v>58697.547054785406</v>
      </c>
      <c r="AC487" s="507">
        <f>Port[[#This Row],[ECL_Interest (CNY)]]*Port[[#This Row],[CNY -&gt; FCY]]</f>
        <v>1056.5558469861373</v>
      </c>
      <c r="AD487" s="507">
        <f>Port[[#This Row],[EAD_Drawn (CNY)]]*Port[[#This Row],[CNY -&gt; THB]]</f>
        <v>26244000</v>
      </c>
      <c r="AE487" s="507">
        <f>Port[[#This Row],[EAD_Undrawn (CNY)]]*Port[[#This Row],[CNY -&gt; THB]]</f>
        <v>0</v>
      </c>
      <c r="AF487" s="507">
        <f>Port[[#This Row],[EAD (CNY)]]*Port[[#This Row],[CNY -&gt; THB]]</f>
        <v>26244000</v>
      </c>
      <c r="AG487" s="507">
        <f>Port[[#This Row],[EAD_Interest (CNY)]]*Port[[#This Row],[CNY -&gt; THB]]</f>
        <v>472392</v>
      </c>
      <c r="AH487" s="507">
        <f>Port[[#This Row],[ECL_Drawn (CNY)]]*Port[[#This Row],[CNY -&gt; THB]]</f>
        <v>308091.68498115765</v>
      </c>
      <c r="AI487" s="507">
        <f>Port[[#This Row],[ECL_Undrawn (CNY)]]*Port[[#This Row],[CNY -&gt; THB]]</f>
        <v>0</v>
      </c>
      <c r="AJ487" s="507">
        <f>Port[[#This Row],[ECL (CNY)]]*Port[[#This Row],[CNY -&gt; THB]]</f>
        <v>308091.68498115765</v>
      </c>
      <c r="AK487" s="507">
        <f>Port[[#This Row],[ECL_Interest (CNY)]]*Port[[#This Row],[CNY -&gt; THB]]</f>
        <v>5545.650329660838</v>
      </c>
      <c r="AL487" s="507">
        <f>Port[[#This Row],[EAD (THB)]]*Port[[#This Row],[PD_avg]]</f>
        <v>342324.0944235085</v>
      </c>
      <c r="AM487" s="507">
        <f>Port[[#This Row],[EAD_Interest (THB)]]*Port[[#This Row],[PD_avg]]</f>
        <v>6161.8336996231528</v>
      </c>
      <c r="AN487" s="507">
        <f>Port[[#This Row],[EAD (THB)]]*Port[[#This Row],[LGD_avg]]</f>
        <v>23619599.999999996</v>
      </c>
      <c r="AO487" s="507">
        <f>Port[[#This Row],[EAD_Interest (THB)]]*Port[[#This Row],[LGD_avg]]</f>
        <v>425152.79999999993</v>
      </c>
      <c r="AP487" s="507">
        <f>Port[[#This Row],[EAD_Drawn (THB)]]+Port[[#This Row],[EAD_Interest (THB)]]</f>
        <v>26716392</v>
      </c>
      <c r="AQ48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87" s="522">
        <f>MAX(Port[[#This Row],[ECL (THB)]]+Port[[#This Row],[ECL_Interest (THB)]], Port[[#This Row],[ECL CBIRC (THB)]])</f>
        <v>393660</v>
      </c>
    </row>
    <row r="488" spans="1:44">
      <c r="A488" s="2" t="s">
        <v>1192</v>
      </c>
      <c r="B488" s="2" t="s">
        <v>368</v>
      </c>
      <c r="C488" s="2" t="s">
        <v>328</v>
      </c>
      <c r="D488" s="2" t="s">
        <v>18</v>
      </c>
      <c r="E488" s="2" t="s">
        <v>19</v>
      </c>
      <c r="F488" s="2" t="s">
        <v>20</v>
      </c>
      <c r="G488" s="2" t="s">
        <v>21</v>
      </c>
      <c r="H488">
        <v>1</v>
      </c>
      <c r="I488" s="2" t="s">
        <v>526</v>
      </c>
      <c r="J488" s="505">
        <v>2.0514833509807026E-2</v>
      </c>
      <c r="K488" s="505">
        <v>0.90000000000000013</v>
      </c>
      <c r="L488" s="3">
        <v>1</v>
      </c>
      <c r="M488" s="3">
        <v>5.2488000000000001</v>
      </c>
      <c r="N488" s="507">
        <v>158784.75</v>
      </c>
      <c r="O488" s="507">
        <v>0</v>
      </c>
      <c r="P488" s="507">
        <v>158784.75</v>
      </c>
      <c r="Q488" s="507">
        <v>2226.0700000000002</v>
      </c>
      <c r="R488" s="507">
        <v>2931.6984391316983</v>
      </c>
      <c r="S488" s="507">
        <v>0</v>
      </c>
      <c r="T488" s="507">
        <v>2931.6984391316983</v>
      </c>
      <c r="U488" s="507">
        <v>41.100709888058525</v>
      </c>
      <c r="V488" s="507">
        <f>Port[[#This Row],[EAD_Drawn (CNY)]]*Port[[#This Row],[CNY -&gt; FCY]]</f>
        <v>158784.75</v>
      </c>
      <c r="W488" s="507">
        <f>Port[[#This Row],[EAD_Undrawn (CNY)]]*Port[[#This Row],[CNY -&gt; FCY]]</f>
        <v>0</v>
      </c>
      <c r="X488" s="507">
        <f>Port[[#This Row],[EAD (CNY)]]*Port[[#This Row],[CNY -&gt; FCY]]</f>
        <v>158784.75</v>
      </c>
      <c r="Y488" s="507">
        <f>Port[[#This Row],[EAD_Interest (CNY)]]*Port[[#This Row],[CNY -&gt; FCY]]</f>
        <v>2226.0700000000002</v>
      </c>
      <c r="Z488" s="507">
        <f>Port[[#This Row],[ECL_Drawn (CNY)]]*Port[[#This Row],[CNY -&gt; FCY]]</f>
        <v>2931.6984391316983</v>
      </c>
      <c r="AA488" s="507">
        <f>Port[[#This Row],[ECL_Undrawn (CNY)]]*Port[[#This Row],[CNY -&gt; FCY]]</f>
        <v>0</v>
      </c>
      <c r="AB488" s="507">
        <f>Port[[#This Row],[ECL (CNY)]]*Port[[#This Row],[CNY -&gt; FCY]]</f>
        <v>2931.6984391316983</v>
      </c>
      <c r="AC488" s="507">
        <f>Port[[#This Row],[ECL_Interest (CNY)]]*Port[[#This Row],[CNY -&gt; FCY]]</f>
        <v>41.100709888058525</v>
      </c>
      <c r="AD488" s="507">
        <f>Port[[#This Row],[EAD_Drawn (CNY)]]*Port[[#This Row],[CNY -&gt; THB]]</f>
        <v>833429.39580000006</v>
      </c>
      <c r="AE488" s="507">
        <f>Port[[#This Row],[EAD_Undrawn (CNY)]]*Port[[#This Row],[CNY -&gt; THB]]</f>
        <v>0</v>
      </c>
      <c r="AF488" s="507">
        <f>Port[[#This Row],[EAD (CNY)]]*Port[[#This Row],[CNY -&gt; THB]]</f>
        <v>833429.39580000006</v>
      </c>
      <c r="AG488" s="507">
        <f>Port[[#This Row],[EAD_Interest (CNY)]]*Port[[#This Row],[CNY -&gt; THB]]</f>
        <v>11684.196216</v>
      </c>
      <c r="AH488" s="507">
        <f>Port[[#This Row],[ECL_Drawn (CNY)]]*Port[[#This Row],[CNY -&gt; THB]]</f>
        <v>15387.898767314458</v>
      </c>
      <c r="AI488" s="507">
        <f>Port[[#This Row],[ECL_Undrawn (CNY)]]*Port[[#This Row],[CNY -&gt; THB]]</f>
        <v>0</v>
      </c>
      <c r="AJ488" s="507">
        <f>Port[[#This Row],[ECL (CNY)]]*Port[[#This Row],[CNY -&gt; THB]]</f>
        <v>15387.898767314458</v>
      </c>
      <c r="AK488" s="507">
        <f>Port[[#This Row],[ECL_Interest (CNY)]]*Port[[#This Row],[CNY -&gt; THB]]</f>
        <v>215.72940606044159</v>
      </c>
      <c r="AL488" s="507">
        <f>Port[[#This Row],[EAD (THB)]]*Port[[#This Row],[PD_avg]]</f>
        <v>17097.665297016065</v>
      </c>
      <c r="AM488" s="507">
        <f>Port[[#This Row],[EAD_Interest (THB)]]*Port[[#This Row],[PD_avg]]</f>
        <v>239.69934006715727</v>
      </c>
      <c r="AN488" s="507">
        <f>Port[[#This Row],[EAD (THB)]]*Port[[#This Row],[LGD_avg]]</f>
        <v>750086.45622000017</v>
      </c>
      <c r="AO488" s="507">
        <f>Port[[#This Row],[EAD_Interest (THB)]]*Port[[#This Row],[LGD_avg]]</f>
        <v>10515.776594400002</v>
      </c>
      <c r="AP488" s="507">
        <f>Port[[#This Row],[EAD_Drawn (THB)]]+Port[[#This Row],[EAD_Interest (THB)]]</f>
        <v>845113.59201600007</v>
      </c>
      <c r="AQ48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12501.440937000001</v>
      </c>
      <c r="AR488" s="522">
        <f>MAX(Port[[#This Row],[ECL (THB)]]+Port[[#This Row],[ECL_Interest (THB)]], Port[[#This Row],[ECL CBIRC (THB)]])</f>
        <v>15603.6281733749</v>
      </c>
    </row>
    <row r="489" spans="1:44">
      <c r="A489" s="2" t="s">
        <v>1193</v>
      </c>
      <c r="B489" s="2" t="s">
        <v>368</v>
      </c>
      <c r="C489" s="2" t="s">
        <v>328</v>
      </c>
      <c r="D489" s="2" t="s">
        <v>18</v>
      </c>
      <c r="E489" s="2" t="s">
        <v>19</v>
      </c>
      <c r="F489" s="2" t="s">
        <v>20</v>
      </c>
      <c r="G489" s="2" t="s">
        <v>21</v>
      </c>
      <c r="H489">
        <v>1</v>
      </c>
      <c r="I489" s="2" t="s">
        <v>526</v>
      </c>
      <c r="J489" s="505">
        <v>2.0514833509807026E-2</v>
      </c>
      <c r="K489" s="505">
        <v>0.9</v>
      </c>
      <c r="L489" s="3">
        <v>1</v>
      </c>
      <c r="M489" s="3">
        <v>5.2488000000000001</v>
      </c>
      <c r="N489" s="507">
        <v>22660.28</v>
      </c>
      <c r="O489" s="507">
        <v>0</v>
      </c>
      <c r="P489" s="507">
        <v>22660.28</v>
      </c>
      <c r="Q489" s="507">
        <v>317.68</v>
      </c>
      <c r="R489" s="507">
        <v>418.38468433704895</v>
      </c>
      <c r="S489" s="507">
        <v>0</v>
      </c>
      <c r="T489" s="507">
        <v>418.38468433704895</v>
      </c>
      <c r="U489" s="507">
        <v>5.8654370784559466</v>
      </c>
      <c r="V489" s="507">
        <f>Port[[#This Row],[EAD_Drawn (CNY)]]*Port[[#This Row],[CNY -&gt; FCY]]</f>
        <v>22660.28</v>
      </c>
      <c r="W489" s="507">
        <f>Port[[#This Row],[EAD_Undrawn (CNY)]]*Port[[#This Row],[CNY -&gt; FCY]]</f>
        <v>0</v>
      </c>
      <c r="X489" s="507">
        <f>Port[[#This Row],[EAD (CNY)]]*Port[[#This Row],[CNY -&gt; FCY]]</f>
        <v>22660.28</v>
      </c>
      <c r="Y489" s="507">
        <f>Port[[#This Row],[EAD_Interest (CNY)]]*Port[[#This Row],[CNY -&gt; FCY]]</f>
        <v>317.68</v>
      </c>
      <c r="Z489" s="507">
        <f>Port[[#This Row],[ECL_Drawn (CNY)]]*Port[[#This Row],[CNY -&gt; FCY]]</f>
        <v>418.38468433704895</v>
      </c>
      <c r="AA489" s="507">
        <f>Port[[#This Row],[ECL_Undrawn (CNY)]]*Port[[#This Row],[CNY -&gt; FCY]]</f>
        <v>0</v>
      </c>
      <c r="AB489" s="507">
        <f>Port[[#This Row],[ECL (CNY)]]*Port[[#This Row],[CNY -&gt; FCY]]</f>
        <v>418.38468433704895</v>
      </c>
      <c r="AC489" s="507">
        <f>Port[[#This Row],[ECL_Interest (CNY)]]*Port[[#This Row],[CNY -&gt; FCY]]</f>
        <v>5.8654370784559466</v>
      </c>
      <c r="AD489" s="507">
        <f>Port[[#This Row],[EAD_Drawn (CNY)]]*Port[[#This Row],[CNY -&gt; THB]]</f>
        <v>118939.27766399999</v>
      </c>
      <c r="AE489" s="507">
        <f>Port[[#This Row],[EAD_Undrawn (CNY)]]*Port[[#This Row],[CNY -&gt; THB]]</f>
        <v>0</v>
      </c>
      <c r="AF489" s="507">
        <f>Port[[#This Row],[EAD (CNY)]]*Port[[#This Row],[CNY -&gt; THB]]</f>
        <v>118939.27766399999</v>
      </c>
      <c r="AG489" s="507">
        <f>Port[[#This Row],[EAD_Interest (CNY)]]*Port[[#This Row],[CNY -&gt; THB]]</f>
        <v>1667.4387840000002</v>
      </c>
      <c r="AH489" s="507">
        <f>Port[[#This Row],[ECL_Drawn (CNY)]]*Port[[#This Row],[CNY -&gt; THB]]</f>
        <v>2196.0175311483026</v>
      </c>
      <c r="AI489" s="507">
        <f>Port[[#This Row],[ECL_Undrawn (CNY)]]*Port[[#This Row],[CNY -&gt; THB]]</f>
        <v>0</v>
      </c>
      <c r="AJ489" s="507">
        <f>Port[[#This Row],[ECL (CNY)]]*Port[[#This Row],[CNY -&gt; THB]]</f>
        <v>2196.0175311483026</v>
      </c>
      <c r="AK489" s="507">
        <f>Port[[#This Row],[ECL_Interest (CNY)]]*Port[[#This Row],[CNY -&gt; THB]]</f>
        <v>30.786506137399574</v>
      </c>
      <c r="AL489" s="507">
        <f>Port[[#This Row],[EAD (THB)]]*Port[[#This Row],[PD_avg]]</f>
        <v>2440.0194790536693</v>
      </c>
      <c r="AM489" s="507">
        <f>Port[[#This Row],[EAD_Interest (THB)]]*Port[[#This Row],[PD_avg]]</f>
        <v>34.207229041555081</v>
      </c>
      <c r="AN489" s="507">
        <f>Port[[#This Row],[EAD (THB)]]*Port[[#This Row],[LGD_avg]]</f>
        <v>107045.3498976</v>
      </c>
      <c r="AO489" s="507">
        <f>Port[[#This Row],[EAD_Interest (THB)]]*Port[[#This Row],[LGD_avg]]</f>
        <v>1500.6949056000001</v>
      </c>
      <c r="AP489" s="507">
        <f>Port[[#This Row],[EAD_Drawn (THB)]]+Port[[#This Row],[EAD_Interest (THB)]]</f>
        <v>120606.71644799999</v>
      </c>
      <c r="AQ48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1784.0891649599998</v>
      </c>
      <c r="AR489" s="522">
        <f>MAX(Port[[#This Row],[ECL (THB)]]+Port[[#This Row],[ECL_Interest (THB)]], Port[[#This Row],[ECL CBIRC (THB)]])</f>
        <v>2226.8040372857022</v>
      </c>
    </row>
    <row r="490" spans="1:44">
      <c r="A490" s="2" t="s">
        <v>1194</v>
      </c>
      <c r="B490" s="2" t="s">
        <v>1195</v>
      </c>
      <c r="C490" s="2" t="s">
        <v>328</v>
      </c>
      <c r="D490" s="2" t="s">
        <v>18</v>
      </c>
      <c r="E490" s="2" t="s">
        <v>19</v>
      </c>
      <c r="F490" s="2" t="s">
        <v>20</v>
      </c>
      <c r="G490" s="2" t="s">
        <v>21</v>
      </c>
      <c r="H490">
        <v>1</v>
      </c>
      <c r="I490" s="2" t="s">
        <v>526</v>
      </c>
      <c r="J490" s="505">
        <v>2.0514833509807026E-2</v>
      </c>
      <c r="K490" s="505">
        <v>0.9</v>
      </c>
      <c r="L490" s="3">
        <v>1</v>
      </c>
      <c r="M490" s="3">
        <v>5.2488000000000001</v>
      </c>
      <c r="N490" s="507">
        <v>5000000</v>
      </c>
      <c r="O490" s="507">
        <v>0</v>
      </c>
      <c r="P490" s="507">
        <v>5000000</v>
      </c>
      <c r="Q490" s="507">
        <v>70777.78</v>
      </c>
      <c r="R490" s="507">
        <v>92316.750794131629</v>
      </c>
      <c r="S490" s="507">
        <v>0</v>
      </c>
      <c r="T490" s="507">
        <v>92316.750794131629</v>
      </c>
      <c r="U490" s="507">
        <v>1306.7949356043746</v>
      </c>
      <c r="V490" s="507">
        <f>Port[[#This Row],[EAD_Drawn (CNY)]]*Port[[#This Row],[CNY -&gt; FCY]]</f>
        <v>5000000</v>
      </c>
      <c r="W490" s="507">
        <f>Port[[#This Row],[EAD_Undrawn (CNY)]]*Port[[#This Row],[CNY -&gt; FCY]]</f>
        <v>0</v>
      </c>
      <c r="X490" s="507">
        <f>Port[[#This Row],[EAD (CNY)]]*Port[[#This Row],[CNY -&gt; FCY]]</f>
        <v>5000000</v>
      </c>
      <c r="Y490" s="507">
        <f>Port[[#This Row],[EAD_Interest (CNY)]]*Port[[#This Row],[CNY -&gt; FCY]]</f>
        <v>70777.78</v>
      </c>
      <c r="Z490" s="507">
        <f>Port[[#This Row],[ECL_Drawn (CNY)]]*Port[[#This Row],[CNY -&gt; FCY]]</f>
        <v>92316.750794131629</v>
      </c>
      <c r="AA490" s="507">
        <f>Port[[#This Row],[ECL_Undrawn (CNY)]]*Port[[#This Row],[CNY -&gt; FCY]]</f>
        <v>0</v>
      </c>
      <c r="AB490" s="507">
        <f>Port[[#This Row],[ECL (CNY)]]*Port[[#This Row],[CNY -&gt; FCY]]</f>
        <v>92316.750794131629</v>
      </c>
      <c r="AC490" s="507">
        <f>Port[[#This Row],[ECL_Interest (CNY)]]*Port[[#This Row],[CNY -&gt; FCY]]</f>
        <v>1306.7949356043746</v>
      </c>
      <c r="AD490" s="507">
        <f>Port[[#This Row],[EAD_Drawn (CNY)]]*Port[[#This Row],[CNY -&gt; THB]]</f>
        <v>26244000</v>
      </c>
      <c r="AE490" s="507">
        <f>Port[[#This Row],[EAD_Undrawn (CNY)]]*Port[[#This Row],[CNY -&gt; THB]]</f>
        <v>0</v>
      </c>
      <c r="AF490" s="507">
        <f>Port[[#This Row],[EAD (CNY)]]*Port[[#This Row],[CNY -&gt; THB]]</f>
        <v>26244000</v>
      </c>
      <c r="AG490" s="507">
        <f>Port[[#This Row],[EAD_Interest (CNY)]]*Port[[#This Row],[CNY -&gt; THB]]</f>
        <v>371498.41166400001</v>
      </c>
      <c r="AH490" s="507">
        <f>Port[[#This Row],[ECL_Drawn (CNY)]]*Port[[#This Row],[CNY -&gt; THB]]</f>
        <v>484552.16156823811</v>
      </c>
      <c r="AI490" s="507">
        <f>Port[[#This Row],[ECL_Undrawn (CNY)]]*Port[[#This Row],[CNY -&gt; THB]]</f>
        <v>0</v>
      </c>
      <c r="AJ490" s="507">
        <f>Port[[#This Row],[ECL (CNY)]]*Port[[#This Row],[CNY -&gt; THB]]</f>
        <v>484552.16156823811</v>
      </c>
      <c r="AK490" s="507">
        <f>Port[[#This Row],[ECL_Interest (CNY)]]*Port[[#This Row],[CNY -&gt; THB]]</f>
        <v>6859.1052580002415</v>
      </c>
      <c r="AL490" s="507">
        <f>Port[[#This Row],[EAD (THB)]]*Port[[#This Row],[PD_avg]]</f>
        <v>538391.29063137562</v>
      </c>
      <c r="AM490" s="507">
        <f>Port[[#This Row],[EAD_Interest (THB)]]*Port[[#This Row],[PD_avg]]</f>
        <v>7621.2280644447128</v>
      </c>
      <c r="AN490" s="507">
        <f>Port[[#This Row],[EAD (THB)]]*Port[[#This Row],[LGD_avg]]</f>
        <v>23619600</v>
      </c>
      <c r="AO490" s="507">
        <f>Port[[#This Row],[EAD_Interest (THB)]]*Port[[#This Row],[LGD_avg]]</f>
        <v>334348.57049760001</v>
      </c>
      <c r="AP490" s="507">
        <f>Port[[#This Row],[EAD_Drawn (THB)]]+Port[[#This Row],[EAD_Interest (THB)]]</f>
        <v>26615498.411664002</v>
      </c>
      <c r="AQ49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90" s="522">
        <f>MAX(Port[[#This Row],[ECL (THB)]]+Port[[#This Row],[ECL_Interest (THB)]], Port[[#This Row],[ECL CBIRC (THB)]])</f>
        <v>491411.26682623837</v>
      </c>
    </row>
    <row r="491" spans="1:44">
      <c r="A491" s="2" t="s">
        <v>1196</v>
      </c>
      <c r="B491" s="2" t="s">
        <v>373</v>
      </c>
      <c r="C491" s="2" t="s">
        <v>328</v>
      </c>
      <c r="D491" s="2" t="s">
        <v>18</v>
      </c>
      <c r="E491" s="2" t="s">
        <v>19</v>
      </c>
      <c r="F491" s="2" t="s">
        <v>20</v>
      </c>
      <c r="G491" s="2" t="s">
        <v>21</v>
      </c>
      <c r="H491">
        <v>1</v>
      </c>
      <c r="I491" s="2" t="s">
        <v>526</v>
      </c>
      <c r="J491" s="505">
        <v>2.0514833509807026E-2</v>
      </c>
      <c r="K491" s="505">
        <v>0.89999999999999991</v>
      </c>
      <c r="L491" s="3">
        <v>1</v>
      </c>
      <c r="M491" s="3">
        <v>5.2488000000000001</v>
      </c>
      <c r="N491" s="507">
        <v>487775.61</v>
      </c>
      <c r="O491" s="507">
        <v>0</v>
      </c>
      <c r="P491" s="507">
        <v>487775.61</v>
      </c>
      <c r="Q491" s="507">
        <v>6904.73</v>
      </c>
      <c r="R491" s="507">
        <v>9005.9718863651069</v>
      </c>
      <c r="S491" s="507">
        <v>0</v>
      </c>
      <c r="T491" s="507">
        <v>9005.9718863651069</v>
      </c>
      <c r="U491" s="507">
        <v>127.48444774215289</v>
      </c>
      <c r="V491" s="507">
        <f>Port[[#This Row],[EAD_Drawn (CNY)]]*Port[[#This Row],[CNY -&gt; FCY]]</f>
        <v>487775.61</v>
      </c>
      <c r="W491" s="507">
        <f>Port[[#This Row],[EAD_Undrawn (CNY)]]*Port[[#This Row],[CNY -&gt; FCY]]</f>
        <v>0</v>
      </c>
      <c r="X491" s="507">
        <f>Port[[#This Row],[EAD (CNY)]]*Port[[#This Row],[CNY -&gt; FCY]]</f>
        <v>487775.61</v>
      </c>
      <c r="Y491" s="507">
        <f>Port[[#This Row],[EAD_Interest (CNY)]]*Port[[#This Row],[CNY -&gt; FCY]]</f>
        <v>6904.73</v>
      </c>
      <c r="Z491" s="507">
        <f>Port[[#This Row],[ECL_Drawn (CNY)]]*Port[[#This Row],[CNY -&gt; FCY]]</f>
        <v>9005.9718863651069</v>
      </c>
      <c r="AA491" s="507">
        <f>Port[[#This Row],[ECL_Undrawn (CNY)]]*Port[[#This Row],[CNY -&gt; FCY]]</f>
        <v>0</v>
      </c>
      <c r="AB491" s="507">
        <f>Port[[#This Row],[ECL (CNY)]]*Port[[#This Row],[CNY -&gt; FCY]]</f>
        <v>9005.9718863651069</v>
      </c>
      <c r="AC491" s="507">
        <f>Port[[#This Row],[ECL_Interest (CNY)]]*Port[[#This Row],[CNY -&gt; FCY]]</f>
        <v>127.48444774215289</v>
      </c>
      <c r="AD491" s="507">
        <f>Port[[#This Row],[EAD_Drawn (CNY)]]*Port[[#This Row],[CNY -&gt; THB]]</f>
        <v>2560236.6217680001</v>
      </c>
      <c r="AE491" s="507">
        <f>Port[[#This Row],[EAD_Undrawn (CNY)]]*Port[[#This Row],[CNY -&gt; THB]]</f>
        <v>0</v>
      </c>
      <c r="AF491" s="507">
        <f>Port[[#This Row],[EAD (CNY)]]*Port[[#This Row],[CNY -&gt; THB]]</f>
        <v>2560236.6217680001</v>
      </c>
      <c r="AG491" s="507">
        <f>Port[[#This Row],[EAD_Interest (CNY)]]*Port[[#This Row],[CNY -&gt; THB]]</f>
        <v>36241.546823999997</v>
      </c>
      <c r="AH491" s="507">
        <f>Port[[#This Row],[ECL_Drawn (CNY)]]*Port[[#This Row],[CNY -&gt; THB]]</f>
        <v>47270.545237153172</v>
      </c>
      <c r="AI491" s="507">
        <f>Port[[#This Row],[ECL_Undrawn (CNY)]]*Port[[#This Row],[CNY -&gt; THB]]</f>
        <v>0</v>
      </c>
      <c r="AJ491" s="507">
        <f>Port[[#This Row],[ECL (CNY)]]*Port[[#This Row],[CNY -&gt; THB]]</f>
        <v>47270.545237153172</v>
      </c>
      <c r="AK491" s="507">
        <f>Port[[#This Row],[ECL_Interest (CNY)]]*Port[[#This Row],[CNY -&gt; THB]]</f>
        <v>669.14036930901216</v>
      </c>
      <c r="AL491" s="507">
        <f>Port[[#This Row],[EAD (THB)]]*Port[[#This Row],[PD_avg]]</f>
        <v>52522.828041281304</v>
      </c>
      <c r="AM491" s="507">
        <f>Port[[#This Row],[EAD_Interest (THB)]]*Port[[#This Row],[PD_avg]]</f>
        <v>743.48929923223557</v>
      </c>
      <c r="AN491" s="507">
        <f>Port[[#This Row],[EAD (THB)]]*Port[[#This Row],[LGD_avg]]</f>
        <v>2304212.9595911996</v>
      </c>
      <c r="AO491" s="507">
        <f>Port[[#This Row],[EAD_Interest (THB)]]*Port[[#This Row],[LGD_avg]]</f>
        <v>32617.392141599994</v>
      </c>
      <c r="AP491" s="507">
        <f>Port[[#This Row],[EAD_Drawn (THB)]]+Port[[#This Row],[EAD_Interest (THB)]]</f>
        <v>2596478.1685919999</v>
      </c>
      <c r="AQ49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38403.549326519998</v>
      </c>
      <c r="AR491" s="522">
        <f>MAX(Port[[#This Row],[ECL (THB)]]+Port[[#This Row],[ECL_Interest (THB)]], Port[[#This Row],[ECL CBIRC (THB)]])</f>
        <v>47939.685606462182</v>
      </c>
    </row>
    <row r="492" spans="1:44">
      <c r="A492" s="2" t="s">
        <v>1197</v>
      </c>
      <c r="B492" s="2" t="s">
        <v>1195</v>
      </c>
      <c r="C492" s="2" t="s">
        <v>328</v>
      </c>
      <c r="D492" s="2" t="s">
        <v>18</v>
      </c>
      <c r="E492" s="2" t="s">
        <v>19</v>
      </c>
      <c r="F492" s="2" t="s">
        <v>20</v>
      </c>
      <c r="G492" s="2" t="s">
        <v>21</v>
      </c>
      <c r="H492">
        <v>1</v>
      </c>
      <c r="I492" s="2" t="s">
        <v>526</v>
      </c>
      <c r="J492" s="505">
        <v>2.0514833509807026E-2</v>
      </c>
      <c r="K492" s="505">
        <v>0.9</v>
      </c>
      <c r="L492" s="3">
        <v>1</v>
      </c>
      <c r="M492" s="3">
        <v>5.2488000000000001</v>
      </c>
      <c r="N492" s="507">
        <v>173889.65</v>
      </c>
      <c r="O492" s="507">
        <v>0</v>
      </c>
      <c r="P492" s="507">
        <v>173889.65</v>
      </c>
      <c r="Q492" s="507">
        <v>2461.5</v>
      </c>
      <c r="R492" s="507">
        <v>3210.5854969457537</v>
      </c>
      <c r="S492" s="507">
        <v>0</v>
      </c>
      <c r="T492" s="507">
        <v>3210.5854969457537</v>
      </c>
      <c r="U492" s="507">
        <v>45.447536415950999</v>
      </c>
      <c r="V492" s="507">
        <f>Port[[#This Row],[EAD_Drawn (CNY)]]*Port[[#This Row],[CNY -&gt; FCY]]</f>
        <v>173889.65</v>
      </c>
      <c r="W492" s="507">
        <f>Port[[#This Row],[EAD_Undrawn (CNY)]]*Port[[#This Row],[CNY -&gt; FCY]]</f>
        <v>0</v>
      </c>
      <c r="X492" s="507">
        <f>Port[[#This Row],[EAD (CNY)]]*Port[[#This Row],[CNY -&gt; FCY]]</f>
        <v>173889.65</v>
      </c>
      <c r="Y492" s="507">
        <f>Port[[#This Row],[EAD_Interest (CNY)]]*Port[[#This Row],[CNY -&gt; FCY]]</f>
        <v>2461.5</v>
      </c>
      <c r="Z492" s="507">
        <f>Port[[#This Row],[ECL_Drawn (CNY)]]*Port[[#This Row],[CNY -&gt; FCY]]</f>
        <v>3210.5854969457537</v>
      </c>
      <c r="AA492" s="507">
        <f>Port[[#This Row],[ECL_Undrawn (CNY)]]*Port[[#This Row],[CNY -&gt; FCY]]</f>
        <v>0</v>
      </c>
      <c r="AB492" s="507">
        <f>Port[[#This Row],[ECL (CNY)]]*Port[[#This Row],[CNY -&gt; FCY]]</f>
        <v>3210.5854969457537</v>
      </c>
      <c r="AC492" s="507">
        <f>Port[[#This Row],[ECL_Interest (CNY)]]*Port[[#This Row],[CNY -&gt; FCY]]</f>
        <v>45.447536415950999</v>
      </c>
      <c r="AD492" s="507">
        <f>Port[[#This Row],[EAD_Drawn (CNY)]]*Port[[#This Row],[CNY -&gt; THB]]</f>
        <v>912711.99491999997</v>
      </c>
      <c r="AE492" s="507">
        <f>Port[[#This Row],[EAD_Undrawn (CNY)]]*Port[[#This Row],[CNY -&gt; THB]]</f>
        <v>0</v>
      </c>
      <c r="AF492" s="507">
        <f>Port[[#This Row],[EAD (CNY)]]*Port[[#This Row],[CNY -&gt; THB]]</f>
        <v>912711.99491999997</v>
      </c>
      <c r="AG492" s="507">
        <f>Port[[#This Row],[EAD_Interest (CNY)]]*Port[[#This Row],[CNY -&gt; THB]]</f>
        <v>12919.921200000001</v>
      </c>
      <c r="AH492" s="507">
        <f>Port[[#This Row],[ECL_Drawn (CNY)]]*Port[[#This Row],[CNY -&gt; THB]]</f>
        <v>16851.721156368872</v>
      </c>
      <c r="AI492" s="507">
        <f>Port[[#This Row],[ECL_Undrawn (CNY)]]*Port[[#This Row],[CNY -&gt; THB]]</f>
        <v>0</v>
      </c>
      <c r="AJ492" s="507">
        <f>Port[[#This Row],[ECL (CNY)]]*Port[[#This Row],[CNY -&gt; THB]]</f>
        <v>16851.721156368872</v>
      </c>
      <c r="AK492" s="507">
        <f>Port[[#This Row],[ECL_Interest (CNY)]]*Port[[#This Row],[CNY -&gt; THB]]</f>
        <v>238.54502914004362</v>
      </c>
      <c r="AL492" s="507">
        <f>Port[[#This Row],[EAD (THB)]]*Port[[#This Row],[PD_avg]]</f>
        <v>18724.134618187636</v>
      </c>
      <c r="AM492" s="507">
        <f>Port[[#This Row],[EAD_Interest (THB)]]*Port[[#This Row],[PD_avg]]</f>
        <v>265.0500323778262</v>
      </c>
      <c r="AN492" s="507">
        <f>Port[[#This Row],[EAD (THB)]]*Port[[#This Row],[LGD_avg]]</f>
        <v>821440.79542800004</v>
      </c>
      <c r="AO492" s="507">
        <f>Port[[#This Row],[EAD_Interest (THB)]]*Port[[#This Row],[LGD_avg]]</f>
        <v>11627.929080000002</v>
      </c>
      <c r="AP492" s="507">
        <f>Port[[#This Row],[EAD_Drawn (THB)]]+Port[[#This Row],[EAD_Interest (THB)]]</f>
        <v>925631.91611999995</v>
      </c>
      <c r="AQ49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13690.679923799999</v>
      </c>
      <c r="AR492" s="522">
        <f>MAX(Port[[#This Row],[ECL (THB)]]+Port[[#This Row],[ECL_Interest (THB)]], Port[[#This Row],[ECL CBIRC (THB)]])</f>
        <v>17090.266185508917</v>
      </c>
    </row>
    <row r="493" spans="1:44">
      <c r="A493" s="2" t="s">
        <v>1198</v>
      </c>
      <c r="B493" s="2" t="s">
        <v>373</v>
      </c>
      <c r="C493" s="2" t="s">
        <v>328</v>
      </c>
      <c r="D493" s="2" t="s">
        <v>18</v>
      </c>
      <c r="E493" s="2" t="s">
        <v>19</v>
      </c>
      <c r="F493" s="2" t="s">
        <v>20</v>
      </c>
      <c r="G493" s="2" t="s">
        <v>21</v>
      </c>
      <c r="H493">
        <v>1</v>
      </c>
      <c r="I493" s="2" t="s">
        <v>526</v>
      </c>
      <c r="J493" s="505">
        <v>2.0514833509807026E-2</v>
      </c>
      <c r="K493" s="505">
        <v>0.90000000000000036</v>
      </c>
      <c r="L493" s="3">
        <v>1</v>
      </c>
      <c r="M493" s="3">
        <v>5.2488000000000001</v>
      </c>
      <c r="N493" s="507">
        <v>208031.46</v>
      </c>
      <c r="O493" s="507">
        <v>0</v>
      </c>
      <c r="P493" s="507">
        <v>208031.46</v>
      </c>
      <c r="Q493" s="507">
        <v>2916.49</v>
      </c>
      <c r="R493" s="507">
        <v>3840.9576900318725</v>
      </c>
      <c r="S493" s="507">
        <v>0</v>
      </c>
      <c r="T493" s="507">
        <v>3840.9576900318725</v>
      </c>
      <c r="U493" s="507">
        <v>53.848176104715378</v>
      </c>
      <c r="V493" s="507">
        <f>Port[[#This Row],[EAD_Drawn (CNY)]]*Port[[#This Row],[CNY -&gt; FCY]]</f>
        <v>208031.46</v>
      </c>
      <c r="W493" s="507">
        <f>Port[[#This Row],[EAD_Undrawn (CNY)]]*Port[[#This Row],[CNY -&gt; FCY]]</f>
        <v>0</v>
      </c>
      <c r="X493" s="507">
        <f>Port[[#This Row],[EAD (CNY)]]*Port[[#This Row],[CNY -&gt; FCY]]</f>
        <v>208031.46</v>
      </c>
      <c r="Y493" s="507">
        <f>Port[[#This Row],[EAD_Interest (CNY)]]*Port[[#This Row],[CNY -&gt; FCY]]</f>
        <v>2916.49</v>
      </c>
      <c r="Z493" s="507">
        <f>Port[[#This Row],[ECL_Drawn (CNY)]]*Port[[#This Row],[CNY -&gt; FCY]]</f>
        <v>3840.9576900318725</v>
      </c>
      <c r="AA493" s="507">
        <f>Port[[#This Row],[ECL_Undrawn (CNY)]]*Port[[#This Row],[CNY -&gt; FCY]]</f>
        <v>0</v>
      </c>
      <c r="AB493" s="507">
        <f>Port[[#This Row],[ECL (CNY)]]*Port[[#This Row],[CNY -&gt; FCY]]</f>
        <v>3840.9576900318725</v>
      </c>
      <c r="AC493" s="507">
        <f>Port[[#This Row],[ECL_Interest (CNY)]]*Port[[#This Row],[CNY -&gt; FCY]]</f>
        <v>53.848176104715378</v>
      </c>
      <c r="AD493" s="507">
        <f>Port[[#This Row],[EAD_Drawn (CNY)]]*Port[[#This Row],[CNY -&gt; THB]]</f>
        <v>1091915.527248</v>
      </c>
      <c r="AE493" s="507">
        <f>Port[[#This Row],[EAD_Undrawn (CNY)]]*Port[[#This Row],[CNY -&gt; THB]]</f>
        <v>0</v>
      </c>
      <c r="AF493" s="507">
        <f>Port[[#This Row],[EAD (CNY)]]*Port[[#This Row],[CNY -&gt; THB]]</f>
        <v>1091915.527248</v>
      </c>
      <c r="AG493" s="507">
        <f>Port[[#This Row],[EAD_Interest (CNY)]]*Port[[#This Row],[CNY -&gt; THB]]</f>
        <v>15308.072711999999</v>
      </c>
      <c r="AH493" s="507">
        <f>Port[[#This Row],[ECL_Drawn (CNY)]]*Port[[#This Row],[CNY -&gt; THB]]</f>
        <v>20160.418723439292</v>
      </c>
      <c r="AI493" s="507">
        <f>Port[[#This Row],[ECL_Undrawn (CNY)]]*Port[[#This Row],[CNY -&gt; THB]]</f>
        <v>0</v>
      </c>
      <c r="AJ493" s="507">
        <f>Port[[#This Row],[ECL (CNY)]]*Port[[#This Row],[CNY -&gt; THB]]</f>
        <v>20160.418723439292</v>
      </c>
      <c r="AK493" s="507">
        <f>Port[[#This Row],[ECL_Interest (CNY)]]*Port[[#This Row],[CNY -&gt; THB]]</f>
        <v>282.63830673843006</v>
      </c>
      <c r="AL493" s="507">
        <f>Port[[#This Row],[EAD (THB)]]*Port[[#This Row],[PD_avg]]</f>
        <v>22400.465248265878</v>
      </c>
      <c r="AM493" s="507">
        <f>Port[[#This Row],[EAD_Interest (THB)]]*Port[[#This Row],[PD_avg]]</f>
        <v>314.04256304270012</v>
      </c>
      <c r="AN493" s="507">
        <f>Port[[#This Row],[EAD (THB)]]*Port[[#This Row],[LGD_avg]]</f>
        <v>982723.97452320042</v>
      </c>
      <c r="AO493" s="507">
        <f>Port[[#This Row],[EAD_Interest (THB)]]*Port[[#This Row],[LGD_avg]]</f>
        <v>13777.265440800005</v>
      </c>
      <c r="AP493" s="507">
        <f>Port[[#This Row],[EAD_Drawn (THB)]]+Port[[#This Row],[EAD_Interest (THB)]]</f>
        <v>1107223.59996</v>
      </c>
      <c r="AQ49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16378.73290872</v>
      </c>
      <c r="AR493" s="522">
        <f>MAX(Port[[#This Row],[ECL (THB)]]+Port[[#This Row],[ECL_Interest (THB)]], Port[[#This Row],[ECL CBIRC (THB)]])</f>
        <v>20443.057030177722</v>
      </c>
    </row>
    <row r="494" spans="1:44">
      <c r="A494" s="2" t="s">
        <v>1199</v>
      </c>
      <c r="B494" s="2" t="s">
        <v>373</v>
      </c>
      <c r="C494" s="2" t="s">
        <v>328</v>
      </c>
      <c r="D494" s="2" t="s">
        <v>18</v>
      </c>
      <c r="E494" s="2" t="s">
        <v>19</v>
      </c>
      <c r="F494" s="2" t="s">
        <v>20</v>
      </c>
      <c r="G494" s="2" t="s">
        <v>21</v>
      </c>
      <c r="H494">
        <v>1</v>
      </c>
      <c r="I494" s="2" t="s">
        <v>526</v>
      </c>
      <c r="J494" s="505">
        <v>2.0514833509807026E-2</v>
      </c>
      <c r="K494" s="505">
        <v>0.90000000000000024</v>
      </c>
      <c r="L494" s="3">
        <v>1</v>
      </c>
      <c r="M494" s="3">
        <v>5.2488000000000001</v>
      </c>
      <c r="N494" s="507">
        <v>208031.46</v>
      </c>
      <c r="O494" s="507">
        <v>0</v>
      </c>
      <c r="P494" s="507">
        <v>208031.46</v>
      </c>
      <c r="Q494" s="507">
        <v>2350.1799999999998</v>
      </c>
      <c r="R494" s="507">
        <v>3840.9576900318725</v>
      </c>
      <c r="S494" s="507">
        <v>0</v>
      </c>
      <c r="T494" s="507">
        <v>3840.9576900318725</v>
      </c>
      <c r="U494" s="507">
        <v>43.392196276270454</v>
      </c>
      <c r="V494" s="507">
        <f>Port[[#This Row],[EAD_Drawn (CNY)]]*Port[[#This Row],[CNY -&gt; FCY]]</f>
        <v>208031.46</v>
      </c>
      <c r="W494" s="507">
        <f>Port[[#This Row],[EAD_Undrawn (CNY)]]*Port[[#This Row],[CNY -&gt; FCY]]</f>
        <v>0</v>
      </c>
      <c r="X494" s="507">
        <f>Port[[#This Row],[EAD (CNY)]]*Port[[#This Row],[CNY -&gt; FCY]]</f>
        <v>208031.46</v>
      </c>
      <c r="Y494" s="507">
        <f>Port[[#This Row],[EAD_Interest (CNY)]]*Port[[#This Row],[CNY -&gt; FCY]]</f>
        <v>2350.1799999999998</v>
      </c>
      <c r="Z494" s="507">
        <f>Port[[#This Row],[ECL_Drawn (CNY)]]*Port[[#This Row],[CNY -&gt; FCY]]</f>
        <v>3840.9576900318725</v>
      </c>
      <c r="AA494" s="507">
        <f>Port[[#This Row],[ECL_Undrawn (CNY)]]*Port[[#This Row],[CNY -&gt; FCY]]</f>
        <v>0</v>
      </c>
      <c r="AB494" s="507">
        <f>Port[[#This Row],[ECL (CNY)]]*Port[[#This Row],[CNY -&gt; FCY]]</f>
        <v>3840.9576900318725</v>
      </c>
      <c r="AC494" s="507">
        <f>Port[[#This Row],[ECL_Interest (CNY)]]*Port[[#This Row],[CNY -&gt; FCY]]</f>
        <v>43.392196276270454</v>
      </c>
      <c r="AD494" s="507">
        <f>Port[[#This Row],[EAD_Drawn (CNY)]]*Port[[#This Row],[CNY -&gt; THB]]</f>
        <v>1091915.527248</v>
      </c>
      <c r="AE494" s="507">
        <f>Port[[#This Row],[EAD_Undrawn (CNY)]]*Port[[#This Row],[CNY -&gt; THB]]</f>
        <v>0</v>
      </c>
      <c r="AF494" s="507">
        <f>Port[[#This Row],[EAD (CNY)]]*Port[[#This Row],[CNY -&gt; THB]]</f>
        <v>1091915.527248</v>
      </c>
      <c r="AG494" s="507">
        <f>Port[[#This Row],[EAD_Interest (CNY)]]*Port[[#This Row],[CNY -&gt; THB]]</f>
        <v>12335.624784</v>
      </c>
      <c r="AH494" s="507">
        <f>Port[[#This Row],[ECL_Drawn (CNY)]]*Port[[#This Row],[CNY -&gt; THB]]</f>
        <v>20160.418723439292</v>
      </c>
      <c r="AI494" s="507">
        <f>Port[[#This Row],[ECL_Undrawn (CNY)]]*Port[[#This Row],[CNY -&gt; THB]]</f>
        <v>0</v>
      </c>
      <c r="AJ494" s="507">
        <f>Port[[#This Row],[ECL (CNY)]]*Port[[#This Row],[CNY -&gt; THB]]</f>
        <v>20160.418723439292</v>
      </c>
      <c r="AK494" s="507">
        <f>Port[[#This Row],[ECL_Interest (CNY)]]*Port[[#This Row],[CNY -&gt; THB]]</f>
        <v>227.75695981488838</v>
      </c>
      <c r="AL494" s="507">
        <f>Port[[#This Row],[EAD (THB)]]*Port[[#This Row],[PD_avg]]</f>
        <v>22400.465248265878</v>
      </c>
      <c r="AM494" s="507">
        <f>Port[[#This Row],[EAD_Interest (THB)]]*Port[[#This Row],[PD_avg]]</f>
        <v>253.06328868320927</v>
      </c>
      <c r="AN494" s="507">
        <f>Port[[#This Row],[EAD (THB)]]*Port[[#This Row],[LGD_avg]]</f>
        <v>982723.9745232003</v>
      </c>
      <c r="AO494" s="507">
        <f>Port[[#This Row],[EAD_Interest (THB)]]*Port[[#This Row],[LGD_avg]]</f>
        <v>11102.062305600002</v>
      </c>
      <c r="AP494" s="507">
        <f>Port[[#This Row],[EAD_Drawn (THB)]]+Port[[#This Row],[EAD_Interest (THB)]]</f>
        <v>1104251.152032</v>
      </c>
      <c r="AQ49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16378.73290872</v>
      </c>
      <c r="AR494" s="522">
        <f>MAX(Port[[#This Row],[ECL (THB)]]+Port[[#This Row],[ECL_Interest (THB)]], Port[[#This Row],[ECL CBIRC (THB)]])</f>
        <v>20388.17568325418</v>
      </c>
    </row>
    <row r="495" spans="1:44">
      <c r="A495" s="2" t="s">
        <v>1200</v>
      </c>
      <c r="B495" s="2" t="s">
        <v>1093</v>
      </c>
      <c r="C495" s="2" t="s">
        <v>328</v>
      </c>
      <c r="D495" s="2" t="s">
        <v>18</v>
      </c>
      <c r="E495" s="2" t="s">
        <v>19</v>
      </c>
      <c r="F495" s="2" t="s">
        <v>20</v>
      </c>
      <c r="G495" s="2" t="s">
        <v>21</v>
      </c>
      <c r="H495">
        <v>1</v>
      </c>
      <c r="I495" s="2" t="s">
        <v>526</v>
      </c>
      <c r="J495" s="505">
        <v>2.0514833509807026E-2</v>
      </c>
      <c r="K495" s="505">
        <v>0.9</v>
      </c>
      <c r="L495" s="3">
        <v>1</v>
      </c>
      <c r="M495" s="3">
        <v>5.2488000000000001</v>
      </c>
      <c r="N495" s="507">
        <v>33871.910000000003</v>
      </c>
      <c r="O495" s="507">
        <v>0</v>
      </c>
      <c r="P495" s="507">
        <v>33871.910000000003</v>
      </c>
      <c r="Q495" s="507">
        <v>451.81</v>
      </c>
      <c r="R495" s="507">
        <v>625.38893487825101</v>
      </c>
      <c r="S495" s="507">
        <v>0</v>
      </c>
      <c r="T495" s="507">
        <v>625.38893487825101</v>
      </c>
      <c r="U495" s="507">
        <v>8.3419262352593222</v>
      </c>
      <c r="V495" s="507">
        <f>Port[[#This Row],[EAD_Drawn (CNY)]]*Port[[#This Row],[CNY -&gt; FCY]]</f>
        <v>33871.910000000003</v>
      </c>
      <c r="W495" s="507">
        <f>Port[[#This Row],[EAD_Undrawn (CNY)]]*Port[[#This Row],[CNY -&gt; FCY]]</f>
        <v>0</v>
      </c>
      <c r="X495" s="507">
        <f>Port[[#This Row],[EAD (CNY)]]*Port[[#This Row],[CNY -&gt; FCY]]</f>
        <v>33871.910000000003</v>
      </c>
      <c r="Y495" s="507">
        <f>Port[[#This Row],[EAD_Interest (CNY)]]*Port[[#This Row],[CNY -&gt; FCY]]</f>
        <v>451.81</v>
      </c>
      <c r="Z495" s="507">
        <f>Port[[#This Row],[ECL_Drawn (CNY)]]*Port[[#This Row],[CNY -&gt; FCY]]</f>
        <v>625.38893487825101</v>
      </c>
      <c r="AA495" s="507">
        <f>Port[[#This Row],[ECL_Undrawn (CNY)]]*Port[[#This Row],[CNY -&gt; FCY]]</f>
        <v>0</v>
      </c>
      <c r="AB495" s="507">
        <f>Port[[#This Row],[ECL (CNY)]]*Port[[#This Row],[CNY -&gt; FCY]]</f>
        <v>625.38893487825101</v>
      </c>
      <c r="AC495" s="507">
        <f>Port[[#This Row],[ECL_Interest (CNY)]]*Port[[#This Row],[CNY -&gt; FCY]]</f>
        <v>8.3419262352593222</v>
      </c>
      <c r="AD495" s="507">
        <f>Port[[#This Row],[EAD_Drawn (CNY)]]*Port[[#This Row],[CNY -&gt; THB]]</f>
        <v>177786.88120800004</v>
      </c>
      <c r="AE495" s="507">
        <f>Port[[#This Row],[EAD_Undrawn (CNY)]]*Port[[#This Row],[CNY -&gt; THB]]</f>
        <v>0</v>
      </c>
      <c r="AF495" s="507">
        <f>Port[[#This Row],[EAD (CNY)]]*Port[[#This Row],[CNY -&gt; THB]]</f>
        <v>177786.88120800004</v>
      </c>
      <c r="AG495" s="507">
        <f>Port[[#This Row],[EAD_Interest (CNY)]]*Port[[#This Row],[CNY -&gt; THB]]</f>
        <v>2371.4603280000001</v>
      </c>
      <c r="AH495" s="507">
        <f>Port[[#This Row],[ECL_Drawn (CNY)]]*Port[[#This Row],[CNY -&gt; THB]]</f>
        <v>3282.5414413889639</v>
      </c>
      <c r="AI495" s="507">
        <f>Port[[#This Row],[ECL_Undrawn (CNY)]]*Port[[#This Row],[CNY -&gt; THB]]</f>
        <v>0</v>
      </c>
      <c r="AJ495" s="507">
        <f>Port[[#This Row],[ECL (CNY)]]*Port[[#This Row],[CNY -&gt; THB]]</f>
        <v>3282.5414413889639</v>
      </c>
      <c r="AK495" s="507">
        <f>Port[[#This Row],[ECL_Interest (CNY)]]*Port[[#This Row],[CNY -&gt; THB]]</f>
        <v>43.785102423629134</v>
      </c>
      <c r="AL495" s="507">
        <f>Port[[#This Row],[EAD (THB)]]*Port[[#This Row],[PD_avg]]</f>
        <v>3647.2682682099603</v>
      </c>
      <c r="AM495" s="507">
        <f>Port[[#This Row],[EAD_Interest (THB)]]*Port[[#This Row],[PD_avg]]</f>
        <v>48.650113804032365</v>
      </c>
      <c r="AN495" s="507">
        <f>Port[[#This Row],[EAD (THB)]]*Port[[#This Row],[LGD_avg]]</f>
        <v>160008.19308720002</v>
      </c>
      <c r="AO495" s="507">
        <f>Port[[#This Row],[EAD_Interest (THB)]]*Port[[#This Row],[LGD_avg]]</f>
        <v>2134.3142952000003</v>
      </c>
      <c r="AP495" s="507">
        <f>Port[[#This Row],[EAD_Drawn (THB)]]+Port[[#This Row],[EAD_Interest (THB)]]</f>
        <v>180158.34153600002</v>
      </c>
      <c r="AQ49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2666.8032181200006</v>
      </c>
      <c r="AR495" s="522">
        <f>MAX(Port[[#This Row],[ECL (THB)]]+Port[[#This Row],[ECL_Interest (THB)]], Port[[#This Row],[ECL CBIRC (THB)]])</f>
        <v>3326.3265438125932</v>
      </c>
    </row>
    <row r="496" spans="1:44">
      <c r="A496" s="2" t="s">
        <v>1201</v>
      </c>
      <c r="B496" s="2" t="s">
        <v>369</v>
      </c>
      <c r="C496" s="2" t="s">
        <v>328</v>
      </c>
      <c r="D496" s="2" t="s">
        <v>30</v>
      </c>
      <c r="E496" s="2" t="s">
        <v>19</v>
      </c>
      <c r="F496" s="2" t="s">
        <v>20</v>
      </c>
      <c r="G496" s="2" t="s">
        <v>21</v>
      </c>
      <c r="H496">
        <v>1</v>
      </c>
      <c r="I496" s="2" t="s">
        <v>526</v>
      </c>
      <c r="J496" s="505">
        <v>2.0514833509807026E-2</v>
      </c>
      <c r="K496" s="505">
        <v>0.9</v>
      </c>
      <c r="L496" s="3">
        <v>1</v>
      </c>
      <c r="M496" s="3">
        <v>5.2488000000000001</v>
      </c>
      <c r="N496" s="507">
        <v>22900.86</v>
      </c>
      <c r="O496" s="507">
        <v>0</v>
      </c>
      <c r="P496" s="507">
        <v>22900.86</v>
      </c>
      <c r="Q496" s="507">
        <v>308.58999999999997</v>
      </c>
      <c r="R496" s="507">
        <v>422.82659711825943</v>
      </c>
      <c r="S496" s="507">
        <v>0</v>
      </c>
      <c r="T496" s="507">
        <v>422.82659711825943</v>
      </c>
      <c r="U496" s="507">
        <v>5.6976052255122163</v>
      </c>
      <c r="V496" s="507">
        <f>Port[[#This Row],[EAD_Drawn (CNY)]]*Port[[#This Row],[CNY -&gt; FCY]]</f>
        <v>22900.86</v>
      </c>
      <c r="W496" s="507">
        <f>Port[[#This Row],[EAD_Undrawn (CNY)]]*Port[[#This Row],[CNY -&gt; FCY]]</f>
        <v>0</v>
      </c>
      <c r="X496" s="507">
        <f>Port[[#This Row],[EAD (CNY)]]*Port[[#This Row],[CNY -&gt; FCY]]</f>
        <v>22900.86</v>
      </c>
      <c r="Y496" s="507">
        <f>Port[[#This Row],[EAD_Interest (CNY)]]*Port[[#This Row],[CNY -&gt; FCY]]</f>
        <v>308.58999999999997</v>
      </c>
      <c r="Z496" s="507">
        <f>Port[[#This Row],[ECL_Drawn (CNY)]]*Port[[#This Row],[CNY -&gt; FCY]]</f>
        <v>422.82659711825943</v>
      </c>
      <c r="AA496" s="507">
        <f>Port[[#This Row],[ECL_Undrawn (CNY)]]*Port[[#This Row],[CNY -&gt; FCY]]</f>
        <v>0</v>
      </c>
      <c r="AB496" s="507">
        <f>Port[[#This Row],[ECL (CNY)]]*Port[[#This Row],[CNY -&gt; FCY]]</f>
        <v>422.82659711825943</v>
      </c>
      <c r="AC496" s="507">
        <f>Port[[#This Row],[ECL_Interest (CNY)]]*Port[[#This Row],[CNY -&gt; FCY]]</f>
        <v>5.6976052255122163</v>
      </c>
      <c r="AD496" s="507">
        <f>Port[[#This Row],[EAD_Drawn (CNY)]]*Port[[#This Row],[CNY -&gt; THB]]</f>
        <v>120202.033968</v>
      </c>
      <c r="AE496" s="507">
        <f>Port[[#This Row],[EAD_Undrawn (CNY)]]*Port[[#This Row],[CNY -&gt; THB]]</f>
        <v>0</v>
      </c>
      <c r="AF496" s="507">
        <f>Port[[#This Row],[EAD (CNY)]]*Port[[#This Row],[CNY -&gt; THB]]</f>
        <v>120202.033968</v>
      </c>
      <c r="AG496" s="507">
        <f>Port[[#This Row],[EAD_Interest (CNY)]]*Port[[#This Row],[CNY -&gt; THB]]</f>
        <v>1619.7271919999998</v>
      </c>
      <c r="AH496" s="507">
        <f>Port[[#This Row],[ECL_Drawn (CNY)]]*Port[[#This Row],[CNY -&gt; THB]]</f>
        <v>2219.33224295432</v>
      </c>
      <c r="AI496" s="507">
        <f>Port[[#This Row],[ECL_Undrawn (CNY)]]*Port[[#This Row],[CNY -&gt; THB]]</f>
        <v>0</v>
      </c>
      <c r="AJ496" s="507">
        <f>Port[[#This Row],[ECL (CNY)]]*Port[[#This Row],[CNY -&gt; THB]]</f>
        <v>2219.33224295432</v>
      </c>
      <c r="AK496" s="507">
        <f>Port[[#This Row],[ECL_Interest (CNY)]]*Port[[#This Row],[CNY -&gt; THB]]</f>
        <v>29.905590307668522</v>
      </c>
      <c r="AL496" s="507">
        <f>Port[[#This Row],[EAD (THB)]]*Port[[#This Row],[PD_avg]]</f>
        <v>2465.9247143936891</v>
      </c>
      <c r="AM496" s="507">
        <f>Port[[#This Row],[EAD_Interest (THB)]]*Port[[#This Row],[PD_avg]]</f>
        <v>33.228433675187233</v>
      </c>
      <c r="AN496" s="507">
        <f>Port[[#This Row],[EAD (THB)]]*Port[[#This Row],[LGD_avg]]</f>
        <v>108181.8305712</v>
      </c>
      <c r="AO496" s="507">
        <f>Port[[#This Row],[EAD_Interest (THB)]]*Port[[#This Row],[LGD_avg]]</f>
        <v>1457.7544727999998</v>
      </c>
      <c r="AP496" s="507">
        <f>Port[[#This Row],[EAD_Drawn (THB)]]+Port[[#This Row],[EAD_Interest (THB)]]</f>
        <v>121821.76116000001</v>
      </c>
      <c r="AQ49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1803.0305095199999</v>
      </c>
      <c r="AR496" s="522">
        <f>MAX(Port[[#This Row],[ECL (THB)]]+Port[[#This Row],[ECL_Interest (THB)]], Port[[#This Row],[ECL CBIRC (THB)]])</f>
        <v>2249.2378332619887</v>
      </c>
    </row>
    <row r="497" spans="1:44">
      <c r="A497" s="2" t="s">
        <v>1202</v>
      </c>
      <c r="B497" s="2" t="s">
        <v>344</v>
      </c>
      <c r="C497" s="2" t="s">
        <v>328</v>
      </c>
      <c r="D497" s="2" t="s">
        <v>18</v>
      </c>
      <c r="E497" s="2" t="s">
        <v>19</v>
      </c>
      <c r="F497" s="2" t="s">
        <v>20</v>
      </c>
      <c r="G497" s="2" t="s">
        <v>21</v>
      </c>
      <c r="H497">
        <v>1</v>
      </c>
      <c r="I497" s="2" t="s">
        <v>526</v>
      </c>
      <c r="J497" s="505">
        <v>2.0514833509807026E-2</v>
      </c>
      <c r="K497" s="505">
        <v>0.89999999999999991</v>
      </c>
      <c r="L497" s="3">
        <v>1</v>
      </c>
      <c r="M497" s="3">
        <v>5.2488000000000001</v>
      </c>
      <c r="N497" s="507">
        <v>304593.57</v>
      </c>
      <c r="O497" s="507">
        <v>0</v>
      </c>
      <c r="P497" s="507">
        <v>304593.57</v>
      </c>
      <c r="Q497" s="507">
        <v>7033.57</v>
      </c>
      <c r="R497" s="507">
        <v>5623.8177390369774</v>
      </c>
      <c r="S497" s="507">
        <v>0</v>
      </c>
      <c r="T497" s="507">
        <v>5623.8177390369774</v>
      </c>
      <c r="U497" s="507">
        <v>129.86326577661606</v>
      </c>
      <c r="V497" s="507">
        <f>Port[[#This Row],[EAD_Drawn (CNY)]]*Port[[#This Row],[CNY -&gt; FCY]]</f>
        <v>304593.57</v>
      </c>
      <c r="W497" s="507">
        <f>Port[[#This Row],[EAD_Undrawn (CNY)]]*Port[[#This Row],[CNY -&gt; FCY]]</f>
        <v>0</v>
      </c>
      <c r="X497" s="507">
        <f>Port[[#This Row],[EAD (CNY)]]*Port[[#This Row],[CNY -&gt; FCY]]</f>
        <v>304593.57</v>
      </c>
      <c r="Y497" s="507">
        <f>Port[[#This Row],[EAD_Interest (CNY)]]*Port[[#This Row],[CNY -&gt; FCY]]</f>
        <v>7033.57</v>
      </c>
      <c r="Z497" s="507">
        <f>Port[[#This Row],[ECL_Drawn (CNY)]]*Port[[#This Row],[CNY -&gt; FCY]]</f>
        <v>5623.8177390369774</v>
      </c>
      <c r="AA497" s="507">
        <f>Port[[#This Row],[ECL_Undrawn (CNY)]]*Port[[#This Row],[CNY -&gt; FCY]]</f>
        <v>0</v>
      </c>
      <c r="AB497" s="507">
        <f>Port[[#This Row],[ECL (CNY)]]*Port[[#This Row],[CNY -&gt; FCY]]</f>
        <v>5623.8177390369774</v>
      </c>
      <c r="AC497" s="507">
        <f>Port[[#This Row],[ECL_Interest (CNY)]]*Port[[#This Row],[CNY -&gt; FCY]]</f>
        <v>129.86326577661606</v>
      </c>
      <c r="AD497" s="507">
        <f>Port[[#This Row],[EAD_Drawn (CNY)]]*Port[[#This Row],[CNY -&gt; THB]]</f>
        <v>1598750.730216</v>
      </c>
      <c r="AE497" s="507">
        <f>Port[[#This Row],[EAD_Undrawn (CNY)]]*Port[[#This Row],[CNY -&gt; THB]]</f>
        <v>0</v>
      </c>
      <c r="AF497" s="507">
        <f>Port[[#This Row],[EAD (CNY)]]*Port[[#This Row],[CNY -&gt; THB]]</f>
        <v>1598750.730216</v>
      </c>
      <c r="AG497" s="507">
        <f>Port[[#This Row],[EAD_Interest (CNY)]]*Port[[#This Row],[CNY -&gt; THB]]</f>
        <v>36917.802215999996</v>
      </c>
      <c r="AH497" s="507">
        <f>Port[[#This Row],[ECL_Drawn (CNY)]]*Port[[#This Row],[CNY -&gt; THB]]</f>
        <v>29518.294548657286</v>
      </c>
      <c r="AI497" s="507">
        <f>Port[[#This Row],[ECL_Undrawn (CNY)]]*Port[[#This Row],[CNY -&gt; THB]]</f>
        <v>0</v>
      </c>
      <c r="AJ497" s="507">
        <f>Port[[#This Row],[ECL (CNY)]]*Port[[#This Row],[CNY -&gt; THB]]</f>
        <v>29518.294548657286</v>
      </c>
      <c r="AK497" s="507">
        <f>Port[[#This Row],[ECL_Interest (CNY)]]*Port[[#This Row],[CNY -&gt; THB]]</f>
        <v>681.6263094083024</v>
      </c>
      <c r="AL497" s="507">
        <f>Port[[#This Row],[EAD (THB)]]*Port[[#This Row],[PD_avg]]</f>
        <v>32798.10505406365</v>
      </c>
      <c r="AM497" s="507">
        <f>Port[[#This Row],[EAD_Interest (THB)]]*Port[[#This Row],[PD_avg]]</f>
        <v>757.36256600922479</v>
      </c>
      <c r="AN497" s="507">
        <f>Port[[#This Row],[EAD (THB)]]*Port[[#This Row],[LGD_avg]]</f>
        <v>1438875.6571943997</v>
      </c>
      <c r="AO497" s="507">
        <f>Port[[#This Row],[EAD_Interest (THB)]]*Port[[#This Row],[LGD_avg]]</f>
        <v>33226.021994399991</v>
      </c>
      <c r="AP497" s="507">
        <f>Port[[#This Row],[EAD_Drawn (THB)]]+Port[[#This Row],[EAD_Interest (THB)]]</f>
        <v>1635668.5324319999</v>
      </c>
      <c r="AQ49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23981.260953239998</v>
      </c>
      <c r="AR497" s="522">
        <f>MAX(Port[[#This Row],[ECL (THB)]]+Port[[#This Row],[ECL_Interest (THB)]], Port[[#This Row],[ECL CBIRC (THB)]])</f>
        <v>30199.92085806559</v>
      </c>
    </row>
    <row r="498" spans="1:44">
      <c r="A498" s="2" t="s">
        <v>1203</v>
      </c>
      <c r="B498" s="2" t="s">
        <v>344</v>
      </c>
      <c r="C498" s="2" t="s">
        <v>328</v>
      </c>
      <c r="D498" s="2" t="s">
        <v>18</v>
      </c>
      <c r="E498" s="2" t="s">
        <v>19</v>
      </c>
      <c r="F498" s="2" t="s">
        <v>20</v>
      </c>
      <c r="G498" s="2" t="s">
        <v>21</v>
      </c>
      <c r="H498">
        <v>1</v>
      </c>
      <c r="I498" s="2" t="s">
        <v>526</v>
      </c>
      <c r="J498" s="505">
        <v>2.0514833509807026E-2</v>
      </c>
      <c r="K498" s="505">
        <v>0.90000000000000013</v>
      </c>
      <c r="L498" s="3">
        <v>1</v>
      </c>
      <c r="M498" s="3">
        <v>5.2488000000000001</v>
      </c>
      <c r="N498" s="507">
        <v>4616079</v>
      </c>
      <c r="O498" s="507">
        <v>0</v>
      </c>
      <c r="P498" s="507">
        <v>4616079</v>
      </c>
      <c r="Q498" s="507">
        <v>106592.96000000001</v>
      </c>
      <c r="R498" s="507">
        <v>85228.282937804863</v>
      </c>
      <c r="S498" s="507">
        <v>0</v>
      </c>
      <c r="T498" s="507">
        <v>85228.282937804863</v>
      </c>
      <c r="U498" s="507">
        <v>1968.0631449457683</v>
      </c>
      <c r="V498" s="507">
        <f>Port[[#This Row],[EAD_Drawn (CNY)]]*Port[[#This Row],[CNY -&gt; FCY]]</f>
        <v>4616079</v>
      </c>
      <c r="W498" s="507">
        <f>Port[[#This Row],[EAD_Undrawn (CNY)]]*Port[[#This Row],[CNY -&gt; FCY]]</f>
        <v>0</v>
      </c>
      <c r="X498" s="507">
        <f>Port[[#This Row],[EAD (CNY)]]*Port[[#This Row],[CNY -&gt; FCY]]</f>
        <v>4616079</v>
      </c>
      <c r="Y498" s="507">
        <f>Port[[#This Row],[EAD_Interest (CNY)]]*Port[[#This Row],[CNY -&gt; FCY]]</f>
        <v>106592.96000000001</v>
      </c>
      <c r="Z498" s="507">
        <f>Port[[#This Row],[ECL_Drawn (CNY)]]*Port[[#This Row],[CNY -&gt; FCY]]</f>
        <v>85228.282937804863</v>
      </c>
      <c r="AA498" s="507">
        <f>Port[[#This Row],[ECL_Undrawn (CNY)]]*Port[[#This Row],[CNY -&gt; FCY]]</f>
        <v>0</v>
      </c>
      <c r="AB498" s="507">
        <f>Port[[#This Row],[ECL (CNY)]]*Port[[#This Row],[CNY -&gt; FCY]]</f>
        <v>85228.282937804863</v>
      </c>
      <c r="AC498" s="507">
        <f>Port[[#This Row],[ECL_Interest (CNY)]]*Port[[#This Row],[CNY -&gt; FCY]]</f>
        <v>1968.0631449457683</v>
      </c>
      <c r="AD498" s="507">
        <f>Port[[#This Row],[EAD_Drawn (CNY)]]*Port[[#This Row],[CNY -&gt; THB]]</f>
        <v>24228875.455200002</v>
      </c>
      <c r="AE498" s="507">
        <f>Port[[#This Row],[EAD_Undrawn (CNY)]]*Port[[#This Row],[CNY -&gt; THB]]</f>
        <v>0</v>
      </c>
      <c r="AF498" s="507">
        <f>Port[[#This Row],[EAD (CNY)]]*Port[[#This Row],[CNY -&gt; THB]]</f>
        <v>24228875.455200002</v>
      </c>
      <c r="AG498" s="507">
        <f>Port[[#This Row],[EAD_Interest (CNY)]]*Port[[#This Row],[CNY -&gt; THB]]</f>
        <v>559485.12844800006</v>
      </c>
      <c r="AH498" s="507">
        <f>Port[[#This Row],[ECL_Drawn (CNY)]]*Port[[#This Row],[CNY -&gt; THB]]</f>
        <v>447346.2114839502</v>
      </c>
      <c r="AI498" s="507">
        <f>Port[[#This Row],[ECL_Undrawn (CNY)]]*Port[[#This Row],[CNY -&gt; THB]]</f>
        <v>0</v>
      </c>
      <c r="AJ498" s="507">
        <f>Port[[#This Row],[ECL (CNY)]]*Port[[#This Row],[CNY -&gt; THB]]</f>
        <v>447346.2114839502</v>
      </c>
      <c r="AK498" s="507">
        <f>Port[[#This Row],[ECL_Interest (CNY)]]*Port[[#This Row],[CNY -&gt; THB]]</f>
        <v>10329.969835191348</v>
      </c>
      <c r="AL498" s="507">
        <f>Port[[#This Row],[EAD (THB)]]*Port[[#This Row],[PD_avg]]</f>
        <v>497051.34609327797</v>
      </c>
      <c r="AM498" s="507">
        <f>Port[[#This Row],[EAD_Interest (THB)]]*Port[[#This Row],[PD_avg]]</f>
        <v>11477.74426132372</v>
      </c>
      <c r="AN498" s="507">
        <f>Port[[#This Row],[EAD (THB)]]*Port[[#This Row],[LGD_avg]]</f>
        <v>21805987.909680005</v>
      </c>
      <c r="AO498" s="507">
        <f>Port[[#This Row],[EAD_Interest (THB)]]*Port[[#This Row],[LGD_avg]]</f>
        <v>503536.6156032001</v>
      </c>
      <c r="AP498" s="507">
        <f>Port[[#This Row],[EAD_Drawn (THB)]]+Port[[#This Row],[EAD_Interest (THB)]]</f>
        <v>24788360.583648</v>
      </c>
      <c r="AQ49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363433.13182800001</v>
      </c>
      <c r="AR498" s="522">
        <f>MAX(Port[[#This Row],[ECL (THB)]]+Port[[#This Row],[ECL_Interest (THB)]], Port[[#This Row],[ECL CBIRC (THB)]])</f>
        <v>457676.18131914153</v>
      </c>
    </row>
    <row r="499" spans="1:44">
      <c r="A499" s="2" t="s">
        <v>1204</v>
      </c>
      <c r="B499" s="2" t="s">
        <v>344</v>
      </c>
      <c r="C499" s="2" t="s">
        <v>328</v>
      </c>
      <c r="D499" s="2" t="s">
        <v>18</v>
      </c>
      <c r="E499" s="2" t="s">
        <v>19</v>
      </c>
      <c r="F499" s="2" t="s">
        <v>20</v>
      </c>
      <c r="G499" s="2" t="s">
        <v>21</v>
      </c>
      <c r="H499">
        <v>1</v>
      </c>
      <c r="I499" s="2" t="s">
        <v>526</v>
      </c>
      <c r="J499" s="505">
        <v>2.0514833509807026E-2</v>
      </c>
      <c r="K499" s="505">
        <v>0.90000000000000013</v>
      </c>
      <c r="L499" s="3">
        <v>1</v>
      </c>
      <c r="M499" s="3">
        <v>5.2488000000000001</v>
      </c>
      <c r="N499" s="507">
        <v>5000000</v>
      </c>
      <c r="O499" s="507">
        <v>0</v>
      </c>
      <c r="P499" s="507">
        <v>5000000</v>
      </c>
      <c r="Q499" s="507">
        <v>115458.33</v>
      </c>
      <c r="R499" s="507">
        <v>92316.750794131629</v>
      </c>
      <c r="S499" s="507">
        <v>0</v>
      </c>
      <c r="T499" s="507">
        <v>92316.750794131629</v>
      </c>
      <c r="U499" s="507">
        <v>2131.7475755433225</v>
      </c>
      <c r="V499" s="507">
        <f>Port[[#This Row],[EAD_Drawn (CNY)]]*Port[[#This Row],[CNY -&gt; FCY]]</f>
        <v>5000000</v>
      </c>
      <c r="W499" s="507">
        <f>Port[[#This Row],[EAD_Undrawn (CNY)]]*Port[[#This Row],[CNY -&gt; FCY]]</f>
        <v>0</v>
      </c>
      <c r="X499" s="507">
        <f>Port[[#This Row],[EAD (CNY)]]*Port[[#This Row],[CNY -&gt; FCY]]</f>
        <v>5000000</v>
      </c>
      <c r="Y499" s="507">
        <f>Port[[#This Row],[EAD_Interest (CNY)]]*Port[[#This Row],[CNY -&gt; FCY]]</f>
        <v>115458.33</v>
      </c>
      <c r="Z499" s="507">
        <f>Port[[#This Row],[ECL_Drawn (CNY)]]*Port[[#This Row],[CNY -&gt; FCY]]</f>
        <v>92316.750794131629</v>
      </c>
      <c r="AA499" s="507">
        <f>Port[[#This Row],[ECL_Undrawn (CNY)]]*Port[[#This Row],[CNY -&gt; FCY]]</f>
        <v>0</v>
      </c>
      <c r="AB499" s="507">
        <f>Port[[#This Row],[ECL (CNY)]]*Port[[#This Row],[CNY -&gt; FCY]]</f>
        <v>92316.750794131629</v>
      </c>
      <c r="AC499" s="507">
        <f>Port[[#This Row],[ECL_Interest (CNY)]]*Port[[#This Row],[CNY -&gt; FCY]]</f>
        <v>2131.7475755433225</v>
      </c>
      <c r="AD499" s="507">
        <f>Port[[#This Row],[EAD_Drawn (CNY)]]*Port[[#This Row],[CNY -&gt; THB]]</f>
        <v>26244000</v>
      </c>
      <c r="AE499" s="507">
        <f>Port[[#This Row],[EAD_Undrawn (CNY)]]*Port[[#This Row],[CNY -&gt; THB]]</f>
        <v>0</v>
      </c>
      <c r="AF499" s="507">
        <f>Port[[#This Row],[EAD (CNY)]]*Port[[#This Row],[CNY -&gt; THB]]</f>
        <v>26244000</v>
      </c>
      <c r="AG499" s="507">
        <f>Port[[#This Row],[EAD_Interest (CNY)]]*Port[[#This Row],[CNY -&gt; THB]]</f>
        <v>606017.68250400003</v>
      </c>
      <c r="AH499" s="507">
        <f>Port[[#This Row],[ECL_Drawn (CNY)]]*Port[[#This Row],[CNY -&gt; THB]]</f>
        <v>484552.16156823811</v>
      </c>
      <c r="AI499" s="507">
        <f>Port[[#This Row],[ECL_Undrawn (CNY)]]*Port[[#This Row],[CNY -&gt; THB]]</f>
        <v>0</v>
      </c>
      <c r="AJ499" s="507">
        <f>Port[[#This Row],[ECL (CNY)]]*Port[[#This Row],[CNY -&gt; THB]]</f>
        <v>484552.16156823811</v>
      </c>
      <c r="AK499" s="507">
        <f>Port[[#This Row],[ECL_Interest (CNY)]]*Port[[#This Row],[CNY -&gt; THB]]</f>
        <v>11189.116674511792</v>
      </c>
      <c r="AL499" s="507">
        <f>Port[[#This Row],[EAD (THB)]]*Port[[#This Row],[PD_avg]]</f>
        <v>538391.29063137562</v>
      </c>
      <c r="AM499" s="507">
        <f>Port[[#This Row],[EAD_Interest (THB)]]*Port[[#This Row],[PD_avg]]</f>
        <v>12432.351860568655</v>
      </c>
      <c r="AN499" s="507">
        <f>Port[[#This Row],[EAD (THB)]]*Port[[#This Row],[LGD_avg]]</f>
        <v>23619600.000000004</v>
      </c>
      <c r="AO499" s="507">
        <f>Port[[#This Row],[EAD_Interest (THB)]]*Port[[#This Row],[LGD_avg]]</f>
        <v>545415.91425360006</v>
      </c>
      <c r="AP499" s="507">
        <f>Port[[#This Row],[EAD_Drawn (THB)]]+Port[[#This Row],[EAD_Interest (THB)]]</f>
        <v>26850017.682503998</v>
      </c>
      <c r="AQ49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499" s="522">
        <f>MAX(Port[[#This Row],[ECL (THB)]]+Port[[#This Row],[ECL_Interest (THB)]], Port[[#This Row],[ECL CBIRC (THB)]])</f>
        <v>495741.27824274992</v>
      </c>
    </row>
    <row r="500" spans="1:44">
      <c r="A500" s="2" t="s">
        <v>1205</v>
      </c>
      <c r="B500" s="2" t="s">
        <v>376</v>
      </c>
      <c r="C500" s="2" t="s">
        <v>328</v>
      </c>
      <c r="D500" s="2" t="s">
        <v>18</v>
      </c>
      <c r="E500" s="2" t="s">
        <v>19</v>
      </c>
      <c r="F500" s="2" t="s">
        <v>20</v>
      </c>
      <c r="G500" s="2" t="s">
        <v>21</v>
      </c>
      <c r="H500">
        <v>1</v>
      </c>
      <c r="I500" s="2" t="s">
        <v>526</v>
      </c>
      <c r="J500" s="505">
        <v>2.0514833509807026E-2</v>
      </c>
      <c r="K500" s="505">
        <v>0.89999999999999991</v>
      </c>
      <c r="L500" s="3">
        <v>1</v>
      </c>
      <c r="M500" s="3">
        <v>5.2488000000000001</v>
      </c>
      <c r="N500" s="507">
        <v>166898.16</v>
      </c>
      <c r="O500" s="507">
        <v>0</v>
      </c>
      <c r="P500" s="507">
        <v>166898.16</v>
      </c>
      <c r="Q500" s="507">
        <v>2089.94</v>
      </c>
      <c r="R500" s="507">
        <v>3081.4991689438211</v>
      </c>
      <c r="S500" s="507">
        <v>0</v>
      </c>
      <c r="T500" s="507">
        <v>3081.4991689438211</v>
      </c>
      <c r="U500" s="507">
        <v>38.587294030937493</v>
      </c>
      <c r="V500" s="507">
        <f>Port[[#This Row],[EAD_Drawn (CNY)]]*Port[[#This Row],[CNY -&gt; FCY]]</f>
        <v>166898.16</v>
      </c>
      <c r="W500" s="507">
        <f>Port[[#This Row],[EAD_Undrawn (CNY)]]*Port[[#This Row],[CNY -&gt; FCY]]</f>
        <v>0</v>
      </c>
      <c r="X500" s="507">
        <f>Port[[#This Row],[EAD (CNY)]]*Port[[#This Row],[CNY -&gt; FCY]]</f>
        <v>166898.16</v>
      </c>
      <c r="Y500" s="507">
        <f>Port[[#This Row],[EAD_Interest (CNY)]]*Port[[#This Row],[CNY -&gt; FCY]]</f>
        <v>2089.94</v>
      </c>
      <c r="Z500" s="507">
        <f>Port[[#This Row],[ECL_Drawn (CNY)]]*Port[[#This Row],[CNY -&gt; FCY]]</f>
        <v>3081.4991689438211</v>
      </c>
      <c r="AA500" s="507">
        <f>Port[[#This Row],[ECL_Undrawn (CNY)]]*Port[[#This Row],[CNY -&gt; FCY]]</f>
        <v>0</v>
      </c>
      <c r="AB500" s="507">
        <f>Port[[#This Row],[ECL (CNY)]]*Port[[#This Row],[CNY -&gt; FCY]]</f>
        <v>3081.4991689438211</v>
      </c>
      <c r="AC500" s="507">
        <f>Port[[#This Row],[ECL_Interest (CNY)]]*Port[[#This Row],[CNY -&gt; FCY]]</f>
        <v>38.587294030937493</v>
      </c>
      <c r="AD500" s="507">
        <f>Port[[#This Row],[EAD_Drawn (CNY)]]*Port[[#This Row],[CNY -&gt; THB]]</f>
        <v>876015.06220799999</v>
      </c>
      <c r="AE500" s="507">
        <f>Port[[#This Row],[EAD_Undrawn (CNY)]]*Port[[#This Row],[CNY -&gt; THB]]</f>
        <v>0</v>
      </c>
      <c r="AF500" s="507">
        <f>Port[[#This Row],[EAD (CNY)]]*Port[[#This Row],[CNY -&gt; THB]]</f>
        <v>876015.06220799999</v>
      </c>
      <c r="AG500" s="507">
        <f>Port[[#This Row],[EAD_Interest (CNY)]]*Port[[#This Row],[CNY -&gt; THB]]</f>
        <v>10969.677072</v>
      </c>
      <c r="AH500" s="507">
        <f>Port[[#This Row],[ECL_Drawn (CNY)]]*Port[[#This Row],[CNY -&gt; THB]]</f>
        <v>16174.172837952328</v>
      </c>
      <c r="AI500" s="507">
        <f>Port[[#This Row],[ECL_Undrawn (CNY)]]*Port[[#This Row],[CNY -&gt; THB]]</f>
        <v>0</v>
      </c>
      <c r="AJ500" s="507">
        <f>Port[[#This Row],[ECL (CNY)]]*Port[[#This Row],[CNY -&gt; THB]]</f>
        <v>16174.172837952328</v>
      </c>
      <c r="AK500" s="507">
        <f>Port[[#This Row],[ECL_Interest (CNY)]]*Port[[#This Row],[CNY -&gt; THB]]</f>
        <v>202.53698890958472</v>
      </c>
      <c r="AL500" s="507">
        <f>Port[[#This Row],[EAD (THB)]]*Port[[#This Row],[PD_avg]]</f>
        <v>17971.303153280365</v>
      </c>
      <c r="AM500" s="507">
        <f>Port[[#This Row],[EAD_Interest (THB)]]*Port[[#This Row],[PD_avg]]</f>
        <v>225.04109878842743</v>
      </c>
      <c r="AN500" s="507">
        <f>Port[[#This Row],[EAD (THB)]]*Port[[#This Row],[LGD_avg]]</f>
        <v>788413.55598719988</v>
      </c>
      <c r="AO500" s="507">
        <f>Port[[#This Row],[EAD_Interest (THB)]]*Port[[#This Row],[LGD_avg]]</f>
        <v>9872.7093647999991</v>
      </c>
      <c r="AP500" s="507">
        <f>Port[[#This Row],[EAD_Drawn (THB)]]+Port[[#This Row],[EAD_Interest (THB)]]</f>
        <v>886984.73927999998</v>
      </c>
      <c r="AQ50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13140.225933119998</v>
      </c>
      <c r="AR500" s="522">
        <f>MAX(Port[[#This Row],[ECL (THB)]]+Port[[#This Row],[ECL_Interest (THB)]], Port[[#This Row],[ECL CBIRC (THB)]])</f>
        <v>16376.709826861914</v>
      </c>
    </row>
    <row r="501" spans="1:44">
      <c r="A501" s="2" t="s">
        <v>1206</v>
      </c>
      <c r="B501" s="2" t="s">
        <v>361</v>
      </c>
      <c r="C501" s="2" t="s">
        <v>328</v>
      </c>
      <c r="D501" s="2" t="s">
        <v>18</v>
      </c>
      <c r="E501" s="2" t="s">
        <v>19</v>
      </c>
      <c r="F501" s="2" t="s">
        <v>20</v>
      </c>
      <c r="G501" s="2" t="s">
        <v>21</v>
      </c>
      <c r="H501">
        <v>1</v>
      </c>
      <c r="I501" s="2" t="s">
        <v>526</v>
      </c>
      <c r="J501" s="505">
        <v>2.0514833509807026E-2</v>
      </c>
      <c r="K501" s="505">
        <v>0.9</v>
      </c>
      <c r="L501" s="3">
        <v>1</v>
      </c>
      <c r="M501" s="3">
        <v>5.2488000000000001</v>
      </c>
      <c r="N501" s="507">
        <v>910989.96</v>
      </c>
      <c r="O501" s="507">
        <v>0</v>
      </c>
      <c r="P501" s="507">
        <v>910989.96</v>
      </c>
      <c r="Q501" s="507">
        <v>11407.62</v>
      </c>
      <c r="R501" s="507">
        <v>16819.926622655184</v>
      </c>
      <c r="S501" s="507">
        <v>0</v>
      </c>
      <c r="T501" s="507">
        <v>16819.926622655184</v>
      </c>
      <c r="U501" s="507">
        <v>210.62288253883034</v>
      </c>
      <c r="V501" s="507">
        <f>Port[[#This Row],[EAD_Drawn (CNY)]]*Port[[#This Row],[CNY -&gt; FCY]]</f>
        <v>910989.96</v>
      </c>
      <c r="W501" s="507">
        <f>Port[[#This Row],[EAD_Undrawn (CNY)]]*Port[[#This Row],[CNY -&gt; FCY]]</f>
        <v>0</v>
      </c>
      <c r="X501" s="507">
        <f>Port[[#This Row],[EAD (CNY)]]*Port[[#This Row],[CNY -&gt; FCY]]</f>
        <v>910989.96</v>
      </c>
      <c r="Y501" s="507">
        <f>Port[[#This Row],[EAD_Interest (CNY)]]*Port[[#This Row],[CNY -&gt; FCY]]</f>
        <v>11407.62</v>
      </c>
      <c r="Z501" s="507">
        <f>Port[[#This Row],[ECL_Drawn (CNY)]]*Port[[#This Row],[CNY -&gt; FCY]]</f>
        <v>16819.926622655184</v>
      </c>
      <c r="AA501" s="507">
        <f>Port[[#This Row],[ECL_Undrawn (CNY)]]*Port[[#This Row],[CNY -&gt; FCY]]</f>
        <v>0</v>
      </c>
      <c r="AB501" s="507">
        <f>Port[[#This Row],[ECL (CNY)]]*Port[[#This Row],[CNY -&gt; FCY]]</f>
        <v>16819.926622655184</v>
      </c>
      <c r="AC501" s="507">
        <f>Port[[#This Row],[ECL_Interest (CNY)]]*Port[[#This Row],[CNY -&gt; FCY]]</f>
        <v>210.62288253883034</v>
      </c>
      <c r="AD501" s="507">
        <f>Port[[#This Row],[EAD_Drawn (CNY)]]*Port[[#This Row],[CNY -&gt; THB]]</f>
        <v>4781604.1020480003</v>
      </c>
      <c r="AE501" s="507">
        <f>Port[[#This Row],[EAD_Undrawn (CNY)]]*Port[[#This Row],[CNY -&gt; THB]]</f>
        <v>0</v>
      </c>
      <c r="AF501" s="507">
        <f>Port[[#This Row],[EAD (CNY)]]*Port[[#This Row],[CNY -&gt; THB]]</f>
        <v>4781604.1020480003</v>
      </c>
      <c r="AG501" s="507">
        <f>Port[[#This Row],[EAD_Interest (CNY)]]*Port[[#This Row],[CNY -&gt; THB]]</f>
        <v>59876.315856000008</v>
      </c>
      <c r="AH501" s="507">
        <f>Port[[#This Row],[ECL_Drawn (CNY)]]*Port[[#This Row],[CNY -&gt; THB]]</f>
        <v>88284.430856992534</v>
      </c>
      <c r="AI501" s="507">
        <f>Port[[#This Row],[ECL_Undrawn (CNY)]]*Port[[#This Row],[CNY -&gt; THB]]</f>
        <v>0</v>
      </c>
      <c r="AJ501" s="507">
        <f>Port[[#This Row],[ECL (CNY)]]*Port[[#This Row],[CNY -&gt; THB]]</f>
        <v>88284.430856992534</v>
      </c>
      <c r="AK501" s="507">
        <f>Port[[#This Row],[ECL_Interest (CNY)]]*Port[[#This Row],[CNY -&gt; THB]]</f>
        <v>1105.5173858698126</v>
      </c>
      <c r="AL501" s="507">
        <f>Port[[#This Row],[EAD (THB)]]*Port[[#This Row],[PD_avg]]</f>
        <v>98093.812063325051</v>
      </c>
      <c r="AM501" s="507">
        <f>Port[[#This Row],[EAD_Interest (THB)]]*Port[[#This Row],[PD_avg]]</f>
        <v>1228.3526509664587</v>
      </c>
      <c r="AN501" s="507">
        <f>Port[[#This Row],[EAD (THB)]]*Port[[#This Row],[LGD_avg]]</f>
        <v>4303443.6918432005</v>
      </c>
      <c r="AO501" s="507">
        <f>Port[[#This Row],[EAD_Interest (THB)]]*Port[[#This Row],[LGD_avg]]</f>
        <v>53888.684270400008</v>
      </c>
      <c r="AP501" s="507">
        <f>Port[[#This Row],[EAD_Drawn (THB)]]+Port[[#This Row],[EAD_Interest (THB)]]</f>
        <v>4841480.4179040007</v>
      </c>
      <c r="AQ50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71724.061530720006</v>
      </c>
      <c r="AR501" s="522">
        <f>MAX(Port[[#This Row],[ECL (THB)]]+Port[[#This Row],[ECL_Interest (THB)]], Port[[#This Row],[ECL CBIRC (THB)]])</f>
        <v>89389.948242862345</v>
      </c>
    </row>
    <row r="502" spans="1:44">
      <c r="A502" s="2" t="s">
        <v>1207</v>
      </c>
      <c r="B502" s="2" t="s">
        <v>361</v>
      </c>
      <c r="C502" s="2" t="s">
        <v>328</v>
      </c>
      <c r="D502" s="2" t="s">
        <v>18</v>
      </c>
      <c r="E502" s="2" t="s">
        <v>19</v>
      </c>
      <c r="F502" s="2" t="s">
        <v>20</v>
      </c>
      <c r="G502" s="2" t="s">
        <v>21</v>
      </c>
      <c r="H502">
        <v>1</v>
      </c>
      <c r="I502" s="2" t="s">
        <v>526</v>
      </c>
      <c r="J502" s="505">
        <v>2.0514833509807026E-2</v>
      </c>
      <c r="K502" s="505">
        <v>0.90000000000000013</v>
      </c>
      <c r="L502" s="3">
        <v>1</v>
      </c>
      <c r="M502" s="3">
        <v>5.2488000000000001</v>
      </c>
      <c r="N502" s="507">
        <v>321691.02</v>
      </c>
      <c r="O502" s="507">
        <v>0</v>
      </c>
      <c r="P502" s="507">
        <v>321691.02</v>
      </c>
      <c r="Q502" s="507">
        <v>4028.29</v>
      </c>
      <c r="R502" s="507">
        <v>5939.4939452100025</v>
      </c>
      <c r="S502" s="507">
        <v>0</v>
      </c>
      <c r="T502" s="507">
        <v>5939.4939452100025</v>
      </c>
      <c r="U502" s="507">
        <v>74.375728811298501</v>
      </c>
      <c r="V502" s="507">
        <f>Port[[#This Row],[EAD_Drawn (CNY)]]*Port[[#This Row],[CNY -&gt; FCY]]</f>
        <v>321691.02</v>
      </c>
      <c r="W502" s="507">
        <f>Port[[#This Row],[EAD_Undrawn (CNY)]]*Port[[#This Row],[CNY -&gt; FCY]]</f>
        <v>0</v>
      </c>
      <c r="X502" s="507">
        <f>Port[[#This Row],[EAD (CNY)]]*Port[[#This Row],[CNY -&gt; FCY]]</f>
        <v>321691.02</v>
      </c>
      <c r="Y502" s="507">
        <f>Port[[#This Row],[EAD_Interest (CNY)]]*Port[[#This Row],[CNY -&gt; FCY]]</f>
        <v>4028.29</v>
      </c>
      <c r="Z502" s="507">
        <f>Port[[#This Row],[ECL_Drawn (CNY)]]*Port[[#This Row],[CNY -&gt; FCY]]</f>
        <v>5939.4939452100025</v>
      </c>
      <c r="AA502" s="507">
        <f>Port[[#This Row],[ECL_Undrawn (CNY)]]*Port[[#This Row],[CNY -&gt; FCY]]</f>
        <v>0</v>
      </c>
      <c r="AB502" s="507">
        <f>Port[[#This Row],[ECL (CNY)]]*Port[[#This Row],[CNY -&gt; FCY]]</f>
        <v>5939.4939452100025</v>
      </c>
      <c r="AC502" s="507">
        <f>Port[[#This Row],[ECL_Interest (CNY)]]*Port[[#This Row],[CNY -&gt; FCY]]</f>
        <v>74.375728811298501</v>
      </c>
      <c r="AD502" s="507">
        <f>Port[[#This Row],[EAD_Drawn (CNY)]]*Port[[#This Row],[CNY -&gt; THB]]</f>
        <v>1688491.825776</v>
      </c>
      <c r="AE502" s="507">
        <f>Port[[#This Row],[EAD_Undrawn (CNY)]]*Port[[#This Row],[CNY -&gt; THB]]</f>
        <v>0</v>
      </c>
      <c r="AF502" s="507">
        <f>Port[[#This Row],[EAD (CNY)]]*Port[[#This Row],[CNY -&gt; THB]]</f>
        <v>1688491.825776</v>
      </c>
      <c r="AG502" s="507">
        <f>Port[[#This Row],[EAD_Interest (CNY)]]*Port[[#This Row],[CNY -&gt; THB]]</f>
        <v>21143.688552</v>
      </c>
      <c r="AH502" s="507">
        <f>Port[[#This Row],[ECL_Drawn (CNY)]]*Port[[#This Row],[CNY -&gt; THB]]</f>
        <v>31175.215819618261</v>
      </c>
      <c r="AI502" s="507">
        <f>Port[[#This Row],[ECL_Undrawn (CNY)]]*Port[[#This Row],[CNY -&gt; THB]]</f>
        <v>0</v>
      </c>
      <c r="AJ502" s="507">
        <f>Port[[#This Row],[ECL (CNY)]]*Port[[#This Row],[CNY -&gt; THB]]</f>
        <v>31175.215819618261</v>
      </c>
      <c r="AK502" s="507">
        <f>Port[[#This Row],[ECL_Interest (CNY)]]*Port[[#This Row],[CNY -&gt; THB]]</f>
        <v>390.38332538474356</v>
      </c>
      <c r="AL502" s="507">
        <f>Port[[#This Row],[EAD (THB)]]*Port[[#This Row],[PD_avg]]</f>
        <v>34639.128688464734</v>
      </c>
      <c r="AM502" s="507">
        <f>Port[[#This Row],[EAD_Interest (THB)]]*Port[[#This Row],[PD_avg]]</f>
        <v>433.75925042749282</v>
      </c>
      <c r="AN502" s="507">
        <f>Port[[#This Row],[EAD (THB)]]*Port[[#This Row],[LGD_avg]]</f>
        <v>1519642.6431984003</v>
      </c>
      <c r="AO502" s="507">
        <f>Port[[#This Row],[EAD_Interest (THB)]]*Port[[#This Row],[LGD_avg]]</f>
        <v>19029.319696800001</v>
      </c>
      <c r="AP502" s="507">
        <f>Port[[#This Row],[EAD_Drawn (THB)]]+Port[[#This Row],[EAD_Interest (THB)]]</f>
        <v>1709635.5143280001</v>
      </c>
      <c r="AQ50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25327.377386640001</v>
      </c>
      <c r="AR502" s="522">
        <f>MAX(Port[[#This Row],[ECL (THB)]]+Port[[#This Row],[ECL_Interest (THB)]], Port[[#This Row],[ECL CBIRC (THB)]])</f>
        <v>31565.599145003005</v>
      </c>
    </row>
    <row r="503" spans="1:44">
      <c r="A503" s="2" t="s">
        <v>1208</v>
      </c>
      <c r="B503" s="2" t="s">
        <v>1091</v>
      </c>
      <c r="C503" s="2" t="s">
        <v>328</v>
      </c>
      <c r="D503" s="2" t="s">
        <v>18</v>
      </c>
      <c r="E503" s="2" t="s">
        <v>19</v>
      </c>
      <c r="F503" s="2" t="s">
        <v>20</v>
      </c>
      <c r="G503" s="2" t="s">
        <v>21</v>
      </c>
      <c r="H503">
        <v>1</v>
      </c>
      <c r="I503" s="2" t="s">
        <v>526</v>
      </c>
      <c r="J503" s="505">
        <v>2.0514833509807026E-2</v>
      </c>
      <c r="K503" s="505">
        <v>0.90000000000000013</v>
      </c>
      <c r="L503" s="3">
        <v>1</v>
      </c>
      <c r="M503" s="3">
        <v>5.2488000000000001</v>
      </c>
      <c r="N503" s="507">
        <v>12735.26</v>
      </c>
      <c r="O503" s="507">
        <v>0</v>
      </c>
      <c r="P503" s="507">
        <v>12735.26</v>
      </c>
      <c r="Q503" s="507">
        <v>159.47</v>
      </c>
      <c r="R503" s="507">
        <v>235.13556474369457</v>
      </c>
      <c r="S503" s="507">
        <v>0</v>
      </c>
      <c r="T503" s="507">
        <v>235.13556474369457</v>
      </c>
      <c r="U503" s="507">
        <v>2.9443504498280335</v>
      </c>
      <c r="V503" s="507">
        <f>Port[[#This Row],[EAD_Drawn (CNY)]]*Port[[#This Row],[CNY -&gt; FCY]]</f>
        <v>12735.26</v>
      </c>
      <c r="W503" s="507">
        <f>Port[[#This Row],[EAD_Undrawn (CNY)]]*Port[[#This Row],[CNY -&gt; FCY]]</f>
        <v>0</v>
      </c>
      <c r="X503" s="507">
        <f>Port[[#This Row],[EAD (CNY)]]*Port[[#This Row],[CNY -&gt; FCY]]</f>
        <v>12735.26</v>
      </c>
      <c r="Y503" s="507">
        <f>Port[[#This Row],[EAD_Interest (CNY)]]*Port[[#This Row],[CNY -&gt; FCY]]</f>
        <v>159.47</v>
      </c>
      <c r="Z503" s="507">
        <f>Port[[#This Row],[ECL_Drawn (CNY)]]*Port[[#This Row],[CNY -&gt; FCY]]</f>
        <v>235.13556474369457</v>
      </c>
      <c r="AA503" s="507">
        <f>Port[[#This Row],[ECL_Undrawn (CNY)]]*Port[[#This Row],[CNY -&gt; FCY]]</f>
        <v>0</v>
      </c>
      <c r="AB503" s="507">
        <f>Port[[#This Row],[ECL (CNY)]]*Port[[#This Row],[CNY -&gt; FCY]]</f>
        <v>235.13556474369457</v>
      </c>
      <c r="AC503" s="507">
        <f>Port[[#This Row],[ECL_Interest (CNY)]]*Port[[#This Row],[CNY -&gt; FCY]]</f>
        <v>2.9443504498280335</v>
      </c>
      <c r="AD503" s="507">
        <f>Port[[#This Row],[EAD_Drawn (CNY)]]*Port[[#This Row],[CNY -&gt; THB]]</f>
        <v>66844.83268800001</v>
      </c>
      <c r="AE503" s="507">
        <f>Port[[#This Row],[EAD_Undrawn (CNY)]]*Port[[#This Row],[CNY -&gt; THB]]</f>
        <v>0</v>
      </c>
      <c r="AF503" s="507">
        <f>Port[[#This Row],[EAD (CNY)]]*Port[[#This Row],[CNY -&gt; THB]]</f>
        <v>66844.83268800001</v>
      </c>
      <c r="AG503" s="507">
        <f>Port[[#This Row],[EAD_Interest (CNY)]]*Port[[#This Row],[CNY -&gt; THB]]</f>
        <v>837.02613600000006</v>
      </c>
      <c r="AH503" s="507">
        <f>Port[[#This Row],[ECL_Drawn (CNY)]]*Port[[#This Row],[CNY -&gt; THB]]</f>
        <v>1234.1795522267041</v>
      </c>
      <c r="AI503" s="507">
        <f>Port[[#This Row],[ECL_Undrawn (CNY)]]*Port[[#This Row],[CNY -&gt; THB]]</f>
        <v>0</v>
      </c>
      <c r="AJ503" s="507">
        <f>Port[[#This Row],[ECL (CNY)]]*Port[[#This Row],[CNY -&gt; THB]]</f>
        <v>1234.1795522267041</v>
      </c>
      <c r="AK503" s="507">
        <f>Port[[#This Row],[ECL_Interest (CNY)]]*Port[[#This Row],[CNY -&gt; THB]]</f>
        <v>15.454306641057382</v>
      </c>
      <c r="AL503" s="507">
        <f>Port[[#This Row],[EAD (THB)]]*Port[[#This Row],[PD_avg]]</f>
        <v>1371.3106135852267</v>
      </c>
      <c r="AM503" s="507">
        <f>Port[[#This Row],[EAD_Interest (THB)]]*Port[[#This Row],[PD_avg]]</f>
        <v>17.171451823397096</v>
      </c>
      <c r="AN503" s="507">
        <f>Port[[#This Row],[EAD (THB)]]*Port[[#This Row],[LGD_avg]]</f>
        <v>60160.349419200014</v>
      </c>
      <c r="AO503" s="507">
        <f>Port[[#This Row],[EAD_Interest (THB)]]*Port[[#This Row],[LGD_avg]]</f>
        <v>753.32352240000012</v>
      </c>
      <c r="AP503" s="507">
        <f>Port[[#This Row],[EAD_Drawn (THB)]]+Port[[#This Row],[EAD_Interest (THB)]]</f>
        <v>67681.85882400001</v>
      </c>
      <c r="AQ50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1002.6724903200001</v>
      </c>
      <c r="AR503" s="522">
        <f>MAX(Port[[#This Row],[ECL (THB)]]+Port[[#This Row],[ECL_Interest (THB)]], Port[[#This Row],[ECL CBIRC (THB)]])</f>
        <v>1249.6338588677615</v>
      </c>
    </row>
    <row r="504" spans="1:44">
      <c r="A504" s="2" t="s">
        <v>1209</v>
      </c>
      <c r="B504" s="2" t="s">
        <v>362</v>
      </c>
      <c r="C504" s="2" t="s">
        <v>328</v>
      </c>
      <c r="D504" s="2" t="s">
        <v>18</v>
      </c>
      <c r="E504" s="2" t="s">
        <v>19</v>
      </c>
      <c r="F504" s="2" t="s">
        <v>20</v>
      </c>
      <c r="G504" s="2" t="s">
        <v>21</v>
      </c>
      <c r="H504">
        <v>1</v>
      </c>
      <c r="I504" s="2" t="s">
        <v>526</v>
      </c>
      <c r="J504" s="505">
        <v>2.0514833509807026E-2</v>
      </c>
      <c r="K504" s="505">
        <v>0.90000000000000024</v>
      </c>
      <c r="L504" s="3">
        <v>1</v>
      </c>
      <c r="M504" s="3">
        <v>5.2488000000000001</v>
      </c>
      <c r="N504" s="507">
        <v>439961.41</v>
      </c>
      <c r="O504" s="507">
        <v>0</v>
      </c>
      <c r="P504" s="507">
        <v>439961.41</v>
      </c>
      <c r="Q504" s="507">
        <v>5509.29</v>
      </c>
      <c r="R504" s="507">
        <v>8123.1615692009545</v>
      </c>
      <c r="S504" s="507">
        <v>0</v>
      </c>
      <c r="T504" s="507">
        <v>8123.1615692009545</v>
      </c>
      <c r="U504" s="507">
        <v>101.71995039652028</v>
      </c>
      <c r="V504" s="507">
        <f>Port[[#This Row],[EAD_Drawn (CNY)]]*Port[[#This Row],[CNY -&gt; FCY]]</f>
        <v>439961.41</v>
      </c>
      <c r="W504" s="507">
        <f>Port[[#This Row],[EAD_Undrawn (CNY)]]*Port[[#This Row],[CNY -&gt; FCY]]</f>
        <v>0</v>
      </c>
      <c r="X504" s="507">
        <f>Port[[#This Row],[EAD (CNY)]]*Port[[#This Row],[CNY -&gt; FCY]]</f>
        <v>439961.41</v>
      </c>
      <c r="Y504" s="507">
        <f>Port[[#This Row],[EAD_Interest (CNY)]]*Port[[#This Row],[CNY -&gt; FCY]]</f>
        <v>5509.29</v>
      </c>
      <c r="Z504" s="507">
        <f>Port[[#This Row],[ECL_Drawn (CNY)]]*Port[[#This Row],[CNY -&gt; FCY]]</f>
        <v>8123.1615692009545</v>
      </c>
      <c r="AA504" s="507">
        <f>Port[[#This Row],[ECL_Undrawn (CNY)]]*Port[[#This Row],[CNY -&gt; FCY]]</f>
        <v>0</v>
      </c>
      <c r="AB504" s="507">
        <f>Port[[#This Row],[ECL (CNY)]]*Port[[#This Row],[CNY -&gt; FCY]]</f>
        <v>8123.1615692009545</v>
      </c>
      <c r="AC504" s="507">
        <f>Port[[#This Row],[ECL_Interest (CNY)]]*Port[[#This Row],[CNY -&gt; FCY]]</f>
        <v>101.71995039652028</v>
      </c>
      <c r="AD504" s="507">
        <f>Port[[#This Row],[EAD_Drawn (CNY)]]*Port[[#This Row],[CNY -&gt; THB]]</f>
        <v>2309269.448808</v>
      </c>
      <c r="AE504" s="507">
        <f>Port[[#This Row],[EAD_Undrawn (CNY)]]*Port[[#This Row],[CNY -&gt; THB]]</f>
        <v>0</v>
      </c>
      <c r="AF504" s="507">
        <f>Port[[#This Row],[EAD (CNY)]]*Port[[#This Row],[CNY -&gt; THB]]</f>
        <v>2309269.448808</v>
      </c>
      <c r="AG504" s="507">
        <f>Port[[#This Row],[EAD_Interest (CNY)]]*Port[[#This Row],[CNY -&gt; THB]]</f>
        <v>28917.161351999999</v>
      </c>
      <c r="AH504" s="507">
        <f>Port[[#This Row],[ECL_Drawn (CNY)]]*Port[[#This Row],[CNY -&gt; THB]]</f>
        <v>42636.850444421972</v>
      </c>
      <c r="AI504" s="507">
        <f>Port[[#This Row],[ECL_Undrawn (CNY)]]*Port[[#This Row],[CNY -&gt; THB]]</f>
        <v>0</v>
      </c>
      <c r="AJ504" s="507">
        <f>Port[[#This Row],[ECL (CNY)]]*Port[[#This Row],[CNY -&gt; THB]]</f>
        <v>42636.850444421972</v>
      </c>
      <c r="AK504" s="507">
        <f>Port[[#This Row],[ECL_Interest (CNY)]]*Port[[#This Row],[CNY -&gt; THB]]</f>
        <v>533.90767564125565</v>
      </c>
      <c r="AL504" s="507">
        <f>Port[[#This Row],[EAD (THB)]]*Port[[#This Row],[PD_avg]]</f>
        <v>47374.278271579955</v>
      </c>
      <c r="AM504" s="507">
        <f>Port[[#This Row],[EAD_Interest (THB)]]*Port[[#This Row],[PD_avg]]</f>
        <v>593.23075071250628</v>
      </c>
      <c r="AN504" s="507">
        <f>Port[[#This Row],[EAD (THB)]]*Port[[#This Row],[LGD_avg]]</f>
        <v>2078342.5039272006</v>
      </c>
      <c r="AO504" s="507">
        <f>Port[[#This Row],[EAD_Interest (THB)]]*Port[[#This Row],[LGD_avg]]</f>
        <v>26025.445216800006</v>
      </c>
      <c r="AP504" s="507">
        <f>Port[[#This Row],[EAD_Drawn (THB)]]+Port[[#This Row],[EAD_Interest (THB)]]</f>
        <v>2338186.6101600002</v>
      </c>
      <c r="AQ50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34639.04173212</v>
      </c>
      <c r="AR504" s="522">
        <f>MAX(Port[[#This Row],[ECL (THB)]]+Port[[#This Row],[ECL_Interest (THB)]], Port[[#This Row],[ECL CBIRC (THB)]])</f>
        <v>43170.758120063227</v>
      </c>
    </row>
    <row r="505" spans="1:44">
      <c r="A505" s="2" t="s">
        <v>1210</v>
      </c>
      <c r="B505" s="2" t="s">
        <v>1169</v>
      </c>
      <c r="C505" s="2" t="s">
        <v>328</v>
      </c>
      <c r="D505" s="2" t="s">
        <v>18</v>
      </c>
      <c r="E505" s="2" t="s">
        <v>19</v>
      </c>
      <c r="F505" s="2" t="s">
        <v>20</v>
      </c>
      <c r="G505" s="2" t="s">
        <v>21</v>
      </c>
      <c r="H505">
        <v>1</v>
      </c>
      <c r="I505" s="2" t="s">
        <v>526</v>
      </c>
      <c r="J505" s="505">
        <v>2.0514833509807026E-2</v>
      </c>
      <c r="K505" s="505">
        <v>0.9</v>
      </c>
      <c r="L505" s="3">
        <v>1</v>
      </c>
      <c r="M505" s="3">
        <v>5.2488000000000001</v>
      </c>
      <c r="N505" s="507">
        <v>393654</v>
      </c>
      <c r="O505" s="507">
        <v>0</v>
      </c>
      <c r="P505" s="507">
        <v>393654</v>
      </c>
      <c r="Q505" s="507">
        <v>4929.42</v>
      </c>
      <c r="R505" s="507">
        <v>7268.1716434226182</v>
      </c>
      <c r="S505" s="507">
        <v>0</v>
      </c>
      <c r="T505" s="507">
        <v>7268.1716434226182</v>
      </c>
      <c r="U505" s="507">
        <v>91.013607539921665</v>
      </c>
      <c r="V505" s="507">
        <f>Port[[#This Row],[EAD_Drawn (CNY)]]*Port[[#This Row],[CNY -&gt; FCY]]</f>
        <v>393654</v>
      </c>
      <c r="W505" s="507">
        <f>Port[[#This Row],[EAD_Undrawn (CNY)]]*Port[[#This Row],[CNY -&gt; FCY]]</f>
        <v>0</v>
      </c>
      <c r="X505" s="507">
        <f>Port[[#This Row],[EAD (CNY)]]*Port[[#This Row],[CNY -&gt; FCY]]</f>
        <v>393654</v>
      </c>
      <c r="Y505" s="507">
        <f>Port[[#This Row],[EAD_Interest (CNY)]]*Port[[#This Row],[CNY -&gt; FCY]]</f>
        <v>4929.42</v>
      </c>
      <c r="Z505" s="507">
        <f>Port[[#This Row],[ECL_Drawn (CNY)]]*Port[[#This Row],[CNY -&gt; FCY]]</f>
        <v>7268.1716434226182</v>
      </c>
      <c r="AA505" s="507">
        <f>Port[[#This Row],[ECL_Undrawn (CNY)]]*Port[[#This Row],[CNY -&gt; FCY]]</f>
        <v>0</v>
      </c>
      <c r="AB505" s="507">
        <f>Port[[#This Row],[ECL (CNY)]]*Port[[#This Row],[CNY -&gt; FCY]]</f>
        <v>7268.1716434226182</v>
      </c>
      <c r="AC505" s="507">
        <f>Port[[#This Row],[ECL_Interest (CNY)]]*Port[[#This Row],[CNY -&gt; FCY]]</f>
        <v>91.013607539921665</v>
      </c>
      <c r="AD505" s="507">
        <f>Port[[#This Row],[EAD_Drawn (CNY)]]*Port[[#This Row],[CNY -&gt; THB]]</f>
        <v>2066211.1152000001</v>
      </c>
      <c r="AE505" s="507">
        <f>Port[[#This Row],[EAD_Undrawn (CNY)]]*Port[[#This Row],[CNY -&gt; THB]]</f>
        <v>0</v>
      </c>
      <c r="AF505" s="507">
        <f>Port[[#This Row],[EAD (CNY)]]*Port[[#This Row],[CNY -&gt; THB]]</f>
        <v>2066211.1152000001</v>
      </c>
      <c r="AG505" s="507">
        <f>Port[[#This Row],[EAD_Interest (CNY)]]*Port[[#This Row],[CNY -&gt; THB]]</f>
        <v>25873.539696</v>
      </c>
      <c r="AH505" s="507">
        <f>Port[[#This Row],[ECL_Drawn (CNY)]]*Port[[#This Row],[CNY -&gt; THB]]</f>
        <v>38149.179321996642</v>
      </c>
      <c r="AI505" s="507">
        <f>Port[[#This Row],[ECL_Undrawn (CNY)]]*Port[[#This Row],[CNY -&gt; THB]]</f>
        <v>0</v>
      </c>
      <c r="AJ505" s="507">
        <f>Port[[#This Row],[ECL (CNY)]]*Port[[#This Row],[CNY -&gt; THB]]</f>
        <v>38149.179321996642</v>
      </c>
      <c r="AK505" s="507">
        <f>Port[[#This Row],[ECL_Interest (CNY)]]*Port[[#This Row],[CNY -&gt; THB]]</f>
        <v>477.71222325554083</v>
      </c>
      <c r="AL505" s="507">
        <f>Port[[#This Row],[EAD (THB)]]*Port[[#This Row],[PD_avg]]</f>
        <v>42387.977024440705</v>
      </c>
      <c r="AM505" s="507">
        <f>Port[[#This Row],[EAD_Interest (THB)]]*Port[[#This Row],[PD_avg]]</f>
        <v>530.79135917282304</v>
      </c>
      <c r="AN505" s="507">
        <f>Port[[#This Row],[EAD (THB)]]*Port[[#This Row],[LGD_avg]]</f>
        <v>1859590.0036800001</v>
      </c>
      <c r="AO505" s="507">
        <f>Port[[#This Row],[EAD_Interest (THB)]]*Port[[#This Row],[LGD_avg]]</f>
        <v>23286.185726399999</v>
      </c>
      <c r="AP505" s="507">
        <f>Port[[#This Row],[EAD_Drawn (THB)]]+Port[[#This Row],[EAD_Interest (THB)]]</f>
        <v>2092084.6548960002</v>
      </c>
      <c r="AQ50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30993.166728</v>
      </c>
      <c r="AR505" s="522">
        <f>MAX(Port[[#This Row],[ECL (THB)]]+Port[[#This Row],[ECL_Interest (THB)]], Port[[#This Row],[ECL CBIRC (THB)]])</f>
        <v>38626.891545252183</v>
      </c>
    </row>
    <row r="506" spans="1:44">
      <c r="A506" s="2" t="s">
        <v>1211</v>
      </c>
      <c r="B506" s="2" t="s">
        <v>1212</v>
      </c>
      <c r="C506" s="2" t="s">
        <v>328</v>
      </c>
      <c r="D506" s="2" t="s">
        <v>348</v>
      </c>
      <c r="E506" s="2" t="s">
        <v>19</v>
      </c>
      <c r="F506" s="2" t="s">
        <v>20</v>
      </c>
      <c r="G506" s="2" t="s">
        <v>21</v>
      </c>
      <c r="H506">
        <v>1</v>
      </c>
      <c r="I506" s="2" t="s">
        <v>526</v>
      </c>
      <c r="J506" s="505">
        <v>2.0514833509807026E-2</v>
      </c>
      <c r="K506" s="505">
        <v>0.8999999999999998</v>
      </c>
      <c r="L506" s="3">
        <v>1</v>
      </c>
      <c r="M506" s="3">
        <v>5.2488000000000001</v>
      </c>
      <c r="N506" s="507">
        <v>23488.23</v>
      </c>
      <c r="O506" s="507">
        <v>0</v>
      </c>
      <c r="P506" s="507">
        <v>23488.23</v>
      </c>
      <c r="Q506" s="507">
        <v>226.99</v>
      </c>
      <c r="R506" s="507">
        <v>433.67141510104921</v>
      </c>
      <c r="S506" s="507">
        <v>0</v>
      </c>
      <c r="T506" s="507">
        <v>433.67141510104921</v>
      </c>
      <c r="U506" s="507">
        <v>4.1909958525519873</v>
      </c>
      <c r="V506" s="507">
        <f>Port[[#This Row],[EAD_Drawn (CNY)]]*Port[[#This Row],[CNY -&gt; FCY]]</f>
        <v>23488.23</v>
      </c>
      <c r="W506" s="507">
        <f>Port[[#This Row],[EAD_Undrawn (CNY)]]*Port[[#This Row],[CNY -&gt; FCY]]</f>
        <v>0</v>
      </c>
      <c r="X506" s="507">
        <f>Port[[#This Row],[EAD (CNY)]]*Port[[#This Row],[CNY -&gt; FCY]]</f>
        <v>23488.23</v>
      </c>
      <c r="Y506" s="507">
        <f>Port[[#This Row],[EAD_Interest (CNY)]]*Port[[#This Row],[CNY -&gt; FCY]]</f>
        <v>226.99</v>
      </c>
      <c r="Z506" s="507">
        <f>Port[[#This Row],[ECL_Drawn (CNY)]]*Port[[#This Row],[CNY -&gt; FCY]]</f>
        <v>433.67141510104921</v>
      </c>
      <c r="AA506" s="507">
        <f>Port[[#This Row],[ECL_Undrawn (CNY)]]*Port[[#This Row],[CNY -&gt; FCY]]</f>
        <v>0</v>
      </c>
      <c r="AB506" s="507">
        <f>Port[[#This Row],[ECL (CNY)]]*Port[[#This Row],[CNY -&gt; FCY]]</f>
        <v>433.67141510104921</v>
      </c>
      <c r="AC506" s="507">
        <f>Port[[#This Row],[ECL_Interest (CNY)]]*Port[[#This Row],[CNY -&gt; FCY]]</f>
        <v>4.1909958525519873</v>
      </c>
      <c r="AD506" s="507">
        <f>Port[[#This Row],[EAD_Drawn (CNY)]]*Port[[#This Row],[CNY -&gt; THB]]</f>
        <v>123285.021624</v>
      </c>
      <c r="AE506" s="507">
        <f>Port[[#This Row],[EAD_Undrawn (CNY)]]*Port[[#This Row],[CNY -&gt; THB]]</f>
        <v>0</v>
      </c>
      <c r="AF506" s="507">
        <f>Port[[#This Row],[EAD (CNY)]]*Port[[#This Row],[CNY -&gt; THB]]</f>
        <v>123285.021624</v>
      </c>
      <c r="AG506" s="507">
        <f>Port[[#This Row],[EAD_Interest (CNY)]]*Port[[#This Row],[CNY -&gt; THB]]</f>
        <v>1191.4251120000001</v>
      </c>
      <c r="AH506" s="507">
        <f>Port[[#This Row],[ECL_Drawn (CNY)]]*Port[[#This Row],[CNY -&gt; THB]]</f>
        <v>2276.2545235823873</v>
      </c>
      <c r="AI506" s="507">
        <f>Port[[#This Row],[ECL_Undrawn (CNY)]]*Port[[#This Row],[CNY -&gt; THB]]</f>
        <v>0</v>
      </c>
      <c r="AJ506" s="507">
        <f>Port[[#This Row],[ECL (CNY)]]*Port[[#This Row],[CNY -&gt; THB]]</f>
        <v>2276.2545235823873</v>
      </c>
      <c r="AK506" s="507">
        <f>Port[[#This Row],[ECL_Interest (CNY)]]*Port[[#This Row],[CNY -&gt; THB]]</f>
        <v>21.99769903087487</v>
      </c>
      <c r="AL506" s="507">
        <f>Port[[#This Row],[EAD (THB)]]*Port[[#This Row],[PD_avg]]</f>
        <v>2529.171692869319</v>
      </c>
      <c r="AM506" s="507">
        <f>Port[[#This Row],[EAD_Interest (THB)]]*Port[[#This Row],[PD_avg]]</f>
        <v>24.441887812083191</v>
      </c>
      <c r="AN506" s="507">
        <f>Port[[#This Row],[EAD (THB)]]*Port[[#This Row],[LGD_avg]]</f>
        <v>110956.51946159998</v>
      </c>
      <c r="AO506" s="507">
        <f>Port[[#This Row],[EAD_Interest (THB)]]*Port[[#This Row],[LGD_avg]]</f>
        <v>1072.2826008</v>
      </c>
      <c r="AP506" s="507">
        <f>Port[[#This Row],[EAD_Drawn (THB)]]+Port[[#This Row],[EAD_Interest (THB)]]</f>
        <v>124476.446736</v>
      </c>
      <c r="AQ50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1849.27532436</v>
      </c>
      <c r="AR506" s="522">
        <f>MAX(Port[[#This Row],[ECL (THB)]]+Port[[#This Row],[ECL_Interest (THB)]], Port[[#This Row],[ECL CBIRC (THB)]])</f>
        <v>2298.2522226132623</v>
      </c>
    </row>
    <row r="507" spans="1:44">
      <c r="A507" s="2" t="s">
        <v>1213</v>
      </c>
      <c r="B507" s="2" t="s">
        <v>1214</v>
      </c>
      <c r="C507" s="2" t="s">
        <v>328</v>
      </c>
      <c r="D507" s="2" t="s">
        <v>25</v>
      </c>
      <c r="E507" s="2" t="s">
        <v>19</v>
      </c>
      <c r="F507" s="2" t="s">
        <v>20</v>
      </c>
      <c r="G507" s="2" t="s">
        <v>21</v>
      </c>
      <c r="H507">
        <v>1</v>
      </c>
      <c r="I507" s="2" t="s">
        <v>526</v>
      </c>
      <c r="J507" s="505">
        <v>1.3043899345507868E-2</v>
      </c>
      <c r="K507" s="505">
        <v>0.90000000000000013</v>
      </c>
      <c r="L507" s="3">
        <v>1</v>
      </c>
      <c r="M507" s="3">
        <v>5.2488000000000001</v>
      </c>
      <c r="N507" s="507">
        <v>4712526</v>
      </c>
      <c r="O507" s="507">
        <v>0</v>
      </c>
      <c r="P507" s="507">
        <v>4712526</v>
      </c>
      <c r="Q507" s="507">
        <v>126714.59</v>
      </c>
      <c r="R507" s="507">
        <v>55322.743326379939</v>
      </c>
      <c r="S507" s="507">
        <v>0</v>
      </c>
      <c r="T507" s="507">
        <v>55322.743326379939</v>
      </c>
      <c r="U507" s="507">
        <v>1487.5671218105683</v>
      </c>
      <c r="V507" s="507">
        <f>Port[[#This Row],[EAD_Drawn (CNY)]]*Port[[#This Row],[CNY -&gt; FCY]]</f>
        <v>4712526</v>
      </c>
      <c r="W507" s="507">
        <f>Port[[#This Row],[EAD_Undrawn (CNY)]]*Port[[#This Row],[CNY -&gt; FCY]]</f>
        <v>0</v>
      </c>
      <c r="X507" s="507">
        <f>Port[[#This Row],[EAD (CNY)]]*Port[[#This Row],[CNY -&gt; FCY]]</f>
        <v>4712526</v>
      </c>
      <c r="Y507" s="507">
        <f>Port[[#This Row],[EAD_Interest (CNY)]]*Port[[#This Row],[CNY -&gt; FCY]]</f>
        <v>126714.59</v>
      </c>
      <c r="Z507" s="507">
        <f>Port[[#This Row],[ECL_Drawn (CNY)]]*Port[[#This Row],[CNY -&gt; FCY]]</f>
        <v>55322.743326379939</v>
      </c>
      <c r="AA507" s="507">
        <f>Port[[#This Row],[ECL_Undrawn (CNY)]]*Port[[#This Row],[CNY -&gt; FCY]]</f>
        <v>0</v>
      </c>
      <c r="AB507" s="507">
        <f>Port[[#This Row],[ECL (CNY)]]*Port[[#This Row],[CNY -&gt; FCY]]</f>
        <v>55322.743326379939</v>
      </c>
      <c r="AC507" s="507">
        <f>Port[[#This Row],[ECL_Interest (CNY)]]*Port[[#This Row],[CNY -&gt; FCY]]</f>
        <v>1487.5671218105683</v>
      </c>
      <c r="AD507" s="507">
        <f>Port[[#This Row],[EAD_Drawn (CNY)]]*Port[[#This Row],[CNY -&gt; THB]]</f>
        <v>24735106.468800001</v>
      </c>
      <c r="AE507" s="507">
        <f>Port[[#This Row],[EAD_Undrawn (CNY)]]*Port[[#This Row],[CNY -&gt; THB]]</f>
        <v>0</v>
      </c>
      <c r="AF507" s="507">
        <f>Port[[#This Row],[EAD (CNY)]]*Port[[#This Row],[CNY -&gt; THB]]</f>
        <v>24735106.468800001</v>
      </c>
      <c r="AG507" s="507">
        <f>Port[[#This Row],[EAD_Interest (CNY)]]*Port[[#This Row],[CNY -&gt; THB]]</f>
        <v>665099.53999199998</v>
      </c>
      <c r="AH507" s="507">
        <f>Port[[#This Row],[ECL_Drawn (CNY)]]*Port[[#This Row],[CNY -&gt; THB]]</f>
        <v>290378.01517150301</v>
      </c>
      <c r="AI507" s="507">
        <f>Port[[#This Row],[ECL_Undrawn (CNY)]]*Port[[#This Row],[CNY -&gt; THB]]</f>
        <v>0</v>
      </c>
      <c r="AJ507" s="507">
        <f>Port[[#This Row],[ECL (CNY)]]*Port[[#This Row],[CNY -&gt; THB]]</f>
        <v>290378.01517150301</v>
      </c>
      <c r="AK507" s="507">
        <f>Port[[#This Row],[ECL_Interest (CNY)]]*Port[[#This Row],[CNY -&gt; THB]]</f>
        <v>7807.942308959311</v>
      </c>
      <c r="AL507" s="507">
        <f>Port[[#This Row],[EAD (THB)]]*Port[[#This Row],[PD_avg]]</f>
        <v>322642.23907944775</v>
      </c>
      <c r="AM507" s="507">
        <f>Port[[#This Row],[EAD_Interest (THB)]]*Port[[#This Row],[PD_avg]]</f>
        <v>8675.4914543992327</v>
      </c>
      <c r="AN507" s="507">
        <f>Port[[#This Row],[EAD (THB)]]*Port[[#This Row],[LGD_avg]]</f>
        <v>22261595.821920004</v>
      </c>
      <c r="AO507" s="507">
        <f>Port[[#This Row],[EAD_Interest (THB)]]*Port[[#This Row],[LGD_avg]]</f>
        <v>598589.58599280007</v>
      </c>
      <c r="AP507" s="507">
        <f>Port[[#This Row],[EAD_Drawn (THB)]]+Port[[#This Row],[EAD_Interest (THB)]]</f>
        <v>25400206.008792002</v>
      </c>
      <c r="AQ50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371026.59703200002</v>
      </c>
      <c r="AR507" s="522">
        <f>MAX(Port[[#This Row],[ECL (THB)]]+Port[[#This Row],[ECL_Interest (THB)]], Port[[#This Row],[ECL CBIRC (THB)]])</f>
        <v>371026.59703200002</v>
      </c>
    </row>
    <row r="508" spans="1:44">
      <c r="A508" s="2" t="s">
        <v>1215</v>
      </c>
      <c r="B508" s="2" t="s">
        <v>1216</v>
      </c>
      <c r="C508" s="2" t="s">
        <v>328</v>
      </c>
      <c r="D508" s="2" t="s">
        <v>18</v>
      </c>
      <c r="E508" s="2" t="s">
        <v>19</v>
      </c>
      <c r="F508" s="2" t="s">
        <v>20</v>
      </c>
      <c r="G508" s="2" t="s">
        <v>21</v>
      </c>
      <c r="H508">
        <v>1</v>
      </c>
      <c r="I508" s="2" t="s">
        <v>526</v>
      </c>
      <c r="J508" s="505">
        <v>1.3043899345507868E-2</v>
      </c>
      <c r="K508" s="505">
        <v>0.9</v>
      </c>
      <c r="L508" s="3">
        <v>1</v>
      </c>
      <c r="M508" s="3">
        <v>5.2488000000000001</v>
      </c>
      <c r="N508" s="507">
        <v>2131750.64</v>
      </c>
      <c r="O508" s="507">
        <v>0</v>
      </c>
      <c r="P508" s="507">
        <v>2131750.64</v>
      </c>
      <c r="Q508" s="507">
        <v>55691.99</v>
      </c>
      <c r="R508" s="507">
        <v>25025.706700093786</v>
      </c>
      <c r="S508" s="507">
        <v>0</v>
      </c>
      <c r="T508" s="507">
        <v>25025.706700093786</v>
      </c>
      <c r="U508" s="507">
        <v>653.79664071992761</v>
      </c>
      <c r="V508" s="507">
        <f>Port[[#This Row],[EAD_Drawn (CNY)]]*Port[[#This Row],[CNY -&gt; FCY]]</f>
        <v>2131750.64</v>
      </c>
      <c r="W508" s="507">
        <f>Port[[#This Row],[EAD_Undrawn (CNY)]]*Port[[#This Row],[CNY -&gt; FCY]]</f>
        <v>0</v>
      </c>
      <c r="X508" s="507">
        <f>Port[[#This Row],[EAD (CNY)]]*Port[[#This Row],[CNY -&gt; FCY]]</f>
        <v>2131750.64</v>
      </c>
      <c r="Y508" s="507">
        <f>Port[[#This Row],[EAD_Interest (CNY)]]*Port[[#This Row],[CNY -&gt; FCY]]</f>
        <v>55691.99</v>
      </c>
      <c r="Z508" s="507">
        <f>Port[[#This Row],[ECL_Drawn (CNY)]]*Port[[#This Row],[CNY -&gt; FCY]]</f>
        <v>25025.706700093786</v>
      </c>
      <c r="AA508" s="507">
        <f>Port[[#This Row],[ECL_Undrawn (CNY)]]*Port[[#This Row],[CNY -&gt; FCY]]</f>
        <v>0</v>
      </c>
      <c r="AB508" s="507">
        <f>Port[[#This Row],[ECL (CNY)]]*Port[[#This Row],[CNY -&gt; FCY]]</f>
        <v>25025.706700093786</v>
      </c>
      <c r="AC508" s="507">
        <f>Port[[#This Row],[ECL_Interest (CNY)]]*Port[[#This Row],[CNY -&gt; FCY]]</f>
        <v>653.79664071992761</v>
      </c>
      <c r="AD508" s="507">
        <f>Port[[#This Row],[EAD_Drawn (CNY)]]*Port[[#This Row],[CNY -&gt; THB]]</f>
        <v>11189132.759232001</v>
      </c>
      <c r="AE508" s="507">
        <f>Port[[#This Row],[EAD_Undrawn (CNY)]]*Port[[#This Row],[CNY -&gt; THB]]</f>
        <v>0</v>
      </c>
      <c r="AF508" s="507">
        <f>Port[[#This Row],[EAD (CNY)]]*Port[[#This Row],[CNY -&gt; THB]]</f>
        <v>11189132.759232001</v>
      </c>
      <c r="AG508" s="507">
        <f>Port[[#This Row],[EAD_Interest (CNY)]]*Port[[#This Row],[CNY -&gt; THB]]</f>
        <v>292316.11711200001</v>
      </c>
      <c r="AH508" s="507">
        <f>Port[[#This Row],[ECL_Drawn (CNY)]]*Port[[#This Row],[CNY -&gt; THB]]</f>
        <v>131354.92932745226</v>
      </c>
      <c r="AI508" s="507">
        <f>Port[[#This Row],[ECL_Undrawn (CNY)]]*Port[[#This Row],[CNY -&gt; THB]]</f>
        <v>0</v>
      </c>
      <c r="AJ508" s="507">
        <f>Port[[#This Row],[ECL (CNY)]]*Port[[#This Row],[CNY -&gt; THB]]</f>
        <v>131354.92932745226</v>
      </c>
      <c r="AK508" s="507">
        <f>Port[[#This Row],[ECL_Interest (CNY)]]*Port[[#This Row],[CNY -&gt; THB]]</f>
        <v>3431.6478078107561</v>
      </c>
      <c r="AL508" s="507">
        <f>Port[[#This Row],[EAD (THB)]]*Port[[#This Row],[PD_avg]]</f>
        <v>145949.92147494695</v>
      </c>
      <c r="AM508" s="507">
        <f>Port[[#This Row],[EAD_Interest (THB)]]*Port[[#This Row],[PD_avg]]</f>
        <v>3812.9420086786181</v>
      </c>
      <c r="AN508" s="507">
        <f>Port[[#This Row],[EAD (THB)]]*Port[[#This Row],[LGD_avg]]</f>
        <v>10070219.483308801</v>
      </c>
      <c r="AO508" s="507">
        <f>Port[[#This Row],[EAD_Interest (THB)]]*Port[[#This Row],[LGD_avg]]</f>
        <v>263084.50540080003</v>
      </c>
      <c r="AP508" s="507">
        <f>Port[[#This Row],[EAD_Drawn (THB)]]+Port[[#This Row],[EAD_Interest (THB)]]</f>
        <v>11481448.876344001</v>
      </c>
      <c r="AQ50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167836.99138848</v>
      </c>
      <c r="AR508" s="522">
        <f>MAX(Port[[#This Row],[ECL (THB)]]+Port[[#This Row],[ECL_Interest (THB)]], Port[[#This Row],[ECL CBIRC (THB)]])</f>
        <v>167836.99138848</v>
      </c>
    </row>
    <row r="509" spans="1:44">
      <c r="A509" s="2" t="s">
        <v>1217</v>
      </c>
      <c r="B509" s="2" t="s">
        <v>1216</v>
      </c>
      <c r="C509" s="2" t="s">
        <v>328</v>
      </c>
      <c r="D509" s="2" t="s">
        <v>18</v>
      </c>
      <c r="E509" s="2" t="s">
        <v>19</v>
      </c>
      <c r="F509" s="2" t="s">
        <v>20</v>
      </c>
      <c r="G509" s="2" t="s">
        <v>21</v>
      </c>
      <c r="H509">
        <v>1</v>
      </c>
      <c r="I509" s="2" t="s">
        <v>526</v>
      </c>
      <c r="J509" s="505">
        <v>1.3043899345507868E-2</v>
      </c>
      <c r="K509" s="505">
        <v>0.9</v>
      </c>
      <c r="L509" s="3">
        <v>1</v>
      </c>
      <c r="M509" s="3">
        <v>5.2488000000000001</v>
      </c>
      <c r="N509" s="507">
        <v>3000000</v>
      </c>
      <c r="O509" s="507">
        <v>0</v>
      </c>
      <c r="P509" s="507">
        <v>3000000</v>
      </c>
      <c r="Q509" s="507">
        <v>78375</v>
      </c>
      <c r="R509" s="507">
        <v>35218.528232871249</v>
      </c>
      <c r="S509" s="507">
        <v>0</v>
      </c>
      <c r="T509" s="507">
        <v>35218.528232871249</v>
      </c>
      <c r="U509" s="507">
        <v>920.08405008376133</v>
      </c>
      <c r="V509" s="507">
        <f>Port[[#This Row],[EAD_Drawn (CNY)]]*Port[[#This Row],[CNY -&gt; FCY]]</f>
        <v>3000000</v>
      </c>
      <c r="W509" s="507">
        <f>Port[[#This Row],[EAD_Undrawn (CNY)]]*Port[[#This Row],[CNY -&gt; FCY]]</f>
        <v>0</v>
      </c>
      <c r="X509" s="507">
        <f>Port[[#This Row],[EAD (CNY)]]*Port[[#This Row],[CNY -&gt; FCY]]</f>
        <v>3000000</v>
      </c>
      <c r="Y509" s="507">
        <f>Port[[#This Row],[EAD_Interest (CNY)]]*Port[[#This Row],[CNY -&gt; FCY]]</f>
        <v>78375</v>
      </c>
      <c r="Z509" s="507">
        <f>Port[[#This Row],[ECL_Drawn (CNY)]]*Port[[#This Row],[CNY -&gt; FCY]]</f>
        <v>35218.528232871249</v>
      </c>
      <c r="AA509" s="507">
        <f>Port[[#This Row],[ECL_Undrawn (CNY)]]*Port[[#This Row],[CNY -&gt; FCY]]</f>
        <v>0</v>
      </c>
      <c r="AB509" s="507">
        <f>Port[[#This Row],[ECL (CNY)]]*Port[[#This Row],[CNY -&gt; FCY]]</f>
        <v>35218.528232871249</v>
      </c>
      <c r="AC509" s="507">
        <f>Port[[#This Row],[ECL_Interest (CNY)]]*Port[[#This Row],[CNY -&gt; FCY]]</f>
        <v>920.08405008376133</v>
      </c>
      <c r="AD509" s="507">
        <f>Port[[#This Row],[EAD_Drawn (CNY)]]*Port[[#This Row],[CNY -&gt; THB]]</f>
        <v>15746400</v>
      </c>
      <c r="AE509" s="507">
        <f>Port[[#This Row],[EAD_Undrawn (CNY)]]*Port[[#This Row],[CNY -&gt; THB]]</f>
        <v>0</v>
      </c>
      <c r="AF509" s="507">
        <f>Port[[#This Row],[EAD (CNY)]]*Port[[#This Row],[CNY -&gt; THB]]</f>
        <v>15746400</v>
      </c>
      <c r="AG509" s="507">
        <f>Port[[#This Row],[EAD_Interest (CNY)]]*Port[[#This Row],[CNY -&gt; THB]]</f>
        <v>411374.7</v>
      </c>
      <c r="AH509" s="507">
        <f>Port[[#This Row],[ECL_Drawn (CNY)]]*Port[[#This Row],[CNY -&gt; THB]]</f>
        <v>184855.01098869462</v>
      </c>
      <c r="AI509" s="507">
        <f>Port[[#This Row],[ECL_Undrawn (CNY)]]*Port[[#This Row],[CNY -&gt; THB]]</f>
        <v>0</v>
      </c>
      <c r="AJ509" s="507">
        <f>Port[[#This Row],[ECL (CNY)]]*Port[[#This Row],[CNY -&gt; THB]]</f>
        <v>184855.01098869462</v>
      </c>
      <c r="AK509" s="507">
        <f>Port[[#This Row],[ECL_Interest (CNY)]]*Port[[#This Row],[CNY -&gt; THB]]</f>
        <v>4829.337162079647</v>
      </c>
      <c r="AL509" s="507">
        <f>Port[[#This Row],[EAD (THB)]]*Port[[#This Row],[PD_avg]]</f>
        <v>205394.4566541051</v>
      </c>
      <c r="AM509" s="507">
        <f>Port[[#This Row],[EAD_Interest (THB)]]*Port[[#This Row],[PD_avg]]</f>
        <v>5365.9301800884959</v>
      </c>
      <c r="AN509" s="507">
        <f>Port[[#This Row],[EAD (THB)]]*Port[[#This Row],[LGD_avg]]</f>
        <v>14171760</v>
      </c>
      <c r="AO509" s="507">
        <f>Port[[#This Row],[EAD_Interest (THB)]]*Port[[#This Row],[LGD_avg]]</f>
        <v>370237.23000000004</v>
      </c>
      <c r="AP509" s="507">
        <f>Port[[#This Row],[EAD_Drawn (THB)]]+Port[[#This Row],[EAD_Interest (THB)]]</f>
        <v>16157774.699999999</v>
      </c>
      <c r="AQ50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236196</v>
      </c>
      <c r="AR509" s="522">
        <f>MAX(Port[[#This Row],[ECL (THB)]]+Port[[#This Row],[ECL_Interest (THB)]], Port[[#This Row],[ECL CBIRC (THB)]])</f>
        <v>236196</v>
      </c>
    </row>
    <row r="510" spans="1:44">
      <c r="A510" s="2" t="s">
        <v>1218</v>
      </c>
      <c r="B510" s="2" t="s">
        <v>351</v>
      </c>
      <c r="C510" s="2" t="s">
        <v>328</v>
      </c>
      <c r="D510" s="2" t="s">
        <v>18</v>
      </c>
      <c r="E510" s="2" t="s">
        <v>19</v>
      </c>
      <c r="F510" s="2" t="s">
        <v>20</v>
      </c>
      <c r="G510" s="2" t="s">
        <v>21</v>
      </c>
      <c r="H510">
        <v>1</v>
      </c>
      <c r="I510" s="2" t="s">
        <v>526</v>
      </c>
      <c r="J510" s="505">
        <v>2.0514833509807026E-2</v>
      </c>
      <c r="K510" s="505">
        <v>0.9</v>
      </c>
      <c r="L510" s="3">
        <v>1</v>
      </c>
      <c r="M510" s="3">
        <v>5.2488000000000001</v>
      </c>
      <c r="N510" s="507">
        <v>3762870</v>
      </c>
      <c r="O510" s="507">
        <v>0</v>
      </c>
      <c r="P510" s="507">
        <v>3762870</v>
      </c>
      <c r="Q510" s="507">
        <v>94887.039999999994</v>
      </c>
      <c r="R510" s="507">
        <v>69475.186412142808</v>
      </c>
      <c r="S510" s="507">
        <v>0</v>
      </c>
      <c r="T510" s="507">
        <v>69475.186412142808</v>
      </c>
      <c r="U510" s="507">
        <v>1751.9326450545598</v>
      </c>
      <c r="V510" s="507">
        <f>Port[[#This Row],[EAD_Drawn (CNY)]]*Port[[#This Row],[CNY -&gt; FCY]]</f>
        <v>3762870</v>
      </c>
      <c r="W510" s="507">
        <f>Port[[#This Row],[EAD_Undrawn (CNY)]]*Port[[#This Row],[CNY -&gt; FCY]]</f>
        <v>0</v>
      </c>
      <c r="X510" s="507">
        <f>Port[[#This Row],[EAD (CNY)]]*Port[[#This Row],[CNY -&gt; FCY]]</f>
        <v>3762870</v>
      </c>
      <c r="Y510" s="507">
        <f>Port[[#This Row],[EAD_Interest (CNY)]]*Port[[#This Row],[CNY -&gt; FCY]]</f>
        <v>94887.039999999994</v>
      </c>
      <c r="Z510" s="507">
        <f>Port[[#This Row],[ECL_Drawn (CNY)]]*Port[[#This Row],[CNY -&gt; FCY]]</f>
        <v>69475.186412142808</v>
      </c>
      <c r="AA510" s="507">
        <f>Port[[#This Row],[ECL_Undrawn (CNY)]]*Port[[#This Row],[CNY -&gt; FCY]]</f>
        <v>0</v>
      </c>
      <c r="AB510" s="507">
        <f>Port[[#This Row],[ECL (CNY)]]*Port[[#This Row],[CNY -&gt; FCY]]</f>
        <v>69475.186412142808</v>
      </c>
      <c r="AC510" s="507">
        <f>Port[[#This Row],[ECL_Interest (CNY)]]*Port[[#This Row],[CNY -&gt; FCY]]</f>
        <v>1751.9326450545598</v>
      </c>
      <c r="AD510" s="507">
        <f>Port[[#This Row],[EAD_Drawn (CNY)]]*Port[[#This Row],[CNY -&gt; THB]]</f>
        <v>19750552.056000002</v>
      </c>
      <c r="AE510" s="507">
        <f>Port[[#This Row],[EAD_Undrawn (CNY)]]*Port[[#This Row],[CNY -&gt; THB]]</f>
        <v>0</v>
      </c>
      <c r="AF510" s="507">
        <f>Port[[#This Row],[EAD (CNY)]]*Port[[#This Row],[CNY -&gt; THB]]</f>
        <v>19750552.056000002</v>
      </c>
      <c r="AG510" s="507">
        <f>Port[[#This Row],[EAD_Interest (CNY)]]*Port[[#This Row],[CNY -&gt; THB]]</f>
        <v>498043.09555199998</v>
      </c>
      <c r="AH510" s="507">
        <f>Port[[#This Row],[ECL_Drawn (CNY)]]*Port[[#This Row],[CNY -&gt; THB]]</f>
        <v>364661.35844005516</v>
      </c>
      <c r="AI510" s="507">
        <f>Port[[#This Row],[ECL_Undrawn (CNY)]]*Port[[#This Row],[CNY -&gt; THB]]</f>
        <v>0</v>
      </c>
      <c r="AJ510" s="507">
        <f>Port[[#This Row],[ECL (CNY)]]*Port[[#This Row],[CNY -&gt; THB]]</f>
        <v>364661.35844005516</v>
      </c>
      <c r="AK510" s="507">
        <f>Port[[#This Row],[ECL_Interest (CNY)]]*Port[[#This Row],[CNY -&gt; THB]]</f>
        <v>9195.5440673623743</v>
      </c>
      <c r="AL510" s="507">
        <f>Port[[#This Row],[EAD (THB)]]*Port[[#This Row],[PD_avg]]</f>
        <v>405179.28715561691</v>
      </c>
      <c r="AM510" s="507">
        <f>Port[[#This Row],[EAD_Interest (THB)]]*Port[[#This Row],[PD_avg]]</f>
        <v>10217.271185958192</v>
      </c>
      <c r="AN510" s="507">
        <f>Port[[#This Row],[EAD (THB)]]*Port[[#This Row],[LGD_avg]]</f>
        <v>17775496.850400001</v>
      </c>
      <c r="AO510" s="507">
        <f>Port[[#This Row],[EAD_Interest (THB)]]*Port[[#This Row],[LGD_avg]]</f>
        <v>448238.7859968</v>
      </c>
      <c r="AP510" s="507">
        <f>Port[[#This Row],[EAD_Drawn (THB)]]+Port[[#This Row],[EAD_Interest (THB)]]</f>
        <v>20248595.151552003</v>
      </c>
      <c r="AQ5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296258.28084000002</v>
      </c>
      <c r="AR510" s="522">
        <f>MAX(Port[[#This Row],[ECL (THB)]]+Port[[#This Row],[ECL_Interest (THB)]], Port[[#This Row],[ECL CBIRC (THB)]])</f>
        <v>373856.90250741754</v>
      </c>
    </row>
    <row r="511" spans="1:44">
      <c r="A511" s="2" t="s">
        <v>1219</v>
      </c>
      <c r="B511" s="2" t="s">
        <v>351</v>
      </c>
      <c r="C511" s="2" t="s">
        <v>328</v>
      </c>
      <c r="D511" s="2" t="s">
        <v>18</v>
      </c>
      <c r="E511" s="2" t="s">
        <v>19</v>
      </c>
      <c r="F511" s="2" t="s">
        <v>20</v>
      </c>
      <c r="G511" s="2" t="s">
        <v>21</v>
      </c>
      <c r="H511">
        <v>1</v>
      </c>
      <c r="I511" s="2" t="s">
        <v>526</v>
      </c>
      <c r="J511" s="505">
        <v>2.0514833509807026E-2</v>
      </c>
      <c r="K511" s="505">
        <v>0.9</v>
      </c>
      <c r="L511" s="3">
        <v>1</v>
      </c>
      <c r="M511" s="3">
        <v>5.2488000000000001</v>
      </c>
      <c r="N511" s="507">
        <v>1095350</v>
      </c>
      <c r="O511" s="507">
        <v>0</v>
      </c>
      <c r="P511" s="507">
        <v>1095350</v>
      </c>
      <c r="Q511" s="507">
        <v>27621.08</v>
      </c>
      <c r="R511" s="507">
        <v>20223.830596470416</v>
      </c>
      <c r="S511" s="507">
        <v>0</v>
      </c>
      <c r="T511" s="507">
        <v>20223.830596470416</v>
      </c>
      <c r="U511" s="507">
        <v>509.97767180495464</v>
      </c>
      <c r="V511" s="507">
        <f>Port[[#This Row],[EAD_Drawn (CNY)]]*Port[[#This Row],[CNY -&gt; FCY]]</f>
        <v>1095350</v>
      </c>
      <c r="W511" s="507">
        <f>Port[[#This Row],[EAD_Undrawn (CNY)]]*Port[[#This Row],[CNY -&gt; FCY]]</f>
        <v>0</v>
      </c>
      <c r="X511" s="507">
        <f>Port[[#This Row],[EAD (CNY)]]*Port[[#This Row],[CNY -&gt; FCY]]</f>
        <v>1095350</v>
      </c>
      <c r="Y511" s="507">
        <f>Port[[#This Row],[EAD_Interest (CNY)]]*Port[[#This Row],[CNY -&gt; FCY]]</f>
        <v>27621.08</v>
      </c>
      <c r="Z511" s="507">
        <f>Port[[#This Row],[ECL_Drawn (CNY)]]*Port[[#This Row],[CNY -&gt; FCY]]</f>
        <v>20223.830596470416</v>
      </c>
      <c r="AA511" s="507">
        <f>Port[[#This Row],[ECL_Undrawn (CNY)]]*Port[[#This Row],[CNY -&gt; FCY]]</f>
        <v>0</v>
      </c>
      <c r="AB511" s="507">
        <f>Port[[#This Row],[ECL (CNY)]]*Port[[#This Row],[CNY -&gt; FCY]]</f>
        <v>20223.830596470416</v>
      </c>
      <c r="AC511" s="507">
        <f>Port[[#This Row],[ECL_Interest (CNY)]]*Port[[#This Row],[CNY -&gt; FCY]]</f>
        <v>509.97767180495464</v>
      </c>
      <c r="AD511" s="507">
        <f>Port[[#This Row],[EAD_Drawn (CNY)]]*Port[[#This Row],[CNY -&gt; THB]]</f>
        <v>5749273.0800000001</v>
      </c>
      <c r="AE511" s="507">
        <f>Port[[#This Row],[EAD_Undrawn (CNY)]]*Port[[#This Row],[CNY -&gt; THB]]</f>
        <v>0</v>
      </c>
      <c r="AF511" s="507">
        <f>Port[[#This Row],[EAD (CNY)]]*Port[[#This Row],[CNY -&gt; THB]]</f>
        <v>5749273.0800000001</v>
      </c>
      <c r="AG511" s="507">
        <f>Port[[#This Row],[EAD_Interest (CNY)]]*Port[[#This Row],[CNY -&gt; THB]]</f>
        <v>144977.52470400001</v>
      </c>
      <c r="AH511" s="507">
        <f>Port[[#This Row],[ECL_Drawn (CNY)]]*Port[[#This Row],[CNY -&gt; THB]]</f>
        <v>106150.84203475392</v>
      </c>
      <c r="AI511" s="507">
        <f>Port[[#This Row],[ECL_Undrawn (CNY)]]*Port[[#This Row],[CNY -&gt; THB]]</f>
        <v>0</v>
      </c>
      <c r="AJ511" s="507">
        <f>Port[[#This Row],[ECL (CNY)]]*Port[[#This Row],[CNY -&gt; THB]]</f>
        <v>106150.84203475392</v>
      </c>
      <c r="AK511" s="507">
        <f>Port[[#This Row],[ECL_Interest (CNY)]]*Port[[#This Row],[CNY -&gt; THB]]</f>
        <v>2676.7708037698458</v>
      </c>
      <c r="AL511" s="507">
        <f>Port[[#This Row],[EAD (THB)]]*Port[[#This Row],[PD_avg]]</f>
        <v>117945.38003861545</v>
      </c>
      <c r="AM511" s="507">
        <f>Port[[#This Row],[EAD_Interest (THB)]]*Port[[#This Row],[PD_avg]]</f>
        <v>2974.1897819664955</v>
      </c>
      <c r="AN511" s="507">
        <f>Port[[#This Row],[EAD (THB)]]*Port[[#This Row],[LGD_avg]]</f>
        <v>5174345.7719999999</v>
      </c>
      <c r="AO511" s="507">
        <f>Port[[#This Row],[EAD_Interest (THB)]]*Port[[#This Row],[LGD_avg]]</f>
        <v>130479.77223360002</v>
      </c>
      <c r="AP511" s="507">
        <f>Port[[#This Row],[EAD_Drawn (THB)]]+Port[[#This Row],[EAD_Interest (THB)]]</f>
        <v>5894250.6047040001</v>
      </c>
      <c r="AQ5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86239.0962</v>
      </c>
      <c r="AR511" s="522">
        <f>MAX(Port[[#This Row],[ECL (THB)]]+Port[[#This Row],[ECL_Interest (THB)]], Port[[#This Row],[ECL CBIRC (THB)]])</f>
        <v>108827.61283852377</v>
      </c>
    </row>
    <row r="512" spans="1:44">
      <c r="A512" s="2" t="s">
        <v>1220</v>
      </c>
      <c r="B512" s="2" t="s">
        <v>353</v>
      </c>
      <c r="C512" s="2" t="s">
        <v>328</v>
      </c>
      <c r="D512" s="2" t="s">
        <v>18</v>
      </c>
      <c r="E512" s="2" t="s">
        <v>19</v>
      </c>
      <c r="F512" s="2" t="s">
        <v>20</v>
      </c>
      <c r="G512" s="2" t="s">
        <v>21</v>
      </c>
      <c r="H512">
        <v>1</v>
      </c>
      <c r="I512" s="2" t="s">
        <v>526</v>
      </c>
      <c r="J512" s="505">
        <v>1.3043899345507868E-2</v>
      </c>
      <c r="K512" s="505">
        <v>0.90000000000000013</v>
      </c>
      <c r="L512" s="3">
        <v>1</v>
      </c>
      <c r="M512" s="3">
        <v>5.2488000000000001</v>
      </c>
      <c r="N512" s="507">
        <v>1453860.74</v>
      </c>
      <c r="O512" s="507">
        <v>0</v>
      </c>
      <c r="P512" s="507">
        <v>1453860.74</v>
      </c>
      <c r="Q512" s="507">
        <v>39981.17</v>
      </c>
      <c r="R512" s="507">
        <v>17067.611839451027</v>
      </c>
      <c r="S512" s="507">
        <v>0</v>
      </c>
      <c r="T512" s="507">
        <v>17067.611839451027</v>
      </c>
      <c r="U512" s="507">
        <v>469.35932147607491</v>
      </c>
      <c r="V512" s="507">
        <f>Port[[#This Row],[EAD_Drawn (CNY)]]*Port[[#This Row],[CNY -&gt; FCY]]</f>
        <v>1453860.74</v>
      </c>
      <c r="W512" s="507">
        <f>Port[[#This Row],[EAD_Undrawn (CNY)]]*Port[[#This Row],[CNY -&gt; FCY]]</f>
        <v>0</v>
      </c>
      <c r="X512" s="507">
        <f>Port[[#This Row],[EAD (CNY)]]*Port[[#This Row],[CNY -&gt; FCY]]</f>
        <v>1453860.74</v>
      </c>
      <c r="Y512" s="507">
        <f>Port[[#This Row],[EAD_Interest (CNY)]]*Port[[#This Row],[CNY -&gt; FCY]]</f>
        <v>39981.17</v>
      </c>
      <c r="Z512" s="507">
        <f>Port[[#This Row],[ECL_Drawn (CNY)]]*Port[[#This Row],[CNY -&gt; FCY]]</f>
        <v>17067.611839451027</v>
      </c>
      <c r="AA512" s="507">
        <f>Port[[#This Row],[ECL_Undrawn (CNY)]]*Port[[#This Row],[CNY -&gt; FCY]]</f>
        <v>0</v>
      </c>
      <c r="AB512" s="507">
        <f>Port[[#This Row],[ECL (CNY)]]*Port[[#This Row],[CNY -&gt; FCY]]</f>
        <v>17067.611839451027</v>
      </c>
      <c r="AC512" s="507">
        <f>Port[[#This Row],[ECL_Interest (CNY)]]*Port[[#This Row],[CNY -&gt; FCY]]</f>
        <v>469.35932147607491</v>
      </c>
      <c r="AD512" s="507">
        <f>Port[[#This Row],[EAD_Drawn (CNY)]]*Port[[#This Row],[CNY -&gt; THB]]</f>
        <v>7631024.2521120002</v>
      </c>
      <c r="AE512" s="507">
        <f>Port[[#This Row],[EAD_Undrawn (CNY)]]*Port[[#This Row],[CNY -&gt; THB]]</f>
        <v>0</v>
      </c>
      <c r="AF512" s="507">
        <f>Port[[#This Row],[EAD (CNY)]]*Port[[#This Row],[CNY -&gt; THB]]</f>
        <v>7631024.2521120002</v>
      </c>
      <c r="AG512" s="507">
        <f>Port[[#This Row],[EAD_Interest (CNY)]]*Port[[#This Row],[CNY -&gt; THB]]</f>
        <v>209853.16509599998</v>
      </c>
      <c r="AH512" s="507">
        <f>Port[[#This Row],[ECL_Drawn (CNY)]]*Port[[#This Row],[CNY -&gt; THB]]</f>
        <v>89584.48102291055</v>
      </c>
      <c r="AI512" s="507">
        <f>Port[[#This Row],[ECL_Undrawn (CNY)]]*Port[[#This Row],[CNY -&gt; THB]]</f>
        <v>0</v>
      </c>
      <c r="AJ512" s="507">
        <f>Port[[#This Row],[ECL (CNY)]]*Port[[#This Row],[CNY -&gt; THB]]</f>
        <v>89584.48102291055</v>
      </c>
      <c r="AK512" s="507">
        <f>Port[[#This Row],[ECL_Interest (CNY)]]*Port[[#This Row],[CNY -&gt; THB]]</f>
        <v>2463.5732065636221</v>
      </c>
      <c r="AL512" s="507">
        <f>Port[[#This Row],[EAD (THB)]]*Port[[#This Row],[PD_avg]]</f>
        <v>99538.31224767839</v>
      </c>
      <c r="AM512" s="507">
        <f>Port[[#This Row],[EAD_Interest (THB)]]*Port[[#This Row],[PD_avg]]</f>
        <v>2737.3035628484686</v>
      </c>
      <c r="AN512" s="507">
        <f>Port[[#This Row],[EAD (THB)]]*Port[[#This Row],[LGD_avg]]</f>
        <v>6867921.8269008016</v>
      </c>
      <c r="AO512" s="507">
        <f>Port[[#This Row],[EAD_Interest (THB)]]*Port[[#This Row],[LGD_avg]]</f>
        <v>188867.84858640001</v>
      </c>
      <c r="AP512" s="507">
        <f>Port[[#This Row],[EAD_Drawn (THB)]]+Port[[#This Row],[EAD_Interest (THB)]]</f>
        <v>7840877.4172080001</v>
      </c>
      <c r="AQ5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114465.36378168</v>
      </c>
      <c r="AR512" s="522">
        <f>MAX(Port[[#This Row],[ECL (THB)]]+Port[[#This Row],[ECL_Interest (THB)]], Port[[#This Row],[ECL CBIRC (THB)]])</f>
        <v>114465.36378168</v>
      </c>
    </row>
    <row r="513" spans="1:44">
      <c r="A513" s="2" t="s">
        <v>1221</v>
      </c>
      <c r="B513" s="2" t="s">
        <v>358</v>
      </c>
      <c r="C513" s="2" t="s">
        <v>328</v>
      </c>
      <c r="D513" s="2" t="s">
        <v>18</v>
      </c>
      <c r="E513" s="2" t="s">
        <v>19</v>
      </c>
      <c r="F513" s="2" t="s">
        <v>20</v>
      </c>
      <c r="G513" s="2" t="s">
        <v>21</v>
      </c>
      <c r="H513">
        <v>1</v>
      </c>
      <c r="I513" s="2" t="s">
        <v>526</v>
      </c>
      <c r="J513" s="505">
        <v>1.3043899345507868E-2</v>
      </c>
      <c r="K513" s="505">
        <v>0.89999999999999991</v>
      </c>
      <c r="L513" s="3">
        <v>1</v>
      </c>
      <c r="M513" s="3">
        <v>5.2488000000000001</v>
      </c>
      <c r="N513" s="507">
        <v>1187846.48</v>
      </c>
      <c r="O513" s="507">
        <v>0</v>
      </c>
      <c r="P513" s="507">
        <v>1187846.48</v>
      </c>
      <c r="Q513" s="507">
        <v>32665.78</v>
      </c>
      <c r="R513" s="507">
        <v>13944.734930732242</v>
      </c>
      <c r="S513" s="507">
        <v>0</v>
      </c>
      <c r="T513" s="507">
        <v>13944.734930732242</v>
      </c>
      <c r="U513" s="507">
        <v>383.48023172625358</v>
      </c>
      <c r="V513" s="507">
        <f>Port[[#This Row],[EAD_Drawn (CNY)]]*Port[[#This Row],[CNY -&gt; FCY]]</f>
        <v>1187846.48</v>
      </c>
      <c r="W513" s="507">
        <f>Port[[#This Row],[EAD_Undrawn (CNY)]]*Port[[#This Row],[CNY -&gt; FCY]]</f>
        <v>0</v>
      </c>
      <c r="X513" s="507">
        <f>Port[[#This Row],[EAD (CNY)]]*Port[[#This Row],[CNY -&gt; FCY]]</f>
        <v>1187846.48</v>
      </c>
      <c r="Y513" s="507">
        <f>Port[[#This Row],[EAD_Interest (CNY)]]*Port[[#This Row],[CNY -&gt; FCY]]</f>
        <v>32665.78</v>
      </c>
      <c r="Z513" s="507">
        <f>Port[[#This Row],[ECL_Drawn (CNY)]]*Port[[#This Row],[CNY -&gt; FCY]]</f>
        <v>13944.734930732242</v>
      </c>
      <c r="AA513" s="507">
        <f>Port[[#This Row],[ECL_Undrawn (CNY)]]*Port[[#This Row],[CNY -&gt; FCY]]</f>
        <v>0</v>
      </c>
      <c r="AB513" s="507">
        <f>Port[[#This Row],[ECL (CNY)]]*Port[[#This Row],[CNY -&gt; FCY]]</f>
        <v>13944.734930732242</v>
      </c>
      <c r="AC513" s="507">
        <f>Port[[#This Row],[ECL_Interest (CNY)]]*Port[[#This Row],[CNY -&gt; FCY]]</f>
        <v>383.48023172625358</v>
      </c>
      <c r="AD513" s="507">
        <f>Port[[#This Row],[EAD_Drawn (CNY)]]*Port[[#This Row],[CNY -&gt; THB]]</f>
        <v>6234768.6042240001</v>
      </c>
      <c r="AE513" s="507">
        <f>Port[[#This Row],[EAD_Undrawn (CNY)]]*Port[[#This Row],[CNY -&gt; THB]]</f>
        <v>0</v>
      </c>
      <c r="AF513" s="507">
        <f>Port[[#This Row],[EAD (CNY)]]*Port[[#This Row],[CNY -&gt; THB]]</f>
        <v>6234768.6042240001</v>
      </c>
      <c r="AG513" s="507">
        <f>Port[[#This Row],[EAD_Interest (CNY)]]*Port[[#This Row],[CNY -&gt; THB]]</f>
        <v>171456.146064</v>
      </c>
      <c r="AH513" s="507">
        <f>Port[[#This Row],[ECL_Drawn (CNY)]]*Port[[#This Row],[CNY -&gt; THB]]</f>
        <v>73193.124704427391</v>
      </c>
      <c r="AI513" s="507">
        <f>Port[[#This Row],[ECL_Undrawn (CNY)]]*Port[[#This Row],[CNY -&gt; THB]]</f>
        <v>0</v>
      </c>
      <c r="AJ513" s="507">
        <f>Port[[#This Row],[ECL (CNY)]]*Port[[#This Row],[CNY -&gt; THB]]</f>
        <v>73193.124704427391</v>
      </c>
      <c r="AK513" s="507">
        <f>Port[[#This Row],[ECL_Interest (CNY)]]*Port[[#This Row],[CNY -&gt; THB]]</f>
        <v>2012.8110402847599</v>
      </c>
      <c r="AL513" s="507">
        <f>Port[[#This Row],[EAD (THB)]]*Port[[#This Row],[PD_avg]]</f>
        <v>81325.694116030441</v>
      </c>
      <c r="AM513" s="507">
        <f>Port[[#This Row],[EAD_Interest (THB)]]*Port[[#This Row],[PD_avg]]</f>
        <v>2236.456711427511</v>
      </c>
      <c r="AN513" s="507">
        <f>Port[[#This Row],[EAD (THB)]]*Port[[#This Row],[LGD_avg]]</f>
        <v>5611291.7438015994</v>
      </c>
      <c r="AO513" s="507">
        <f>Port[[#This Row],[EAD_Interest (THB)]]*Port[[#This Row],[LGD_avg]]</f>
        <v>154310.53145759998</v>
      </c>
      <c r="AP513" s="507">
        <f>Port[[#This Row],[EAD_Drawn (THB)]]+Port[[#This Row],[EAD_Interest (THB)]]</f>
        <v>6406224.7502880003</v>
      </c>
      <c r="AQ5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93521.529063359994</v>
      </c>
      <c r="AR513" s="522">
        <f>MAX(Port[[#This Row],[ECL (THB)]]+Port[[#This Row],[ECL_Interest (THB)]], Port[[#This Row],[ECL CBIRC (THB)]])</f>
        <v>93521.529063359994</v>
      </c>
    </row>
    <row r="514" spans="1:44">
      <c r="A514" s="2" t="s">
        <v>1222</v>
      </c>
      <c r="B514" s="2" t="s">
        <v>354</v>
      </c>
      <c r="C514" s="2" t="s">
        <v>328</v>
      </c>
      <c r="D514" s="2" t="s">
        <v>18</v>
      </c>
      <c r="E514" s="2" t="s">
        <v>19</v>
      </c>
      <c r="F514" s="2" t="s">
        <v>20</v>
      </c>
      <c r="G514" s="2" t="s">
        <v>21</v>
      </c>
      <c r="H514">
        <v>1</v>
      </c>
      <c r="I514" s="2" t="s">
        <v>526</v>
      </c>
      <c r="J514" s="505">
        <v>1.3043899345507868E-2</v>
      </c>
      <c r="K514" s="505">
        <v>0.89999999999999991</v>
      </c>
      <c r="L514" s="3">
        <v>1</v>
      </c>
      <c r="M514" s="3">
        <v>5.2488000000000001</v>
      </c>
      <c r="N514" s="507">
        <v>80000</v>
      </c>
      <c r="O514" s="507">
        <v>0</v>
      </c>
      <c r="P514" s="507">
        <v>80000</v>
      </c>
      <c r="Q514" s="507">
        <v>2200</v>
      </c>
      <c r="R514" s="507">
        <v>939.16075287656645</v>
      </c>
      <c r="S514" s="507">
        <v>0</v>
      </c>
      <c r="T514" s="507">
        <v>939.16075287656645</v>
      </c>
      <c r="U514" s="507">
        <v>25.826920704105579</v>
      </c>
      <c r="V514" s="507">
        <f>Port[[#This Row],[EAD_Drawn (CNY)]]*Port[[#This Row],[CNY -&gt; FCY]]</f>
        <v>80000</v>
      </c>
      <c r="W514" s="507">
        <f>Port[[#This Row],[EAD_Undrawn (CNY)]]*Port[[#This Row],[CNY -&gt; FCY]]</f>
        <v>0</v>
      </c>
      <c r="X514" s="507">
        <f>Port[[#This Row],[EAD (CNY)]]*Port[[#This Row],[CNY -&gt; FCY]]</f>
        <v>80000</v>
      </c>
      <c r="Y514" s="507">
        <f>Port[[#This Row],[EAD_Interest (CNY)]]*Port[[#This Row],[CNY -&gt; FCY]]</f>
        <v>2200</v>
      </c>
      <c r="Z514" s="507">
        <f>Port[[#This Row],[ECL_Drawn (CNY)]]*Port[[#This Row],[CNY -&gt; FCY]]</f>
        <v>939.16075287656645</v>
      </c>
      <c r="AA514" s="507">
        <f>Port[[#This Row],[ECL_Undrawn (CNY)]]*Port[[#This Row],[CNY -&gt; FCY]]</f>
        <v>0</v>
      </c>
      <c r="AB514" s="507">
        <f>Port[[#This Row],[ECL (CNY)]]*Port[[#This Row],[CNY -&gt; FCY]]</f>
        <v>939.16075287656645</v>
      </c>
      <c r="AC514" s="507">
        <f>Port[[#This Row],[ECL_Interest (CNY)]]*Port[[#This Row],[CNY -&gt; FCY]]</f>
        <v>25.826920704105579</v>
      </c>
      <c r="AD514" s="507">
        <f>Port[[#This Row],[EAD_Drawn (CNY)]]*Port[[#This Row],[CNY -&gt; THB]]</f>
        <v>419904</v>
      </c>
      <c r="AE514" s="507">
        <f>Port[[#This Row],[EAD_Undrawn (CNY)]]*Port[[#This Row],[CNY -&gt; THB]]</f>
        <v>0</v>
      </c>
      <c r="AF514" s="507">
        <f>Port[[#This Row],[EAD (CNY)]]*Port[[#This Row],[CNY -&gt; THB]]</f>
        <v>419904</v>
      </c>
      <c r="AG514" s="507">
        <f>Port[[#This Row],[EAD_Interest (CNY)]]*Port[[#This Row],[CNY -&gt; THB]]</f>
        <v>11547.36</v>
      </c>
      <c r="AH514" s="507">
        <f>Port[[#This Row],[ECL_Drawn (CNY)]]*Port[[#This Row],[CNY -&gt; THB]]</f>
        <v>4929.4669596985223</v>
      </c>
      <c r="AI514" s="507">
        <f>Port[[#This Row],[ECL_Undrawn (CNY)]]*Port[[#This Row],[CNY -&gt; THB]]</f>
        <v>0</v>
      </c>
      <c r="AJ514" s="507">
        <f>Port[[#This Row],[ECL (CNY)]]*Port[[#This Row],[CNY -&gt; THB]]</f>
        <v>4929.4669596985223</v>
      </c>
      <c r="AK514" s="507">
        <f>Port[[#This Row],[ECL_Interest (CNY)]]*Port[[#This Row],[CNY -&gt; THB]]</f>
        <v>135.56034139170936</v>
      </c>
      <c r="AL514" s="507">
        <f>Port[[#This Row],[EAD (THB)]]*Port[[#This Row],[PD_avg]]</f>
        <v>5477.1855107761357</v>
      </c>
      <c r="AM514" s="507">
        <f>Port[[#This Row],[EAD_Interest (THB)]]*Port[[#This Row],[PD_avg]]</f>
        <v>150.62260154634376</v>
      </c>
      <c r="AN514" s="507">
        <f>Port[[#This Row],[EAD (THB)]]*Port[[#This Row],[LGD_avg]]</f>
        <v>377913.59999999998</v>
      </c>
      <c r="AO514" s="507">
        <f>Port[[#This Row],[EAD_Interest (THB)]]*Port[[#This Row],[LGD_avg]]</f>
        <v>10392.624</v>
      </c>
      <c r="AP514" s="507">
        <f>Port[[#This Row],[EAD_Drawn (THB)]]+Port[[#This Row],[EAD_Interest (THB)]]</f>
        <v>431451.36</v>
      </c>
      <c r="AQ5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6298.5599999999995</v>
      </c>
      <c r="AR514" s="522">
        <f>MAX(Port[[#This Row],[ECL (THB)]]+Port[[#This Row],[ECL_Interest (THB)]], Port[[#This Row],[ECL CBIRC (THB)]])</f>
        <v>6298.5599999999995</v>
      </c>
    </row>
    <row r="515" spans="1:44">
      <c r="A515" s="2" t="s">
        <v>1223</v>
      </c>
      <c r="B515" s="2" t="s">
        <v>356</v>
      </c>
      <c r="C515" s="2" t="s">
        <v>328</v>
      </c>
      <c r="D515" s="2" t="s">
        <v>18</v>
      </c>
      <c r="E515" s="2" t="s">
        <v>19</v>
      </c>
      <c r="F515" s="2" t="s">
        <v>20</v>
      </c>
      <c r="G515" s="2" t="s">
        <v>21</v>
      </c>
      <c r="H515">
        <v>1</v>
      </c>
      <c r="I515" s="2" t="s">
        <v>526</v>
      </c>
      <c r="J515" s="505">
        <v>1.3043899345507868E-2</v>
      </c>
      <c r="K515" s="505">
        <v>0.9</v>
      </c>
      <c r="L515" s="3">
        <v>1</v>
      </c>
      <c r="M515" s="3">
        <v>5.2488000000000001</v>
      </c>
      <c r="N515" s="507">
        <v>307513.31</v>
      </c>
      <c r="O515" s="507">
        <v>0</v>
      </c>
      <c r="P515" s="507">
        <v>307513.31</v>
      </c>
      <c r="Q515" s="507">
        <v>8456.6200000000008</v>
      </c>
      <c r="R515" s="507">
        <v>3610.0553967395626</v>
      </c>
      <c r="S515" s="507">
        <v>0</v>
      </c>
      <c r="T515" s="507">
        <v>3610.0553967395626</v>
      </c>
      <c r="U515" s="507">
        <v>99.276570074887886</v>
      </c>
      <c r="V515" s="507">
        <f>Port[[#This Row],[EAD_Drawn (CNY)]]*Port[[#This Row],[CNY -&gt; FCY]]</f>
        <v>307513.31</v>
      </c>
      <c r="W515" s="507">
        <f>Port[[#This Row],[EAD_Undrawn (CNY)]]*Port[[#This Row],[CNY -&gt; FCY]]</f>
        <v>0</v>
      </c>
      <c r="X515" s="507">
        <f>Port[[#This Row],[EAD (CNY)]]*Port[[#This Row],[CNY -&gt; FCY]]</f>
        <v>307513.31</v>
      </c>
      <c r="Y515" s="507">
        <f>Port[[#This Row],[EAD_Interest (CNY)]]*Port[[#This Row],[CNY -&gt; FCY]]</f>
        <v>8456.6200000000008</v>
      </c>
      <c r="Z515" s="507">
        <f>Port[[#This Row],[ECL_Drawn (CNY)]]*Port[[#This Row],[CNY -&gt; FCY]]</f>
        <v>3610.0553967395626</v>
      </c>
      <c r="AA515" s="507">
        <f>Port[[#This Row],[ECL_Undrawn (CNY)]]*Port[[#This Row],[CNY -&gt; FCY]]</f>
        <v>0</v>
      </c>
      <c r="AB515" s="507">
        <f>Port[[#This Row],[ECL (CNY)]]*Port[[#This Row],[CNY -&gt; FCY]]</f>
        <v>3610.0553967395626</v>
      </c>
      <c r="AC515" s="507">
        <f>Port[[#This Row],[ECL_Interest (CNY)]]*Port[[#This Row],[CNY -&gt; FCY]]</f>
        <v>99.276570074887886</v>
      </c>
      <c r="AD515" s="507">
        <f>Port[[#This Row],[EAD_Drawn (CNY)]]*Port[[#This Row],[CNY -&gt; THB]]</f>
        <v>1614075.8615280001</v>
      </c>
      <c r="AE515" s="507">
        <f>Port[[#This Row],[EAD_Undrawn (CNY)]]*Port[[#This Row],[CNY -&gt; THB]]</f>
        <v>0</v>
      </c>
      <c r="AF515" s="507">
        <f>Port[[#This Row],[EAD (CNY)]]*Port[[#This Row],[CNY -&gt; THB]]</f>
        <v>1614075.8615280001</v>
      </c>
      <c r="AG515" s="507">
        <f>Port[[#This Row],[EAD_Interest (CNY)]]*Port[[#This Row],[CNY -&gt; THB]]</f>
        <v>44387.107056000008</v>
      </c>
      <c r="AH515" s="507">
        <f>Port[[#This Row],[ECL_Drawn (CNY)]]*Port[[#This Row],[CNY -&gt; THB]]</f>
        <v>18948.458766406617</v>
      </c>
      <c r="AI515" s="507">
        <f>Port[[#This Row],[ECL_Undrawn (CNY)]]*Port[[#This Row],[CNY -&gt; THB]]</f>
        <v>0</v>
      </c>
      <c r="AJ515" s="507">
        <f>Port[[#This Row],[ECL (CNY)]]*Port[[#This Row],[CNY -&gt; THB]]</f>
        <v>18948.458766406617</v>
      </c>
      <c r="AK515" s="507">
        <f>Port[[#This Row],[ECL_Interest (CNY)]]*Port[[#This Row],[CNY -&gt; THB]]</f>
        <v>521.08286100907151</v>
      </c>
      <c r="AL515" s="507">
        <f>Port[[#This Row],[EAD (THB)]]*Port[[#This Row],[PD_avg]]</f>
        <v>21053.84307378513</v>
      </c>
      <c r="AM515" s="507">
        <f>Port[[#This Row],[EAD_Interest (THB)]]*Port[[#This Row],[PD_avg]]</f>
        <v>578.98095667674613</v>
      </c>
      <c r="AN515" s="507">
        <f>Port[[#This Row],[EAD (THB)]]*Port[[#This Row],[LGD_avg]]</f>
        <v>1452668.2753752002</v>
      </c>
      <c r="AO515" s="507">
        <f>Port[[#This Row],[EAD_Interest (THB)]]*Port[[#This Row],[LGD_avg]]</f>
        <v>39948.396350400006</v>
      </c>
      <c r="AP515" s="507">
        <f>Port[[#This Row],[EAD_Drawn (THB)]]+Port[[#This Row],[EAD_Interest (THB)]]</f>
        <v>1658462.9685840001</v>
      </c>
      <c r="AQ5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24211.137922919999</v>
      </c>
      <c r="AR515" s="522">
        <f>MAX(Port[[#This Row],[ECL (THB)]]+Port[[#This Row],[ECL_Interest (THB)]], Port[[#This Row],[ECL CBIRC (THB)]])</f>
        <v>24211.137922919999</v>
      </c>
    </row>
    <row r="516" spans="1:44">
      <c r="A516" s="2" t="s">
        <v>1224</v>
      </c>
      <c r="B516" s="2" t="s">
        <v>357</v>
      </c>
      <c r="C516" s="2" t="s">
        <v>328</v>
      </c>
      <c r="D516" s="2" t="s">
        <v>18</v>
      </c>
      <c r="E516" s="2" t="s">
        <v>19</v>
      </c>
      <c r="F516" s="2" t="s">
        <v>20</v>
      </c>
      <c r="G516" s="2" t="s">
        <v>21</v>
      </c>
      <c r="H516">
        <v>1</v>
      </c>
      <c r="I516" s="2" t="s">
        <v>526</v>
      </c>
      <c r="J516" s="505">
        <v>1.3043899345507868E-2</v>
      </c>
      <c r="K516" s="505">
        <v>0.9</v>
      </c>
      <c r="L516" s="3">
        <v>1</v>
      </c>
      <c r="M516" s="3">
        <v>5.2488000000000001</v>
      </c>
      <c r="N516" s="507">
        <v>327451.65999999997</v>
      </c>
      <c r="O516" s="507">
        <v>0</v>
      </c>
      <c r="P516" s="507">
        <v>327451.65999999997</v>
      </c>
      <c r="Q516" s="507">
        <v>8954.89</v>
      </c>
      <c r="R516" s="507">
        <v>3844.1218442035188</v>
      </c>
      <c r="S516" s="507">
        <v>0</v>
      </c>
      <c r="T516" s="507">
        <v>3844.1218442035188</v>
      </c>
      <c r="U516" s="507">
        <v>105.12601542908546</v>
      </c>
      <c r="V516" s="507">
        <f>Port[[#This Row],[EAD_Drawn (CNY)]]*Port[[#This Row],[CNY -&gt; FCY]]</f>
        <v>327451.65999999997</v>
      </c>
      <c r="W516" s="507">
        <f>Port[[#This Row],[EAD_Undrawn (CNY)]]*Port[[#This Row],[CNY -&gt; FCY]]</f>
        <v>0</v>
      </c>
      <c r="X516" s="507">
        <f>Port[[#This Row],[EAD (CNY)]]*Port[[#This Row],[CNY -&gt; FCY]]</f>
        <v>327451.65999999997</v>
      </c>
      <c r="Y516" s="507">
        <f>Port[[#This Row],[EAD_Interest (CNY)]]*Port[[#This Row],[CNY -&gt; FCY]]</f>
        <v>8954.89</v>
      </c>
      <c r="Z516" s="507">
        <f>Port[[#This Row],[ECL_Drawn (CNY)]]*Port[[#This Row],[CNY -&gt; FCY]]</f>
        <v>3844.1218442035188</v>
      </c>
      <c r="AA516" s="507">
        <f>Port[[#This Row],[ECL_Undrawn (CNY)]]*Port[[#This Row],[CNY -&gt; FCY]]</f>
        <v>0</v>
      </c>
      <c r="AB516" s="507">
        <f>Port[[#This Row],[ECL (CNY)]]*Port[[#This Row],[CNY -&gt; FCY]]</f>
        <v>3844.1218442035188</v>
      </c>
      <c r="AC516" s="507">
        <f>Port[[#This Row],[ECL_Interest (CNY)]]*Port[[#This Row],[CNY -&gt; FCY]]</f>
        <v>105.12601542908546</v>
      </c>
      <c r="AD516" s="507">
        <f>Port[[#This Row],[EAD_Drawn (CNY)]]*Port[[#This Row],[CNY -&gt; THB]]</f>
        <v>1718728.2730079999</v>
      </c>
      <c r="AE516" s="507">
        <f>Port[[#This Row],[EAD_Undrawn (CNY)]]*Port[[#This Row],[CNY -&gt; THB]]</f>
        <v>0</v>
      </c>
      <c r="AF516" s="507">
        <f>Port[[#This Row],[EAD (CNY)]]*Port[[#This Row],[CNY -&gt; THB]]</f>
        <v>1718728.2730079999</v>
      </c>
      <c r="AG516" s="507">
        <f>Port[[#This Row],[EAD_Interest (CNY)]]*Port[[#This Row],[CNY -&gt; THB]]</f>
        <v>47002.426631999995</v>
      </c>
      <c r="AH516" s="507">
        <f>Port[[#This Row],[ECL_Drawn (CNY)]]*Port[[#This Row],[CNY -&gt; THB]]</f>
        <v>20177.02673585543</v>
      </c>
      <c r="AI516" s="507">
        <f>Port[[#This Row],[ECL_Undrawn (CNY)]]*Port[[#This Row],[CNY -&gt; THB]]</f>
        <v>0</v>
      </c>
      <c r="AJ516" s="507">
        <f>Port[[#This Row],[ECL (CNY)]]*Port[[#This Row],[CNY -&gt; THB]]</f>
        <v>20177.02673585543</v>
      </c>
      <c r="AK516" s="507">
        <f>Port[[#This Row],[ECL_Interest (CNY)]]*Port[[#This Row],[CNY -&gt; THB]]</f>
        <v>551.78542978418375</v>
      </c>
      <c r="AL516" s="507">
        <f>Port[[#This Row],[EAD (THB)]]*Port[[#This Row],[PD_avg]]</f>
        <v>22418.91859539492</v>
      </c>
      <c r="AM516" s="507">
        <f>Port[[#This Row],[EAD_Interest (THB)]]*Port[[#This Row],[PD_avg]]</f>
        <v>613.09492198242629</v>
      </c>
      <c r="AN516" s="507">
        <f>Port[[#This Row],[EAD (THB)]]*Port[[#This Row],[LGD_avg]]</f>
        <v>1546855.4457071999</v>
      </c>
      <c r="AO516" s="507">
        <f>Port[[#This Row],[EAD_Interest (THB)]]*Port[[#This Row],[LGD_avg]]</f>
        <v>42302.183968799996</v>
      </c>
      <c r="AP516" s="507">
        <f>Port[[#This Row],[EAD_Drawn (THB)]]+Port[[#This Row],[EAD_Interest (THB)]]</f>
        <v>1765730.6996399998</v>
      </c>
      <c r="AQ5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25780.924095119997</v>
      </c>
      <c r="AR516" s="522">
        <f>MAX(Port[[#This Row],[ECL (THB)]]+Port[[#This Row],[ECL_Interest (THB)]], Port[[#This Row],[ECL CBIRC (THB)]])</f>
        <v>25780.924095119997</v>
      </c>
    </row>
    <row r="517" spans="1:44">
      <c r="A517" s="2" t="s">
        <v>1225</v>
      </c>
      <c r="B517" s="2" t="s">
        <v>1226</v>
      </c>
      <c r="C517" s="2" t="s">
        <v>328</v>
      </c>
      <c r="D517" s="2" t="s">
        <v>18</v>
      </c>
      <c r="E517" s="2" t="s">
        <v>19</v>
      </c>
      <c r="F517" s="2" t="s">
        <v>20</v>
      </c>
      <c r="G517" s="2" t="s">
        <v>21</v>
      </c>
      <c r="H517">
        <v>1</v>
      </c>
      <c r="I517" s="2" t="s">
        <v>526</v>
      </c>
      <c r="J517" s="505">
        <v>1.3043899345507868E-2</v>
      </c>
      <c r="K517" s="505">
        <v>0.9</v>
      </c>
      <c r="L517" s="3">
        <v>1</v>
      </c>
      <c r="M517" s="3">
        <v>5.2488000000000001</v>
      </c>
      <c r="N517" s="507">
        <v>1347659</v>
      </c>
      <c r="O517" s="507">
        <v>0</v>
      </c>
      <c r="P517" s="507">
        <v>1347659</v>
      </c>
      <c r="Q517" s="507">
        <v>36854.730000000003</v>
      </c>
      <c r="R517" s="507">
        <v>15820.855513261009</v>
      </c>
      <c r="S517" s="507">
        <v>0</v>
      </c>
      <c r="T517" s="507">
        <v>15820.855513261009</v>
      </c>
      <c r="U517" s="507">
        <v>432.65644967328234</v>
      </c>
      <c r="V517" s="507">
        <f>Port[[#This Row],[EAD_Drawn (CNY)]]*Port[[#This Row],[CNY -&gt; FCY]]</f>
        <v>1347659</v>
      </c>
      <c r="W517" s="507">
        <f>Port[[#This Row],[EAD_Undrawn (CNY)]]*Port[[#This Row],[CNY -&gt; FCY]]</f>
        <v>0</v>
      </c>
      <c r="X517" s="507">
        <f>Port[[#This Row],[EAD (CNY)]]*Port[[#This Row],[CNY -&gt; FCY]]</f>
        <v>1347659</v>
      </c>
      <c r="Y517" s="507">
        <f>Port[[#This Row],[EAD_Interest (CNY)]]*Port[[#This Row],[CNY -&gt; FCY]]</f>
        <v>36854.730000000003</v>
      </c>
      <c r="Z517" s="507">
        <f>Port[[#This Row],[ECL_Drawn (CNY)]]*Port[[#This Row],[CNY -&gt; FCY]]</f>
        <v>15820.855513261009</v>
      </c>
      <c r="AA517" s="507">
        <f>Port[[#This Row],[ECL_Undrawn (CNY)]]*Port[[#This Row],[CNY -&gt; FCY]]</f>
        <v>0</v>
      </c>
      <c r="AB517" s="507">
        <f>Port[[#This Row],[ECL (CNY)]]*Port[[#This Row],[CNY -&gt; FCY]]</f>
        <v>15820.855513261009</v>
      </c>
      <c r="AC517" s="507">
        <f>Port[[#This Row],[ECL_Interest (CNY)]]*Port[[#This Row],[CNY -&gt; FCY]]</f>
        <v>432.65644967328234</v>
      </c>
      <c r="AD517" s="507">
        <f>Port[[#This Row],[EAD_Drawn (CNY)]]*Port[[#This Row],[CNY -&gt; THB]]</f>
        <v>7073592.5592</v>
      </c>
      <c r="AE517" s="507">
        <f>Port[[#This Row],[EAD_Undrawn (CNY)]]*Port[[#This Row],[CNY -&gt; THB]]</f>
        <v>0</v>
      </c>
      <c r="AF517" s="507">
        <f>Port[[#This Row],[EAD (CNY)]]*Port[[#This Row],[CNY -&gt; THB]]</f>
        <v>7073592.5592</v>
      </c>
      <c r="AG517" s="507">
        <f>Port[[#This Row],[EAD_Interest (CNY)]]*Port[[#This Row],[CNY -&gt; THB]]</f>
        <v>193443.10682400002</v>
      </c>
      <c r="AH517" s="507">
        <f>Port[[#This Row],[ECL_Drawn (CNY)]]*Port[[#This Row],[CNY -&gt; THB]]</f>
        <v>83040.506418004385</v>
      </c>
      <c r="AI517" s="507">
        <f>Port[[#This Row],[ECL_Undrawn (CNY)]]*Port[[#This Row],[CNY -&gt; THB]]</f>
        <v>0</v>
      </c>
      <c r="AJ517" s="507">
        <f>Port[[#This Row],[ECL (CNY)]]*Port[[#This Row],[CNY -&gt; THB]]</f>
        <v>83040.506418004385</v>
      </c>
      <c r="AK517" s="507">
        <f>Port[[#This Row],[ECL_Interest (CNY)]]*Port[[#This Row],[CNY -&gt; THB]]</f>
        <v>2270.9271730451246</v>
      </c>
      <c r="AL517" s="507">
        <f>Port[[#This Row],[EAD (THB)]]*Port[[#This Row],[PD_avg]]</f>
        <v>92267.229353338204</v>
      </c>
      <c r="AM517" s="507">
        <f>Port[[#This Row],[EAD_Interest (THB)]]*Port[[#This Row],[PD_avg]]</f>
        <v>2523.2524144945824</v>
      </c>
      <c r="AN517" s="507">
        <f>Port[[#This Row],[EAD (THB)]]*Port[[#This Row],[LGD_avg]]</f>
        <v>6366233.3032800006</v>
      </c>
      <c r="AO517" s="507">
        <f>Port[[#This Row],[EAD_Interest (THB)]]*Port[[#This Row],[LGD_avg]]</f>
        <v>174098.79614160003</v>
      </c>
      <c r="AP517" s="507">
        <f>Port[[#This Row],[EAD_Drawn (THB)]]+Port[[#This Row],[EAD_Interest (THB)]]</f>
        <v>7267035.6660240004</v>
      </c>
      <c r="AQ5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106103.88838799999</v>
      </c>
      <c r="AR517" s="522">
        <f>MAX(Port[[#This Row],[ECL (THB)]]+Port[[#This Row],[ECL_Interest (THB)]], Port[[#This Row],[ECL CBIRC (THB)]])</f>
        <v>106103.88838799999</v>
      </c>
    </row>
    <row r="518" spans="1:44">
      <c r="A518" s="2" t="s">
        <v>1227</v>
      </c>
      <c r="B518" s="2" t="s">
        <v>1228</v>
      </c>
      <c r="C518" s="2" t="s">
        <v>328</v>
      </c>
      <c r="D518" s="2" t="s">
        <v>18</v>
      </c>
      <c r="E518" s="2" t="s">
        <v>19</v>
      </c>
      <c r="F518" s="2" t="s">
        <v>20</v>
      </c>
      <c r="G518" s="2" t="s">
        <v>21</v>
      </c>
      <c r="H518">
        <v>1</v>
      </c>
      <c r="I518" s="2" t="s">
        <v>526</v>
      </c>
      <c r="J518" s="505">
        <v>1.3043899345507868E-2</v>
      </c>
      <c r="K518" s="505">
        <v>0.90000000000000013</v>
      </c>
      <c r="L518" s="3">
        <v>1</v>
      </c>
      <c r="M518" s="3">
        <v>5.2488000000000001</v>
      </c>
      <c r="N518" s="507">
        <v>644555.18000000005</v>
      </c>
      <c r="O518" s="507">
        <v>0</v>
      </c>
      <c r="P518" s="507">
        <v>644555.18000000005</v>
      </c>
      <c r="Q518" s="507">
        <v>17626.79</v>
      </c>
      <c r="R518" s="507">
        <v>7566.7616014911373</v>
      </c>
      <c r="S518" s="507">
        <v>0</v>
      </c>
      <c r="T518" s="507">
        <v>7566.7616014911373</v>
      </c>
      <c r="U518" s="507">
        <v>206.9298670899642</v>
      </c>
      <c r="V518" s="507">
        <f>Port[[#This Row],[EAD_Drawn (CNY)]]*Port[[#This Row],[CNY -&gt; FCY]]</f>
        <v>644555.18000000005</v>
      </c>
      <c r="W518" s="507">
        <f>Port[[#This Row],[EAD_Undrawn (CNY)]]*Port[[#This Row],[CNY -&gt; FCY]]</f>
        <v>0</v>
      </c>
      <c r="X518" s="507">
        <f>Port[[#This Row],[EAD (CNY)]]*Port[[#This Row],[CNY -&gt; FCY]]</f>
        <v>644555.18000000005</v>
      </c>
      <c r="Y518" s="507">
        <f>Port[[#This Row],[EAD_Interest (CNY)]]*Port[[#This Row],[CNY -&gt; FCY]]</f>
        <v>17626.79</v>
      </c>
      <c r="Z518" s="507">
        <f>Port[[#This Row],[ECL_Drawn (CNY)]]*Port[[#This Row],[CNY -&gt; FCY]]</f>
        <v>7566.7616014911373</v>
      </c>
      <c r="AA518" s="507">
        <f>Port[[#This Row],[ECL_Undrawn (CNY)]]*Port[[#This Row],[CNY -&gt; FCY]]</f>
        <v>0</v>
      </c>
      <c r="AB518" s="507">
        <f>Port[[#This Row],[ECL (CNY)]]*Port[[#This Row],[CNY -&gt; FCY]]</f>
        <v>7566.7616014911373</v>
      </c>
      <c r="AC518" s="507">
        <f>Port[[#This Row],[ECL_Interest (CNY)]]*Port[[#This Row],[CNY -&gt; FCY]]</f>
        <v>206.9298670899642</v>
      </c>
      <c r="AD518" s="507">
        <f>Port[[#This Row],[EAD_Drawn (CNY)]]*Port[[#This Row],[CNY -&gt; THB]]</f>
        <v>3383141.2287840005</v>
      </c>
      <c r="AE518" s="507">
        <f>Port[[#This Row],[EAD_Undrawn (CNY)]]*Port[[#This Row],[CNY -&gt; THB]]</f>
        <v>0</v>
      </c>
      <c r="AF518" s="507">
        <f>Port[[#This Row],[EAD (CNY)]]*Port[[#This Row],[CNY -&gt; THB]]</f>
        <v>3383141.2287840005</v>
      </c>
      <c r="AG518" s="507">
        <f>Port[[#This Row],[EAD_Interest (CNY)]]*Port[[#This Row],[CNY -&gt; THB]]</f>
        <v>92519.495352000013</v>
      </c>
      <c r="AH518" s="507">
        <f>Port[[#This Row],[ECL_Drawn (CNY)]]*Port[[#This Row],[CNY -&gt; THB]]</f>
        <v>39716.418293906681</v>
      </c>
      <c r="AI518" s="507">
        <f>Port[[#This Row],[ECL_Undrawn (CNY)]]*Port[[#This Row],[CNY -&gt; THB]]</f>
        <v>0</v>
      </c>
      <c r="AJ518" s="507">
        <f>Port[[#This Row],[ECL (CNY)]]*Port[[#This Row],[CNY -&gt; THB]]</f>
        <v>39716.418293906681</v>
      </c>
      <c r="AK518" s="507">
        <f>Port[[#This Row],[ECL_Interest (CNY)]]*Port[[#This Row],[CNY -&gt; THB]]</f>
        <v>1086.1334863818042</v>
      </c>
      <c r="AL518" s="507">
        <f>Port[[#This Row],[EAD (THB)]]*Port[[#This Row],[PD_avg]]</f>
        <v>44129.353659896311</v>
      </c>
      <c r="AM518" s="507">
        <f>Port[[#This Row],[EAD_Interest (THB)]]*Port[[#This Row],[PD_avg]]</f>
        <v>1206.8149848686712</v>
      </c>
      <c r="AN518" s="507">
        <f>Port[[#This Row],[EAD (THB)]]*Port[[#This Row],[LGD_avg]]</f>
        <v>3044827.1059056008</v>
      </c>
      <c r="AO518" s="507">
        <f>Port[[#This Row],[EAD_Interest (THB)]]*Port[[#This Row],[LGD_avg]]</f>
        <v>83267.545816800019</v>
      </c>
      <c r="AP518" s="507">
        <f>Port[[#This Row],[EAD_Drawn (THB)]]+Port[[#This Row],[EAD_Interest (THB)]]</f>
        <v>3475660.7241360005</v>
      </c>
      <c r="AQ5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50747.118431760005</v>
      </c>
      <c r="AR518" s="522">
        <f>MAX(Port[[#This Row],[ECL (THB)]]+Port[[#This Row],[ECL_Interest (THB)]], Port[[#This Row],[ECL CBIRC (THB)]])</f>
        <v>50747.118431760005</v>
      </c>
    </row>
    <row r="519" spans="1:44">
      <c r="A519" s="2" t="s">
        <v>1229</v>
      </c>
      <c r="B519" s="2" t="s">
        <v>1230</v>
      </c>
      <c r="C519" s="2" t="s">
        <v>328</v>
      </c>
      <c r="D519" s="2" t="s">
        <v>18</v>
      </c>
      <c r="E519" s="2" t="s">
        <v>19</v>
      </c>
      <c r="F519" s="2" t="s">
        <v>20</v>
      </c>
      <c r="G519" s="2" t="s">
        <v>21</v>
      </c>
      <c r="H519">
        <v>1</v>
      </c>
      <c r="I519" s="2" t="s">
        <v>526</v>
      </c>
      <c r="J519" s="505">
        <v>1.3043899345507868E-2</v>
      </c>
      <c r="K519" s="505">
        <v>0.89999999999999991</v>
      </c>
      <c r="L519" s="3">
        <v>1</v>
      </c>
      <c r="M519" s="3">
        <v>5.2488000000000001</v>
      </c>
      <c r="N519" s="507">
        <v>1278749</v>
      </c>
      <c r="O519" s="507">
        <v>0</v>
      </c>
      <c r="P519" s="507">
        <v>1278749</v>
      </c>
      <c r="Q519" s="507">
        <v>34970.230000000003</v>
      </c>
      <c r="R519" s="507">
        <v>15011.885919751956</v>
      </c>
      <c r="S519" s="507">
        <v>0</v>
      </c>
      <c r="T519" s="507">
        <v>15011.885919751956</v>
      </c>
      <c r="U519" s="507">
        <v>410.53334418833373</v>
      </c>
      <c r="V519" s="507">
        <f>Port[[#This Row],[EAD_Drawn (CNY)]]*Port[[#This Row],[CNY -&gt; FCY]]</f>
        <v>1278749</v>
      </c>
      <c r="W519" s="507">
        <f>Port[[#This Row],[EAD_Undrawn (CNY)]]*Port[[#This Row],[CNY -&gt; FCY]]</f>
        <v>0</v>
      </c>
      <c r="X519" s="507">
        <f>Port[[#This Row],[EAD (CNY)]]*Port[[#This Row],[CNY -&gt; FCY]]</f>
        <v>1278749</v>
      </c>
      <c r="Y519" s="507">
        <f>Port[[#This Row],[EAD_Interest (CNY)]]*Port[[#This Row],[CNY -&gt; FCY]]</f>
        <v>34970.230000000003</v>
      </c>
      <c r="Z519" s="507">
        <f>Port[[#This Row],[ECL_Drawn (CNY)]]*Port[[#This Row],[CNY -&gt; FCY]]</f>
        <v>15011.885919751956</v>
      </c>
      <c r="AA519" s="507">
        <f>Port[[#This Row],[ECL_Undrawn (CNY)]]*Port[[#This Row],[CNY -&gt; FCY]]</f>
        <v>0</v>
      </c>
      <c r="AB519" s="507">
        <f>Port[[#This Row],[ECL (CNY)]]*Port[[#This Row],[CNY -&gt; FCY]]</f>
        <v>15011.885919751956</v>
      </c>
      <c r="AC519" s="507">
        <f>Port[[#This Row],[ECL_Interest (CNY)]]*Port[[#This Row],[CNY -&gt; FCY]]</f>
        <v>410.53334418833373</v>
      </c>
      <c r="AD519" s="507">
        <f>Port[[#This Row],[EAD_Drawn (CNY)]]*Port[[#This Row],[CNY -&gt; THB]]</f>
        <v>6711897.7511999998</v>
      </c>
      <c r="AE519" s="507">
        <f>Port[[#This Row],[EAD_Undrawn (CNY)]]*Port[[#This Row],[CNY -&gt; THB]]</f>
        <v>0</v>
      </c>
      <c r="AF519" s="507">
        <f>Port[[#This Row],[EAD (CNY)]]*Port[[#This Row],[CNY -&gt; THB]]</f>
        <v>6711897.7511999998</v>
      </c>
      <c r="AG519" s="507">
        <f>Port[[#This Row],[EAD_Interest (CNY)]]*Port[[#This Row],[CNY -&gt; THB]]</f>
        <v>183551.74322400003</v>
      </c>
      <c r="AH519" s="507">
        <f>Port[[#This Row],[ECL_Drawn (CNY)]]*Port[[#This Row],[CNY -&gt; THB]]</f>
        <v>78794.386815594073</v>
      </c>
      <c r="AI519" s="507">
        <f>Port[[#This Row],[ECL_Undrawn (CNY)]]*Port[[#This Row],[CNY -&gt; THB]]</f>
        <v>0</v>
      </c>
      <c r="AJ519" s="507">
        <f>Port[[#This Row],[ECL (CNY)]]*Port[[#This Row],[CNY -&gt; THB]]</f>
        <v>78794.386815594073</v>
      </c>
      <c r="AK519" s="507">
        <f>Port[[#This Row],[ECL_Interest (CNY)]]*Port[[#This Row],[CNY -&gt; THB]]</f>
        <v>2154.807416975726</v>
      </c>
      <c r="AL519" s="507">
        <f>Port[[#This Row],[EAD (THB)]]*Port[[#This Row],[PD_avg]]</f>
        <v>87549.318683993406</v>
      </c>
      <c r="AM519" s="507">
        <f>Port[[#This Row],[EAD_Interest (THB)]]*Port[[#This Row],[PD_avg]]</f>
        <v>2394.2304633063623</v>
      </c>
      <c r="AN519" s="507">
        <f>Port[[#This Row],[EAD (THB)]]*Port[[#This Row],[LGD_avg]]</f>
        <v>6040707.9760799995</v>
      </c>
      <c r="AO519" s="507">
        <f>Port[[#This Row],[EAD_Interest (THB)]]*Port[[#This Row],[LGD_avg]]</f>
        <v>165196.56890160003</v>
      </c>
      <c r="AP519" s="507">
        <f>Port[[#This Row],[EAD_Drawn (THB)]]+Port[[#This Row],[EAD_Interest (THB)]]</f>
        <v>6895449.4944239995</v>
      </c>
      <c r="AQ5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100678.46626799999</v>
      </c>
      <c r="AR519" s="522">
        <f>MAX(Port[[#This Row],[ECL (THB)]]+Port[[#This Row],[ECL_Interest (THB)]], Port[[#This Row],[ECL CBIRC (THB)]])</f>
        <v>100678.46626799999</v>
      </c>
    </row>
    <row r="520" spans="1:44">
      <c r="A520" s="2" t="s">
        <v>1231</v>
      </c>
      <c r="B520" s="2" t="s">
        <v>1232</v>
      </c>
      <c r="C520" s="2" t="s">
        <v>328</v>
      </c>
      <c r="D520" s="2" t="s">
        <v>18</v>
      </c>
      <c r="E520" s="2" t="s">
        <v>19</v>
      </c>
      <c r="F520" s="2" t="s">
        <v>20</v>
      </c>
      <c r="G520" s="2" t="s">
        <v>21</v>
      </c>
      <c r="H520">
        <v>1</v>
      </c>
      <c r="I520" s="2" t="s">
        <v>526</v>
      </c>
      <c r="J520" s="505">
        <v>1.3043899345507868E-2</v>
      </c>
      <c r="K520" s="505">
        <v>0.90000000000000013</v>
      </c>
      <c r="L520" s="3">
        <v>1</v>
      </c>
      <c r="M520" s="3">
        <v>5.2488000000000001</v>
      </c>
      <c r="N520" s="507">
        <v>3500000</v>
      </c>
      <c r="O520" s="507">
        <v>0</v>
      </c>
      <c r="P520" s="507">
        <v>3500000</v>
      </c>
      <c r="Q520" s="507">
        <v>95180.56</v>
      </c>
      <c r="R520" s="507">
        <v>41088.282938349788</v>
      </c>
      <c r="S520" s="507">
        <v>0</v>
      </c>
      <c r="T520" s="507">
        <v>41088.282938349788</v>
      </c>
      <c r="U520" s="507">
        <v>1117.3730798601653</v>
      </c>
      <c r="V520" s="507">
        <f>Port[[#This Row],[EAD_Drawn (CNY)]]*Port[[#This Row],[CNY -&gt; FCY]]</f>
        <v>3500000</v>
      </c>
      <c r="W520" s="507">
        <f>Port[[#This Row],[EAD_Undrawn (CNY)]]*Port[[#This Row],[CNY -&gt; FCY]]</f>
        <v>0</v>
      </c>
      <c r="X520" s="507">
        <f>Port[[#This Row],[EAD (CNY)]]*Port[[#This Row],[CNY -&gt; FCY]]</f>
        <v>3500000</v>
      </c>
      <c r="Y520" s="507">
        <f>Port[[#This Row],[EAD_Interest (CNY)]]*Port[[#This Row],[CNY -&gt; FCY]]</f>
        <v>95180.56</v>
      </c>
      <c r="Z520" s="507">
        <f>Port[[#This Row],[ECL_Drawn (CNY)]]*Port[[#This Row],[CNY -&gt; FCY]]</f>
        <v>41088.282938349788</v>
      </c>
      <c r="AA520" s="507">
        <f>Port[[#This Row],[ECL_Undrawn (CNY)]]*Port[[#This Row],[CNY -&gt; FCY]]</f>
        <v>0</v>
      </c>
      <c r="AB520" s="507">
        <f>Port[[#This Row],[ECL (CNY)]]*Port[[#This Row],[CNY -&gt; FCY]]</f>
        <v>41088.282938349788</v>
      </c>
      <c r="AC520" s="507">
        <f>Port[[#This Row],[ECL_Interest (CNY)]]*Port[[#This Row],[CNY -&gt; FCY]]</f>
        <v>1117.3730798601653</v>
      </c>
      <c r="AD520" s="507">
        <f>Port[[#This Row],[EAD_Drawn (CNY)]]*Port[[#This Row],[CNY -&gt; THB]]</f>
        <v>18370800</v>
      </c>
      <c r="AE520" s="507">
        <f>Port[[#This Row],[EAD_Undrawn (CNY)]]*Port[[#This Row],[CNY -&gt; THB]]</f>
        <v>0</v>
      </c>
      <c r="AF520" s="507">
        <f>Port[[#This Row],[EAD (CNY)]]*Port[[#This Row],[CNY -&gt; THB]]</f>
        <v>18370800</v>
      </c>
      <c r="AG520" s="507">
        <f>Port[[#This Row],[EAD_Interest (CNY)]]*Port[[#This Row],[CNY -&gt; THB]]</f>
        <v>499583.72332799999</v>
      </c>
      <c r="AH520" s="507">
        <f>Port[[#This Row],[ECL_Drawn (CNY)]]*Port[[#This Row],[CNY -&gt; THB]]</f>
        <v>215664.17948681038</v>
      </c>
      <c r="AI520" s="507">
        <f>Port[[#This Row],[ECL_Undrawn (CNY)]]*Port[[#This Row],[CNY -&gt; THB]]</f>
        <v>0</v>
      </c>
      <c r="AJ520" s="507">
        <f>Port[[#This Row],[ECL (CNY)]]*Port[[#This Row],[CNY -&gt; THB]]</f>
        <v>215664.17948681038</v>
      </c>
      <c r="AK520" s="507">
        <f>Port[[#This Row],[ECL_Interest (CNY)]]*Port[[#This Row],[CNY -&gt; THB]]</f>
        <v>5864.8678215700356</v>
      </c>
      <c r="AL520" s="507">
        <f>Port[[#This Row],[EAD (THB)]]*Port[[#This Row],[PD_avg]]</f>
        <v>239626.86609645595</v>
      </c>
      <c r="AM520" s="507">
        <f>Port[[#This Row],[EAD_Interest (THB)]]*Port[[#This Row],[PD_avg]]</f>
        <v>6516.5198017444827</v>
      </c>
      <c r="AN520" s="507">
        <f>Port[[#This Row],[EAD (THB)]]*Port[[#This Row],[LGD_avg]]</f>
        <v>16533720.000000002</v>
      </c>
      <c r="AO520" s="507">
        <f>Port[[#This Row],[EAD_Interest (THB)]]*Port[[#This Row],[LGD_avg]]</f>
        <v>449625.35099520005</v>
      </c>
      <c r="AP520" s="507">
        <f>Port[[#This Row],[EAD_Drawn (THB)]]+Port[[#This Row],[EAD_Interest (THB)]]</f>
        <v>18870383.723328002</v>
      </c>
      <c r="AQ5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275562</v>
      </c>
      <c r="AR520" s="522">
        <f>MAX(Port[[#This Row],[ECL (THB)]]+Port[[#This Row],[ECL_Interest (THB)]], Port[[#This Row],[ECL CBIRC (THB)]])</f>
        <v>275562</v>
      </c>
    </row>
    <row r="521" spans="1:44">
      <c r="A521" s="2" t="s">
        <v>1233</v>
      </c>
      <c r="B521" s="2" t="s">
        <v>1232</v>
      </c>
      <c r="C521" s="2" t="s">
        <v>328</v>
      </c>
      <c r="D521" s="2" t="s">
        <v>18</v>
      </c>
      <c r="E521" s="2" t="s">
        <v>19</v>
      </c>
      <c r="F521" s="2" t="s">
        <v>20</v>
      </c>
      <c r="G521" s="2" t="s">
        <v>21</v>
      </c>
      <c r="H521">
        <v>1</v>
      </c>
      <c r="I521" s="2" t="s">
        <v>526</v>
      </c>
      <c r="J521" s="505">
        <v>1.3043899345507868E-2</v>
      </c>
      <c r="K521" s="505">
        <v>0.90000000000000013</v>
      </c>
      <c r="L521" s="3">
        <v>1</v>
      </c>
      <c r="M521" s="3">
        <v>5.2488000000000001</v>
      </c>
      <c r="N521" s="507">
        <v>3500000</v>
      </c>
      <c r="O521" s="507">
        <v>0</v>
      </c>
      <c r="P521" s="507">
        <v>3500000</v>
      </c>
      <c r="Q521" s="507">
        <v>95180.56</v>
      </c>
      <c r="R521" s="507">
        <v>41088.282938349788</v>
      </c>
      <c r="S521" s="507">
        <v>0</v>
      </c>
      <c r="T521" s="507">
        <v>41088.282938349788</v>
      </c>
      <c r="U521" s="507">
        <v>1117.3730798601653</v>
      </c>
      <c r="V521" s="507">
        <f>Port[[#This Row],[EAD_Drawn (CNY)]]*Port[[#This Row],[CNY -&gt; FCY]]</f>
        <v>3500000</v>
      </c>
      <c r="W521" s="507">
        <f>Port[[#This Row],[EAD_Undrawn (CNY)]]*Port[[#This Row],[CNY -&gt; FCY]]</f>
        <v>0</v>
      </c>
      <c r="X521" s="507">
        <f>Port[[#This Row],[EAD (CNY)]]*Port[[#This Row],[CNY -&gt; FCY]]</f>
        <v>3500000</v>
      </c>
      <c r="Y521" s="507">
        <f>Port[[#This Row],[EAD_Interest (CNY)]]*Port[[#This Row],[CNY -&gt; FCY]]</f>
        <v>95180.56</v>
      </c>
      <c r="Z521" s="507">
        <f>Port[[#This Row],[ECL_Drawn (CNY)]]*Port[[#This Row],[CNY -&gt; FCY]]</f>
        <v>41088.282938349788</v>
      </c>
      <c r="AA521" s="507">
        <f>Port[[#This Row],[ECL_Undrawn (CNY)]]*Port[[#This Row],[CNY -&gt; FCY]]</f>
        <v>0</v>
      </c>
      <c r="AB521" s="507">
        <f>Port[[#This Row],[ECL (CNY)]]*Port[[#This Row],[CNY -&gt; FCY]]</f>
        <v>41088.282938349788</v>
      </c>
      <c r="AC521" s="507">
        <f>Port[[#This Row],[ECL_Interest (CNY)]]*Port[[#This Row],[CNY -&gt; FCY]]</f>
        <v>1117.3730798601653</v>
      </c>
      <c r="AD521" s="507">
        <f>Port[[#This Row],[EAD_Drawn (CNY)]]*Port[[#This Row],[CNY -&gt; THB]]</f>
        <v>18370800</v>
      </c>
      <c r="AE521" s="507">
        <f>Port[[#This Row],[EAD_Undrawn (CNY)]]*Port[[#This Row],[CNY -&gt; THB]]</f>
        <v>0</v>
      </c>
      <c r="AF521" s="507">
        <f>Port[[#This Row],[EAD (CNY)]]*Port[[#This Row],[CNY -&gt; THB]]</f>
        <v>18370800</v>
      </c>
      <c r="AG521" s="507">
        <f>Port[[#This Row],[EAD_Interest (CNY)]]*Port[[#This Row],[CNY -&gt; THB]]</f>
        <v>499583.72332799999</v>
      </c>
      <c r="AH521" s="507">
        <f>Port[[#This Row],[ECL_Drawn (CNY)]]*Port[[#This Row],[CNY -&gt; THB]]</f>
        <v>215664.17948681038</v>
      </c>
      <c r="AI521" s="507">
        <f>Port[[#This Row],[ECL_Undrawn (CNY)]]*Port[[#This Row],[CNY -&gt; THB]]</f>
        <v>0</v>
      </c>
      <c r="AJ521" s="507">
        <f>Port[[#This Row],[ECL (CNY)]]*Port[[#This Row],[CNY -&gt; THB]]</f>
        <v>215664.17948681038</v>
      </c>
      <c r="AK521" s="507">
        <f>Port[[#This Row],[ECL_Interest (CNY)]]*Port[[#This Row],[CNY -&gt; THB]]</f>
        <v>5864.8678215700356</v>
      </c>
      <c r="AL521" s="507">
        <f>Port[[#This Row],[EAD (THB)]]*Port[[#This Row],[PD_avg]]</f>
        <v>239626.86609645595</v>
      </c>
      <c r="AM521" s="507">
        <f>Port[[#This Row],[EAD_Interest (THB)]]*Port[[#This Row],[PD_avg]]</f>
        <v>6516.5198017444827</v>
      </c>
      <c r="AN521" s="507">
        <f>Port[[#This Row],[EAD (THB)]]*Port[[#This Row],[LGD_avg]]</f>
        <v>16533720.000000002</v>
      </c>
      <c r="AO521" s="507">
        <f>Port[[#This Row],[EAD_Interest (THB)]]*Port[[#This Row],[LGD_avg]]</f>
        <v>449625.35099520005</v>
      </c>
      <c r="AP521" s="507">
        <f>Port[[#This Row],[EAD_Drawn (THB)]]+Port[[#This Row],[EAD_Interest (THB)]]</f>
        <v>18870383.723328002</v>
      </c>
      <c r="AQ5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275562</v>
      </c>
      <c r="AR521" s="522">
        <f>MAX(Port[[#This Row],[ECL (THB)]]+Port[[#This Row],[ECL_Interest (THB)]], Port[[#This Row],[ECL CBIRC (THB)]])</f>
        <v>275562</v>
      </c>
    </row>
    <row r="522" spans="1:44">
      <c r="A522" s="2" t="s">
        <v>1234</v>
      </c>
      <c r="B522" s="2" t="s">
        <v>1232</v>
      </c>
      <c r="C522" s="2" t="s">
        <v>328</v>
      </c>
      <c r="D522" s="2" t="s">
        <v>18</v>
      </c>
      <c r="E522" s="2" t="s">
        <v>19</v>
      </c>
      <c r="F522" s="2" t="s">
        <v>20</v>
      </c>
      <c r="G522" s="2" t="s">
        <v>21</v>
      </c>
      <c r="H522">
        <v>1</v>
      </c>
      <c r="I522" s="2" t="s">
        <v>526</v>
      </c>
      <c r="J522" s="505">
        <v>1.3043899345507868E-2</v>
      </c>
      <c r="K522" s="505">
        <v>0.9</v>
      </c>
      <c r="L522" s="3">
        <v>1</v>
      </c>
      <c r="M522" s="3">
        <v>5.2488000000000001</v>
      </c>
      <c r="N522" s="507">
        <v>3000000</v>
      </c>
      <c r="O522" s="507">
        <v>0</v>
      </c>
      <c r="P522" s="507">
        <v>3000000</v>
      </c>
      <c r="Q522" s="507">
        <v>81583.33</v>
      </c>
      <c r="R522" s="507">
        <v>35218.528232871249</v>
      </c>
      <c r="S522" s="507">
        <v>0</v>
      </c>
      <c r="T522" s="507">
        <v>35218.528232871249</v>
      </c>
      <c r="U522" s="507">
        <v>957.74827031221741</v>
      </c>
      <c r="V522" s="507">
        <f>Port[[#This Row],[EAD_Drawn (CNY)]]*Port[[#This Row],[CNY -&gt; FCY]]</f>
        <v>3000000</v>
      </c>
      <c r="W522" s="507">
        <f>Port[[#This Row],[EAD_Undrawn (CNY)]]*Port[[#This Row],[CNY -&gt; FCY]]</f>
        <v>0</v>
      </c>
      <c r="X522" s="507">
        <f>Port[[#This Row],[EAD (CNY)]]*Port[[#This Row],[CNY -&gt; FCY]]</f>
        <v>3000000</v>
      </c>
      <c r="Y522" s="507">
        <f>Port[[#This Row],[EAD_Interest (CNY)]]*Port[[#This Row],[CNY -&gt; FCY]]</f>
        <v>81583.33</v>
      </c>
      <c r="Z522" s="507">
        <f>Port[[#This Row],[ECL_Drawn (CNY)]]*Port[[#This Row],[CNY -&gt; FCY]]</f>
        <v>35218.528232871249</v>
      </c>
      <c r="AA522" s="507">
        <f>Port[[#This Row],[ECL_Undrawn (CNY)]]*Port[[#This Row],[CNY -&gt; FCY]]</f>
        <v>0</v>
      </c>
      <c r="AB522" s="507">
        <f>Port[[#This Row],[ECL (CNY)]]*Port[[#This Row],[CNY -&gt; FCY]]</f>
        <v>35218.528232871249</v>
      </c>
      <c r="AC522" s="507">
        <f>Port[[#This Row],[ECL_Interest (CNY)]]*Port[[#This Row],[CNY -&gt; FCY]]</f>
        <v>957.74827031221741</v>
      </c>
      <c r="AD522" s="507">
        <f>Port[[#This Row],[EAD_Drawn (CNY)]]*Port[[#This Row],[CNY -&gt; THB]]</f>
        <v>15746400</v>
      </c>
      <c r="AE522" s="507">
        <f>Port[[#This Row],[EAD_Undrawn (CNY)]]*Port[[#This Row],[CNY -&gt; THB]]</f>
        <v>0</v>
      </c>
      <c r="AF522" s="507">
        <f>Port[[#This Row],[EAD (CNY)]]*Port[[#This Row],[CNY -&gt; THB]]</f>
        <v>15746400</v>
      </c>
      <c r="AG522" s="507">
        <f>Port[[#This Row],[EAD_Interest (CNY)]]*Port[[#This Row],[CNY -&gt; THB]]</f>
        <v>428214.58250399999</v>
      </c>
      <c r="AH522" s="507">
        <f>Port[[#This Row],[ECL_Drawn (CNY)]]*Port[[#This Row],[CNY -&gt; THB]]</f>
        <v>184855.01098869462</v>
      </c>
      <c r="AI522" s="507">
        <f>Port[[#This Row],[ECL_Undrawn (CNY)]]*Port[[#This Row],[CNY -&gt; THB]]</f>
        <v>0</v>
      </c>
      <c r="AJ522" s="507">
        <f>Port[[#This Row],[ECL (CNY)]]*Port[[#This Row],[CNY -&gt; THB]]</f>
        <v>184855.01098869462</v>
      </c>
      <c r="AK522" s="507">
        <f>Port[[#This Row],[ECL_Interest (CNY)]]*Port[[#This Row],[CNY -&gt; THB]]</f>
        <v>5027.0291212147667</v>
      </c>
      <c r="AL522" s="507">
        <f>Port[[#This Row],[EAD (THB)]]*Port[[#This Row],[PD_avg]]</f>
        <v>205394.4566541051</v>
      </c>
      <c r="AM522" s="507">
        <f>Port[[#This Row],[EAD_Interest (THB)]]*Port[[#This Row],[PD_avg]]</f>
        <v>5585.5879124608509</v>
      </c>
      <c r="AN522" s="507">
        <f>Port[[#This Row],[EAD (THB)]]*Port[[#This Row],[LGD_avg]]</f>
        <v>14171760</v>
      </c>
      <c r="AO522" s="507">
        <f>Port[[#This Row],[EAD_Interest (THB)]]*Port[[#This Row],[LGD_avg]]</f>
        <v>385393.12425360002</v>
      </c>
      <c r="AP522" s="507">
        <f>Port[[#This Row],[EAD_Drawn (THB)]]+Port[[#This Row],[EAD_Interest (THB)]]</f>
        <v>16174614.582504001</v>
      </c>
      <c r="AQ5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236196</v>
      </c>
      <c r="AR522" s="522">
        <f>MAX(Port[[#This Row],[ECL (THB)]]+Port[[#This Row],[ECL_Interest (THB)]], Port[[#This Row],[ECL CBIRC (THB)]])</f>
        <v>236196</v>
      </c>
    </row>
    <row r="523" spans="1:44">
      <c r="A523" s="2" t="s">
        <v>1235</v>
      </c>
      <c r="B523" s="2" t="s">
        <v>352</v>
      </c>
      <c r="C523" s="2" t="s">
        <v>328</v>
      </c>
      <c r="D523" s="2" t="s">
        <v>18</v>
      </c>
      <c r="E523" s="2" t="s">
        <v>19</v>
      </c>
      <c r="F523" s="2" t="s">
        <v>20</v>
      </c>
      <c r="G523" s="2" t="s">
        <v>21</v>
      </c>
      <c r="H523">
        <v>1</v>
      </c>
      <c r="I523" s="2" t="s">
        <v>526</v>
      </c>
      <c r="J523" s="505">
        <v>1.3043899345507868E-2</v>
      </c>
      <c r="K523" s="505">
        <v>0.89999999999999991</v>
      </c>
      <c r="L523" s="3">
        <v>1</v>
      </c>
      <c r="M523" s="3">
        <v>5.2488000000000001</v>
      </c>
      <c r="N523" s="507">
        <v>895514.64</v>
      </c>
      <c r="O523" s="507">
        <v>0</v>
      </c>
      <c r="P523" s="507">
        <v>895514.64</v>
      </c>
      <c r="Q523" s="507">
        <v>24353.02</v>
      </c>
      <c r="R523" s="507">
        <v>10512.902543929842</v>
      </c>
      <c r="S523" s="507">
        <v>0</v>
      </c>
      <c r="T523" s="507">
        <v>10512.902543929842</v>
      </c>
      <c r="U523" s="507">
        <v>285.89250747522607</v>
      </c>
      <c r="V523" s="507">
        <f>Port[[#This Row],[EAD_Drawn (CNY)]]*Port[[#This Row],[CNY -&gt; FCY]]</f>
        <v>895514.64</v>
      </c>
      <c r="W523" s="507">
        <f>Port[[#This Row],[EAD_Undrawn (CNY)]]*Port[[#This Row],[CNY -&gt; FCY]]</f>
        <v>0</v>
      </c>
      <c r="X523" s="507">
        <f>Port[[#This Row],[EAD (CNY)]]*Port[[#This Row],[CNY -&gt; FCY]]</f>
        <v>895514.64</v>
      </c>
      <c r="Y523" s="507">
        <f>Port[[#This Row],[EAD_Interest (CNY)]]*Port[[#This Row],[CNY -&gt; FCY]]</f>
        <v>24353.02</v>
      </c>
      <c r="Z523" s="507">
        <f>Port[[#This Row],[ECL_Drawn (CNY)]]*Port[[#This Row],[CNY -&gt; FCY]]</f>
        <v>10512.902543929842</v>
      </c>
      <c r="AA523" s="507">
        <f>Port[[#This Row],[ECL_Undrawn (CNY)]]*Port[[#This Row],[CNY -&gt; FCY]]</f>
        <v>0</v>
      </c>
      <c r="AB523" s="507">
        <f>Port[[#This Row],[ECL (CNY)]]*Port[[#This Row],[CNY -&gt; FCY]]</f>
        <v>10512.902543929842</v>
      </c>
      <c r="AC523" s="507">
        <f>Port[[#This Row],[ECL_Interest (CNY)]]*Port[[#This Row],[CNY -&gt; FCY]]</f>
        <v>285.89250747522607</v>
      </c>
      <c r="AD523" s="507">
        <f>Port[[#This Row],[EAD_Drawn (CNY)]]*Port[[#This Row],[CNY -&gt; THB]]</f>
        <v>4700377.2424320001</v>
      </c>
      <c r="AE523" s="507">
        <f>Port[[#This Row],[EAD_Undrawn (CNY)]]*Port[[#This Row],[CNY -&gt; THB]]</f>
        <v>0</v>
      </c>
      <c r="AF523" s="507">
        <f>Port[[#This Row],[EAD (CNY)]]*Port[[#This Row],[CNY -&gt; THB]]</f>
        <v>4700377.2424320001</v>
      </c>
      <c r="AG523" s="507">
        <f>Port[[#This Row],[EAD_Interest (CNY)]]*Port[[#This Row],[CNY -&gt; THB]]</f>
        <v>127824.131376</v>
      </c>
      <c r="AH523" s="507">
        <f>Port[[#This Row],[ECL_Drawn (CNY)]]*Port[[#This Row],[CNY -&gt; THB]]</f>
        <v>55180.122872578955</v>
      </c>
      <c r="AI523" s="507">
        <f>Port[[#This Row],[ECL_Undrawn (CNY)]]*Port[[#This Row],[CNY -&gt; THB]]</f>
        <v>0</v>
      </c>
      <c r="AJ523" s="507">
        <f>Port[[#This Row],[ECL (CNY)]]*Port[[#This Row],[CNY -&gt; THB]]</f>
        <v>55180.122872578955</v>
      </c>
      <c r="AK523" s="507">
        <f>Port[[#This Row],[ECL_Interest (CNY)]]*Port[[#This Row],[CNY -&gt; THB]]</f>
        <v>1500.5925932359667</v>
      </c>
      <c r="AL523" s="507">
        <f>Port[[#This Row],[EAD (THB)]]*Port[[#This Row],[PD_avg]]</f>
        <v>61311.247636198845</v>
      </c>
      <c r="AM523" s="507">
        <f>Port[[#This Row],[EAD_Interest (THB)]]*Port[[#This Row],[PD_avg]]</f>
        <v>1667.3251035955182</v>
      </c>
      <c r="AN523" s="507">
        <f>Port[[#This Row],[EAD (THB)]]*Port[[#This Row],[LGD_avg]]</f>
        <v>4230339.5181887997</v>
      </c>
      <c r="AO523" s="507">
        <f>Port[[#This Row],[EAD_Interest (THB)]]*Port[[#This Row],[LGD_avg]]</f>
        <v>115041.71823839999</v>
      </c>
      <c r="AP523" s="507">
        <f>Port[[#This Row],[EAD_Drawn (THB)]]+Port[[#This Row],[EAD_Interest (THB)]]</f>
        <v>4828201.3738080002</v>
      </c>
      <c r="AQ5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70505.658636480002</v>
      </c>
      <c r="AR523" s="522">
        <f>MAX(Port[[#This Row],[ECL (THB)]]+Port[[#This Row],[ECL_Interest (THB)]], Port[[#This Row],[ECL CBIRC (THB)]])</f>
        <v>70505.658636480002</v>
      </c>
    </row>
    <row r="524" spans="1:44">
      <c r="A524" s="2" t="s">
        <v>1236</v>
      </c>
      <c r="B524" s="2" t="s">
        <v>1237</v>
      </c>
      <c r="C524" s="2" t="s">
        <v>328</v>
      </c>
      <c r="D524" s="2" t="s">
        <v>18</v>
      </c>
      <c r="E524" s="2" t="s">
        <v>19</v>
      </c>
      <c r="F524" s="2" t="s">
        <v>20</v>
      </c>
      <c r="G524" s="2" t="s">
        <v>21</v>
      </c>
      <c r="H524">
        <v>1</v>
      </c>
      <c r="I524" s="2" t="s">
        <v>526</v>
      </c>
      <c r="J524" s="505">
        <v>1.3043899345507868E-2</v>
      </c>
      <c r="K524" s="505">
        <v>0.89999999999999991</v>
      </c>
      <c r="L524" s="3">
        <v>1</v>
      </c>
      <c r="M524" s="3">
        <v>5.2488000000000001</v>
      </c>
      <c r="N524" s="507">
        <v>126671.25</v>
      </c>
      <c r="O524" s="507">
        <v>0</v>
      </c>
      <c r="P524" s="507">
        <v>126671.25</v>
      </c>
      <c r="Q524" s="507">
        <v>3444.75</v>
      </c>
      <c r="R524" s="507">
        <v>1487.0583314726971</v>
      </c>
      <c r="S524" s="507">
        <v>0</v>
      </c>
      <c r="T524" s="507">
        <v>1487.0583314726971</v>
      </c>
      <c r="U524" s="507">
        <v>40.439675043394409</v>
      </c>
      <c r="V524" s="507">
        <f>Port[[#This Row],[EAD_Drawn (CNY)]]*Port[[#This Row],[CNY -&gt; FCY]]</f>
        <v>126671.25</v>
      </c>
      <c r="W524" s="507">
        <f>Port[[#This Row],[EAD_Undrawn (CNY)]]*Port[[#This Row],[CNY -&gt; FCY]]</f>
        <v>0</v>
      </c>
      <c r="X524" s="507">
        <f>Port[[#This Row],[EAD (CNY)]]*Port[[#This Row],[CNY -&gt; FCY]]</f>
        <v>126671.25</v>
      </c>
      <c r="Y524" s="507">
        <f>Port[[#This Row],[EAD_Interest (CNY)]]*Port[[#This Row],[CNY -&gt; FCY]]</f>
        <v>3444.75</v>
      </c>
      <c r="Z524" s="507">
        <f>Port[[#This Row],[ECL_Drawn (CNY)]]*Port[[#This Row],[CNY -&gt; FCY]]</f>
        <v>1487.0583314726971</v>
      </c>
      <c r="AA524" s="507">
        <f>Port[[#This Row],[ECL_Undrawn (CNY)]]*Port[[#This Row],[CNY -&gt; FCY]]</f>
        <v>0</v>
      </c>
      <c r="AB524" s="507">
        <f>Port[[#This Row],[ECL (CNY)]]*Port[[#This Row],[CNY -&gt; FCY]]</f>
        <v>1487.0583314726971</v>
      </c>
      <c r="AC524" s="507">
        <f>Port[[#This Row],[ECL_Interest (CNY)]]*Port[[#This Row],[CNY -&gt; FCY]]</f>
        <v>40.439675043394409</v>
      </c>
      <c r="AD524" s="507">
        <f>Port[[#This Row],[EAD_Drawn (CNY)]]*Port[[#This Row],[CNY -&gt; THB]]</f>
        <v>664872.05700000003</v>
      </c>
      <c r="AE524" s="507">
        <f>Port[[#This Row],[EAD_Undrawn (CNY)]]*Port[[#This Row],[CNY -&gt; THB]]</f>
        <v>0</v>
      </c>
      <c r="AF524" s="507">
        <f>Port[[#This Row],[EAD (CNY)]]*Port[[#This Row],[CNY -&gt; THB]]</f>
        <v>664872.05700000003</v>
      </c>
      <c r="AG524" s="507">
        <f>Port[[#This Row],[EAD_Interest (CNY)]]*Port[[#This Row],[CNY -&gt; THB]]</f>
        <v>18080.803800000002</v>
      </c>
      <c r="AH524" s="507">
        <f>Port[[#This Row],[ECL_Drawn (CNY)]]*Port[[#This Row],[CNY -&gt; THB]]</f>
        <v>7805.2717702338923</v>
      </c>
      <c r="AI524" s="507">
        <f>Port[[#This Row],[ECL_Undrawn (CNY)]]*Port[[#This Row],[CNY -&gt; THB]]</f>
        <v>0</v>
      </c>
      <c r="AJ524" s="507">
        <f>Port[[#This Row],[ECL (CNY)]]*Port[[#This Row],[CNY -&gt; THB]]</f>
        <v>7805.2717702338923</v>
      </c>
      <c r="AK524" s="507">
        <f>Port[[#This Row],[ECL_Interest (CNY)]]*Port[[#This Row],[CNY -&gt; THB]]</f>
        <v>212.25976636776858</v>
      </c>
      <c r="AL524" s="507">
        <f>Port[[#This Row],[EAD (THB)]]*Port[[#This Row],[PD_avg]]</f>
        <v>8672.5241891487713</v>
      </c>
      <c r="AM524" s="507">
        <f>Port[[#This Row],[EAD_Interest (THB)]]*Port[[#This Row],[PD_avg]]</f>
        <v>235.8441848530762</v>
      </c>
      <c r="AN524" s="507">
        <f>Port[[#This Row],[EAD (THB)]]*Port[[#This Row],[LGD_avg]]</f>
        <v>598384.85129999998</v>
      </c>
      <c r="AO524" s="507">
        <f>Port[[#This Row],[EAD_Interest (THB)]]*Port[[#This Row],[LGD_avg]]</f>
        <v>16272.72342</v>
      </c>
      <c r="AP524" s="507">
        <f>Port[[#This Row],[EAD_Drawn (THB)]]+Port[[#This Row],[EAD_Interest (THB)]]</f>
        <v>682952.86080000002</v>
      </c>
      <c r="AQ5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9973.0808550000002</v>
      </c>
      <c r="AR524" s="522">
        <f>MAX(Port[[#This Row],[ECL (THB)]]+Port[[#This Row],[ECL_Interest (THB)]], Port[[#This Row],[ECL CBIRC (THB)]])</f>
        <v>9973.0808550000002</v>
      </c>
    </row>
    <row r="525" spans="1:44">
      <c r="A525" s="2" t="s">
        <v>1238</v>
      </c>
      <c r="B525" s="2" t="s">
        <v>1239</v>
      </c>
      <c r="C525" s="2" t="s">
        <v>328</v>
      </c>
      <c r="D525" s="2" t="s">
        <v>18</v>
      </c>
      <c r="E525" s="2" t="s">
        <v>19</v>
      </c>
      <c r="F525" s="2" t="s">
        <v>20</v>
      </c>
      <c r="G525" s="2" t="s">
        <v>21</v>
      </c>
      <c r="H525">
        <v>1</v>
      </c>
      <c r="I525" s="2" t="s">
        <v>526</v>
      </c>
      <c r="J525" s="505">
        <v>1.3043899345507868E-2</v>
      </c>
      <c r="K525" s="505">
        <v>0.9</v>
      </c>
      <c r="L525" s="3">
        <v>1</v>
      </c>
      <c r="M525" s="3">
        <v>5.2488000000000001</v>
      </c>
      <c r="N525" s="507">
        <v>58337.77</v>
      </c>
      <c r="O525" s="507">
        <v>0</v>
      </c>
      <c r="P525" s="507">
        <v>58337.77</v>
      </c>
      <c r="Q525" s="507">
        <v>1586.46</v>
      </c>
      <c r="R525" s="507">
        <v>684.85679992924963</v>
      </c>
      <c r="S525" s="507">
        <v>0</v>
      </c>
      <c r="T525" s="507">
        <v>684.85679992924963</v>
      </c>
      <c r="U525" s="507">
        <v>18.624262100106975</v>
      </c>
      <c r="V525" s="507">
        <f>Port[[#This Row],[EAD_Drawn (CNY)]]*Port[[#This Row],[CNY -&gt; FCY]]</f>
        <v>58337.77</v>
      </c>
      <c r="W525" s="507">
        <f>Port[[#This Row],[EAD_Undrawn (CNY)]]*Port[[#This Row],[CNY -&gt; FCY]]</f>
        <v>0</v>
      </c>
      <c r="X525" s="507">
        <f>Port[[#This Row],[EAD (CNY)]]*Port[[#This Row],[CNY -&gt; FCY]]</f>
        <v>58337.77</v>
      </c>
      <c r="Y525" s="507">
        <f>Port[[#This Row],[EAD_Interest (CNY)]]*Port[[#This Row],[CNY -&gt; FCY]]</f>
        <v>1586.46</v>
      </c>
      <c r="Z525" s="507">
        <f>Port[[#This Row],[ECL_Drawn (CNY)]]*Port[[#This Row],[CNY -&gt; FCY]]</f>
        <v>684.85679992924963</v>
      </c>
      <c r="AA525" s="507">
        <f>Port[[#This Row],[ECL_Undrawn (CNY)]]*Port[[#This Row],[CNY -&gt; FCY]]</f>
        <v>0</v>
      </c>
      <c r="AB525" s="507">
        <f>Port[[#This Row],[ECL (CNY)]]*Port[[#This Row],[CNY -&gt; FCY]]</f>
        <v>684.85679992924963</v>
      </c>
      <c r="AC525" s="507">
        <f>Port[[#This Row],[ECL_Interest (CNY)]]*Port[[#This Row],[CNY -&gt; FCY]]</f>
        <v>18.624262100106975</v>
      </c>
      <c r="AD525" s="507">
        <f>Port[[#This Row],[EAD_Drawn (CNY)]]*Port[[#This Row],[CNY -&gt; THB]]</f>
        <v>306203.28717600001</v>
      </c>
      <c r="AE525" s="507">
        <f>Port[[#This Row],[EAD_Undrawn (CNY)]]*Port[[#This Row],[CNY -&gt; THB]]</f>
        <v>0</v>
      </c>
      <c r="AF525" s="507">
        <f>Port[[#This Row],[EAD (CNY)]]*Port[[#This Row],[CNY -&gt; THB]]</f>
        <v>306203.28717600001</v>
      </c>
      <c r="AG525" s="507">
        <f>Port[[#This Row],[EAD_Interest (CNY)]]*Port[[#This Row],[CNY -&gt; THB]]</f>
        <v>8327.0112480000007</v>
      </c>
      <c r="AH525" s="507">
        <f>Port[[#This Row],[ECL_Drawn (CNY)]]*Port[[#This Row],[CNY -&gt; THB]]</f>
        <v>3594.6763714686454</v>
      </c>
      <c r="AI525" s="507">
        <f>Port[[#This Row],[ECL_Undrawn (CNY)]]*Port[[#This Row],[CNY -&gt; THB]]</f>
        <v>0</v>
      </c>
      <c r="AJ525" s="507">
        <f>Port[[#This Row],[ECL (CNY)]]*Port[[#This Row],[CNY -&gt; THB]]</f>
        <v>3594.6763714686454</v>
      </c>
      <c r="AK525" s="507">
        <f>Port[[#This Row],[ECL_Interest (CNY)]]*Port[[#This Row],[CNY -&gt; THB]]</f>
        <v>97.755026911041497</v>
      </c>
      <c r="AL525" s="507">
        <f>Port[[#This Row],[EAD (THB)]]*Port[[#This Row],[PD_avg]]</f>
        <v>3994.0848571873844</v>
      </c>
      <c r="AM525" s="507">
        <f>Port[[#This Row],[EAD_Interest (THB)]]*Port[[#This Row],[PD_avg]]</f>
        <v>108.61669656782387</v>
      </c>
      <c r="AN525" s="507">
        <f>Port[[#This Row],[EAD (THB)]]*Port[[#This Row],[LGD_avg]]</f>
        <v>275582.95845840004</v>
      </c>
      <c r="AO525" s="507">
        <f>Port[[#This Row],[EAD_Interest (THB)]]*Port[[#This Row],[LGD_avg]]</f>
        <v>7494.3101232000008</v>
      </c>
      <c r="AP525" s="507">
        <f>Port[[#This Row],[EAD_Drawn (THB)]]+Port[[#This Row],[EAD_Interest (THB)]]</f>
        <v>314530.29842400004</v>
      </c>
      <c r="AQ5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4593.0493076399998</v>
      </c>
      <c r="AR525" s="522">
        <f>MAX(Port[[#This Row],[ECL (THB)]]+Port[[#This Row],[ECL_Interest (THB)]], Port[[#This Row],[ECL CBIRC (THB)]])</f>
        <v>4593.0493076399998</v>
      </c>
    </row>
    <row r="526" spans="1:44">
      <c r="A526" s="2" t="s">
        <v>1240</v>
      </c>
      <c r="B526" s="2" t="s">
        <v>359</v>
      </c>
      <c r="C526" s="2" t="s">
        <v>328</v>
      </c>
      <c r="D526" s="2" t="s">
        <v>18</v>
      </c>
      <c r="E526" s="2" t="s">
        <v>19</v>
      </c>
      <c r="F526" s="2" t="s">
        <v>20</v>
      </c>
      <c r="G526" s="2" t="s">
        <v>21</v>
      </c>
      <c r="H526">
        <v>1</v>
      </c>
      <c r="I526" s="2" t="s">
        <v>526</v>
      </c>
      <c r="J526" s="505">
        <v>1.3043899345507868E-2</v>
      </c>
      <c r="K526" s="505">
        <v>0.90000000000000013</v>
      </c>
      <c r="L526" s="3">
        <v>1</v>
      </c>
      <c r="M526" s="3">
        <v>5.2488000000000001</v>
      </c>
      <c r="N526" s="507">
        <v>4561048.1900000004</v>
      </c>
      <c r="O526" s="507">
        <v>0</v>
      </c>
      <c r="P526" s="507">
        <v>4561048.1900000004</v>
      </c>
      <c r="Q526" s="507">
        <v>124035.17</v>
      </c>
      <c r="R526" s="507">
        <v>53544.468150333778</v>
      </c>
      <c r="S526" s="507">
        <v>0</v>
      </c>
      <c r="T526" s="507">
        <v>53544.468150333778</v>
      </c>
      <c r="U526" s="507">
        <v>1456.1120455046614</v>
      </c>
      <c r="V526" s="507">
        <f>Port[[#This Row],[EAD_Drawn (CNY)]]*Port[[#This Row],[CNY -&gt; FCY]]</f>
        <v>4561048.1900000004</v>
      </c>
      <c r="W526" s="507">
        <f>Port[[#This Row],[EAD_Undrawn (CNY)]]*Port[[#This Row],[CNY -&gt; FCY]]</f>
        <v>0</v>
      </c>
      <c r="X526" s="507">
        <f>Port[[#This Row],[EAD (CNY)]]*Port[[#This Row],[CNY -&gt; FCY]]</f>
        <v>4561048.1900000004</v>
      </c>
      <c r="Y526" s="507">
        <f>Port[[#This Row],[EAD_Interest (CNY)]]*Port[[#This Row],[CNY -&gt; FCY]]</f>
        <v>124035.17</v>
      </c>
      <c r="Z526" s="507">
        <f>Port[[#This Row],[ECL_Drawn (CNY)]]*Port[[#This Row],[CNY -&gt; FCY]]</f>
        <v>53544.468150333778</v>
      </c>
      <c r="AA526" s="507">
        <f>Port[[#This Row],[ECL_Undrawn (CNY)]]*Port[[#This Row],[CNY -&gt; FCY]]</f>
        <v>0</v>
      </c>
      <c r="AB526" s="507">
        <f>Port[[#This Row],[ECL (CNY)]]*Port[[#This Row],[CNY -&gt; FCY]]</f>
        <v>53544.468150333778</v>
      </c>
      <c r="AC526" s="507">
        <f>Port[[#This Row],[ECL_Interest (CNY)]]*Port[[#This Row],[CNY -&gt; FCY]]</f>
        <v>1456.1120455046614</v>
      </c>
      <c r="AD526" s="507">
        <f>Port[[#This Row],[EAD_Drawn (CNY)]]*Port[[#This Row],[CNY -&gt; THB]]</f>
        <v>23940029.739672001</v>
      </c>
      <c r="AE526" s="507">
        <f>Port[[#This Row],[EAD_Undrawn (CNY)]]*Port[[#This Row],[CNY -&gt; THB]]</f>
        <v>0</v>
      </c>
      <c r="AF526" s="507">
        <f>Port[[#This Row],[EAD (CNY)]]*Port[[#This Row],[CNY -&gt; THB]]</f>
        <v>23940029.739672001</v>
      </c>
      <c r="AG526" s="507">
        <f>Port[[#This Row],[EAD_Interest (CNY)]]*Port[[#This Row],[CNY -&gt; THB]]</f>
        <v>651035.80029599997</v>
      </c>
      <c r="AH526" s="507">
        <f>Port[[#This Row],[ECL_Drawn (CNY)]]*Port[[#This Row],[CNY -&gt; THB]]</f>
        <v>281044.20442747197</v>
      </c>
      <c r="AI526" s="507">
        <f>Port[[#This Row],[ECL_Undrawn (CNY)]]*Port[[#This Row],[CNY -&gt; THB]]</f>
        <v>0</v>
      </c>
      <c r="AJ526" s="507">
        <f>Port[[#This Row],[ECL (CNY)]]*Port[[#This Row],[CNY -&gt; THB]]</f>
        <v>281044.20442747197</v>
      </c>
      <c r="AK526" s="507">
        <f>Port[[#This Row],[ECL_Interest (CNY)]]*Port[[#This Row],[CNY -&gt; THB]]</f>
        <v>7642.8409044448672</v>
      </c>
      <c r="AL526" s="507">
        <f>Port[[#This Row],[EAD (THB)]]*Port[[#This Row],[PD_avg]]</f>
        <v>312271.3382527465</v>
      </c>
      <c r="AM526" s="507">
        <f>Port[[#This Row],[EAD_Interest (THB)]]*Port[[#This Row],[PD_avg]]</f>
        <v>8492.0454493831858</v>
      </c>
      <c r="AN526" s="507">
        <f>Port[[#This Row],[EAD (THB)]]*Port[[#This Row],[LGD_avg]]</f>
        <v>21546026.765704803</v>
      </c>
      <c r="AO526" s="507">
        <f>Port[[#This Row],[EAD_Interest (THB)]]*Port[[#This Row],[LGD_avg]]</f>
        <v>585932.22026640002</v>
      </c>
      <c r="AP526" s="507">
        <f>Port[[#This Row],[EAD_Drawn (THB)]]+Port[[#This Row],[EAD_Interest (THB)]]</f>
        <v>24591065.539968003</v>
      </c>
      <c r="AQ5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359100.44609508</v>
      </c>
      <c r="AR526" s="522">
        <f>MAX(Port[[#This Row],[ECL (THB)]]+Port[[#This Row],[ECL_Interest (THB)]], Port[[#This Row],[ECL CBIRC (THB)]])</f>
        <v>359100.44609508</v>
      </c>
    </row>
    <row r="527" spans="1:44">
      <c r="A527" s="2" t="s">
        <v>1241</v>
      </c>
      <c r="B527" s="2" t="s">
        <v>1242</v>
      </c>
      <c r="C527" s="2" t="s">
        <v>328</v>
      </c>
      <c r="D527" s="2" t="s">
        <v>18</v>
      </c>
      <c r="E527" s="2" t="s">
        <v>19</v>
      </c>
      <c r="F527" s="2" t="s">
        <v>20</v>
      </c>
      <c r="G527" s="2" t="s">
        <v>21</v>
      </c>
      <c r="H527">
        <v>1</v>
      </c>
      <c r="I527" s="2" t="s">
        <v>526</v>
      </c>
      <c r="J527" s="505">
        <v>1.3043899345507868E-2</v>
      </c>
      <c r="K527" s="505">
        <v>0.89999999999999991</v>
      </c>
      <c r="L527" s="3">
        <v>1</v>
      </c>
      <c r="M527" s="3">
        <v>5.2488000000000001</v>
      </c>
      <c r="N527" s="507">
        <v>1260000</v>
      </c>
      <c r="O527" s="507">
        <v>0</v>
      </c>
      <c r="P527" s="507">
        <v>1260000</v>
      </c>
      <c r="Q527" s="507">
        <v>34265</v>
      </c>
      <c r="R527" s="507">
        <v>14791.781857805923</v>
      </c>
      <c r="S527" s="507">
        <v>0</v>
      </c>
      <c r="T527" s="507">
        <v>14791.781857805923</v>
      </c>
      <c r="U527" s="507">
        <v>402.25428996644445</v>
      </c>
      <c r="V527" s="507">
        <f>Port[[#This Row],[EAD_Drawn (CNY)]]*Port[[#This Row],[CNY -&gt; FCY]]</f>
        <v>1260000</v>
      </c>
      <c r="W527" s="507">
        <f>Port[[#This Row],[EAD_Undrawn (CNY)]]*Port[[#This Row],[CNY -&gt; FCY]]</f>
        <v>0</v>
      </c>
      <c r="X527" s="507">
        <f>Port[[#This Row],[EAD (CNY)]]*Port[[#This Row],[CNY -&gt; FCY]]</f>
        <v>1260000</v>
      </c>
      <c r="Y527" s="507">
        <f>Port[[#This Row],[EAD_Interest (CNY)]]*Port[[#This Row],[CNY -&gt; FCY]]</f>
        <v>34265</v>
      </c>
      <c r="Z527" s="507">
        <f>Port[[#This Row],[ECL_Drawn (CNY)]]*Port[[#This Row],[CNY -&gt; FCY]]</f>
        <v>14791.781857805923</v>
      </c>
      <c r="AA527" s="507">
        <f>Port[[#This Row],[ECL_Undrawn (CNY)]]*Port[[#This Row],[CNY -&gt; FCY]]</f>
        <v>0</v>
      </c>
      <c r="AB527" s="507">
        <f>Port[[#This Row],[ECL (CNY)]]*Port[[#This Row],[CNY -&gt; FCY]]</f>
        <v>14791.781857805923</v>
      </c>
      <c r="AC527" s="507">
        <f>Port[[#This Row],[ECL_Interest (CNY)]]*Port[[#This Row],[CNY -&gt; FCY]]</f>
        <v>402.25428996644445</v>
      </c>
      <c r="AD527" s="507">
        <f>Port[[#This Row],[EAD_Drawn (CNY)]]*Port[[#This Row],[CNY -&gt; THB]]</f>
        <v>6613488</v>
      </c>
      <c r="AE527" s="507">
        <f>Port[[#This Row],[EAD_Undrawn (CNY)]]*Port[[#This Row],[CNY -&gt; THB]]</f>
        <v>0</v>
      </c>
      <c r="AF527" s="507">
        <f>Port[[#This Row],[EAD (CNY)]]*Port[[#This Row],[CNY -&gt; THB]]</f>
        <v>6613488</v>
      </c>
      <c r="AG527" s="507">
        <f>Port[[#This Row],[EAD_Interest (CNY)]]*Port[[#This Row],[CNY -&gt; THB]]</f>
        <v>179850.13200000001</v>
      </c>
      <c r="AH527" s="507">
        <f>Port[[#This Row],[ECL_Drawn (CNY)]]*Port[[#This Row],[CNY -&gt; THB]]</f>
        <v>77639.104615251737</v>
      </c>
      <c r="AI527" s="507">
        <f>Port[[#This Row],[ECL_Undrawn (CNY)]]*Port[[#This Row],[CNY -&gt; THB]]</f>
        <v>0</v>
      </c>
      <c r="AJ527" s="507">
        <f>Port[[#This Row],[ECL (CNY)]]*Port[[#This Row],[CNY -&gt; THB]]</f>
        <v>77639.104615251737</v>
      </c>
      <c r="AK527" s="507">
        <f>Port[[#This Row],[ECL_Interest (CNY)]]*Port[[#This Row],[CNY -&gt; THB]]</f>
        <v>2111.3523171758738</v>
      </c>
      <c r="AL527" s="507">
        <f>Port[[#This Row],[EAD (THB)]]*Port[[#This Row],[PD_avg]]</f>
        <v>86265.671794724141</v>
      </c>
      <c r="AM527" s="507">
        <f>Port[[#This Row],[EAD_Interest (THB)]]*Port[[#This Row],[PD_avg]]</f>
        <v>2345.947019084304</v>
      </c>
      <c r="AN527" s="507">
        <f>Port[[#This Row],[EAD (THB)]]*Port[[#This Row],[LGD_avg]]</f>
        <v>5952139.1999999993</v>
      </c>
      <c r="AO527" s="507">
        <f>Port[[#This Row],[EAD_Interest (THB)]]*Port[[#This Row],[LGD_avg]]</f>
        <v>161865.1188</v>
      </c>
      <c r="AP527" s="507">
        <f>Port[[#This Row],[EAD_Drawn (THB)]]+Port[[#This Row],[EAD_Interest (THB)]]</f>
        <v>6793338.1320000002</v>
      </c>
      <c r="AQ5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99202.319999999992</v>
      </c>
      <c r="AR527" s="522">
        <f>MAX(Port[[#This Row],[ECL (THB)]]+Port[[#This Row],[ECL_Interest (THB)]], Port[[#This Row],[ECL CBIRC (THB)]])</f>
        <v>99202.319999999992</v>
      </c>
    </row>
    <row r="528" spans="1:44">
      <c r="A528" s="2" t="s">
        <v>1243</v>
      </c>
      <c r="B528" s="2" t="s">
        <v>1239</v>
      </c>
      <c r="C528" s="2" t="s">
        <v>328</v>
      </c>
      <c r="D528" s="2" t="s">
        <v>18</v>
      </c>
      <c r="E528" s="2" t="s">
        <v>19</v>
      </c>
      <c r="F528" s="2" t="s">
        <v>20</v>
      </c>
      <c r="G528" s="2" t="s">
        <v>21</v>
      </c>
      <c r="H528">
        <v>1</v>
      </c>
      <c r="I528" s="2" t="s">
        <v>526</v>
      </c>
      <c r="J528" s="505">
        <v>1.3043899345507868E-2</v>
      </c>
      <c r="K528" s="505">
        <v>0.90000000000000013</v>
      </c>
      <c r="L528" s="3">
        <v>1</v>
      </c>
      <c r="M528" s="3">
        <v>5.2488000000000001</v>
      </c>
      <c r="N528" s="507">
        <v>428850.39</v>
      </c>
      <c r="O528" s="507">
        <v>0</v>
      </c>
      <c r="P528" s="507">
        <v>428850.39</v>
      </c>
      <c r="Q528" s="507">
        <v>11662.35</v>
      </c>
      <c r="R528" s="507">
        <v>5034.4931892976147</v>
      </c>
      <c r="S528" s="507">
        <v>0</v>
      </c>
      <c r="T528" s="507">
        <v>5034.4931892976147</v>
      </c>
      <c r="U528" s="507">
        <v>136.91026757887533</v>
      </c>
      <c r="V528" s="507">
        <f>Port[[#This Row],[EAD_Drawn (CNY)]]*Port[[#This Row],[CNY -&gt; FCY]]</f>
        <v>428850.39</v>
      </c>
      <c r="W528" s="507">
        <f>Port[[#This Row],[EAD_Undrawn (CNY)]]*Port[[#This Row],[CNY -&gt; FCY]]</f>
        <v>0</v>
      </c>
      <c r="X528" s="507">
        <f>Port[[#This Row],[EAD (CNY)]]*Port[[#This Row],[CNY -&gt; FCY]]</f>
        <v>428850.39</v>
      </c>
      <c r="Y528" s="507">
        <f>Port[[#This Row],[EAD_Interest (CNY)]]*Port[[#This Row],[CNY -&gt; FCY]]</f>
        <v>11662.35</v>
      </c>
      <c r="Z528" s="507">
        <f>Port[[#This Row],[ECL_Drawn (CNY)]]*Port[[#This Row],[CNY -&gt; FCY]]</f>
        <v>5034.4931892976147</v>
      </c>
      <c r="AA528" s="507">
        <f>Port[[#This Row],[ECL_Undrawn (CNY)]]*Port[[#This Row],[CNY -&gt; FCY]]</f>
        <v>0</v>
      </c>
      <c r="AB528" s="507">
        <f>Port[[#This Row],[ECL (CNY)]]*Port[[#This Row],[CNY -&gt; FCY]]</f>
        <v>5034.4931892976147</v>
      </c>
      <c r="AC528" s="507">
        <f>Port[[#This Row],[ECL_Interest (CNY)]]*Port[[#This Row],[CNY -&gt; FCY]]</f>
        <v>136.91026757887533</v>
      </c>
      <c r="AD528" s="507">
        <f>Port[[#This Row],[EAD_Drawn (CNY)]]*Port[[#This Row],[CNY -&gt; THB]]</f>
        <v>2250949.9270319999</v>
      </c>
      <c r="AE528" s="507">
        <f>Port[[#This Row],[EAD_Undrawn (CNY)]]*Port[[#This Row],[CNY -&gt; THB]]</f>
        <v>0</v>
      </c>
      <c r="AF528" s="507">
        <f>Port[[#This Row],[EAD (CNY)]]*Port[[#This Row],[CNY -&gt; THB]]</f>
        <v>2250949.9270319999</v>
      </c>
      <c r="AG528" s="507">
        <f>Port[[#This Row],[EAD_Interest (CNY)]]*Port[[#This Row],[CNY -&gt; THB]]</f>
        <v>61213.342680000002</v>
      </c>
      <c r="AH528" s="507">
        <f>Port[[#This Row],[ECL_Drawn (CNY)]]*Port[[#This Row],[CNY -&gt; THB]]</f>
        <v>26425.04785198532</v>
      </c>
      <c r="AI528" s="507">
        <f>Port[[#This Row],[ECL_Undrawn (CNY)]]*Port[[#This Row],[CNY -&gt; THB]]</f>
        <v>0</v>
      </c>
      <c r="AJ528" s="507">
        <f>Port[[#This Row],[ECL (CNY)]]*Port[[#This Row],[CNY -&gt; THB]]</f>
        <v>26425.04785198532</v>
      </c>
      <c r="AK528" s="507">
        <f>Port[[#This Row],[ECL_Interest (CNY)]]*Port[[#This Row],[CNY -&gt; THB]]</f>
        <v>718.61461246800093</v>
      </c>
      <c r="AL528" s="507">
        <f>Port[[#This Row],[EAD (THB)]]*Port[[#This Row],[PD_avg]]</f>
        <v>29361.164279983688</v>
      </c>
      <c r="AM528" s="507">
        <f>Port[[#This Row],[EAD_Interest (THB)]]*Port[[#This Row],[PD_avg]]</f>
        <v>798.46068052000089</v>
      </c>
      <c r="AN528" s="507">
        <f>Port[[#This Row],[EAD (THB)]]*Port[[#This Row],[LGD_avg]]</f>
        <v>2025854.9343288003</v>
      </c>
      <c r="AO528" s="507">
        <f>Port[[#This Row],[EAD_Interest (THB)]]*Port[[#This Row],[LGD_avg]]</f>
        <v>55092.00841200001</v>
      </c>
      <c r="AP528" s="507">
        <f>Port[[#This Row],[EAD_Drawn (THB)]]+Port[[#This Row],[EAD_Interest (THB)]]</f>
        <v>2312163.2697120002</v>
      </c>
      <c r="AQ5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33764.248905479995</v>
      </c>
      <c r="AR528" s="522">
        <f>MAX(Port[[#This Row],[ECL (THB)]]+Port[[#This Row],[ECL_Interest (THB)]], Port[[#This Row],[ECL CBIRC (THB)]])</f>
        <v>33764.248905479995</v>
      </c>
    </row>
    <row r="529" spans="1:44">
      <c r="A529" s="2" t="s">
        <v>1244</v>
      </c>
      <c r="B529" s="2" t="s">
        <v>1245</v>
      </c>
      <c r="C529" s="2" t="s">
        <v>328</v>
      </c>
      <c r="D529" s="2" t="s">
        <v>18</v>
      </c>
      <c r="E529" s="2" t="s">
        <v>19</v>
      </c>
      <c r="F529" s="2" t="s">
        <v>20</v>
      </c>
      <c r="G529" s="2" t="s">
        <v>21</v>
      </c>
      <c r="H529">
        <v>1</v>
      </c>
      <c r="I529" s="2" t="s">
        <v>526</v>
      </c>
      <c r="J529" s="505">
        <v>1.3043899345507868E-2</v>
      </c>
      <c r="K529" s="505">
        <v>0.89999999999999991</v>
      </c>
      <c r="L529" s="3">
        <v>1</v>
      </c>
      <c r="M529" s="3">
        <v>5.2488000000000001</v>
      </c>
      <c r="N529" s="507">
        <v>46648</v>
      </c>
      <c r="O529" s="507">
        <v>0</v>
      </c>
      <c r="P529" s="507">
        <v>46648</v>
      </c>
      <c r="Q529" s="507">
        <v>1240.06</v>
      </c>
      <c r="R529" s="507">
        <v>547.62463500232593</v>
      </c>
      <c r="S529" s="507">
        <v>0</v>
      </c>
      <c r="T529" s="507">
        <v>547.62463500232593</v>
      </c>
      <c r="U529" s="507">
        <v>14.557696040151438</v>
      </c>
      <c r="V529" s="507">
        <f>Port[[#This Row],[EAD_Drawn (CNY)]]*Port[[#This Row],[CNY -&gt; FCY]]</f>
        <v>46648</v>
      </c>
      <c r="W529" s="507">
        <f>Port[[#This Row],[EAD_Undrawn (CNY)]]*Port[[#This Row],[CNY -&gt; FCY]]</f>
        <v>0</v>
      </c>
      <c r="X529" s="507">
        <f>Port[[#This Row],[EAD (CNY)]]*Port[[#This Row],[CNY -&gt; FCY]]</f>
        <v>46648</v>
      </c>
      <c r="Y529" s="507">
        <f>Port[[#This Row],[EAD_Interest (CNY)]]*Port[[#This Row],[CNY -&gt; FCY]]</f>
        <v>1240.06</v>
      </c>
      <c r="Z529" s="507">
        <f>Port[[#This Row],[ECL_Drawn (CNY)]]*Port[[#This Row],[CNY -&gt; FCY]]</f>
        <v>547.62463500232593</v>
      </c>
      <c r="AA529" s="507">
        <f>Port[[#This Row],[ECL_Undrawn (CNY)]]*Port[[#This Row],[CNY -&gt; FCY]]</f>
        <v>0</v>
      </c>
      <c r="AB529" s="507">
        <f>Port[[#This Row],[ECL (CNY)]]*Port[[#This Row],[CNY -&gt; FCY]]</f>
        <v>547.62463500232593</v>
      </c>
      <c r="AC529" s="507">
        <f>Port[[#This Row],[ECL_Interest (CNY)]]*Port[[#This Row],[CNY -&gt; FCY]]</f>
        <v>14.557696040151438</v>
      </c>
      <c r="AD529" s="507">
        <f>Port[[#This Row],[EAD_Drawn (CNY)]]*Port[[#This Row],[CNY -&gt; THB]]</f>
        <v>244846.02240000002</v>
      </c>
      <c r="AE529" s="507">
        <f>Port[[#This Row],[EAD_Undrawn (CNY)]]*Port[[#This Row],[CNY -&gt; THB]]</f>
        <v>0</v>
      </c>
      <c r="AF529" s="507">
        <f>Port[[#This Row],[EAD (CNY)]]*Port[[#This Row],[CNY -&gt; THB]]</f>
        <v>244846.02240000002</v>
      </c>
      <c r="AG529" s="507">
        <f>Port[[#This Row],[EAD_Interest (CNY)]]*Port[[#This Row],[CNY -&gt; THB]]</f>
        <v>6508.8269279999995</v>
      </c>
      <c r="AH529" s="507">
        <f>Port[[#This Row],[ECL_Drawn (CNY)]]*Port[[#This Row],[CNY -&gt; THB]]</f>
        <v>2874.3721842002083</v>
      </c>
      <c r="AI529" s="507">
        <f>Port[[#This Row],[ECL_Undrawn (CNY)]]*Port[[#This Row],[CNY -&gt; THB]]</f>
        <v>0</v>
      </c>
      <c r="AJ529" s="507">
        <f>Port[[#This Row],[ECL (CNY)]]*Port[[#This Row],[CNY -&gt; THB]]</f>
        <v>2874.3721842002083</v>
      </c>
      <c r="AK529" s="507">
        <f>Port[[#This Row],[ECL_Interest (CNY)]]*Port[[#This Row],[CNY -&gt; THB]]</f>
        <v>76.410434975546863</v>
      </c>
      <c r="AL529" s="507">
        <f>Port[[#This Row],[EAD (THB)]]*Port[[#This Row],[PD_avg]]</f>
        <v>3193.7468713335652</v>
      </c>
      <c r="AM529" s="507">
        <f>Port[[#This Row],[EAD_Interest (THB)]]*Port[[#This Row],[PD_avg]]</f>
        <v>84.900483306163181</v>
      </c>
      <c r="AN529" s="507">
        <f>Port[[#This Row],[EAD (THB)]]*Port[[#This Row],[LGD_avg]]</f>
        <v>220361.42015999998</v>
      </c>
      <c r="AO529" s="507">
        <f>Port[[#This Row],[EAD_Interest (THB)]]*Port[[#This Row],[LGD_avg]]</f>
        <v>5857.9442351999987</v>
      </c>
      <c r="AP529" s="507">
        <f>Port[[#This Row],[EAD_Drawn (THB)]]+Port[[#This Row],[EAD_Interest (THB)]]</f>
        <v>251354.84932800001</v>
      </c>
      <c r="AQ5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3672.6903360000001</v>
      </c>
      <c r="AR529" s="522">
        <f>MAX(Port[[#This Row],[ECL (THB)]]+Port[[#This Row],[ECL_Interest (THB)]], Port[[#This Row],[ECL CBIRC (THB)]])</f>
        <v>3672.6903360000001</v>
      </c>
    </row>
    <row r="530" spans="1:44">
      <c r="A530" s="2" t="s">
        <v>1246</v>
      </c>
      <c r="B530" s="2" t="s">
        <v>1247</v>
      </c>
      <c r="C530" s="2" t="s">
        <v>328</v>
      </c>
      <c r="D530" s="2" t="s">
        <v>18</v>
      </c>
      <c r="E530" s="2" t="s">
        <v>19</v>
      </c>
      <c r="F530" s="2" t="s">
        <v>20</v>
      </c>
      <c r="G530" s="2" t="s">
        <v>21</v>
      </c>
      <c r="H530">
        <v>1</v>
      </c>
      <c r="I530" s="2" t="s">
        <v>526</v>
      </c>
      <c r="J530" s="505">
        <v>1.3043899345507868E-2</v>
      </c>
      <c r="K530" s="505">
        <v>0.9</v>
      </c>
      <c r="L530" s="3">
        <v>1</v>
      </c>
      <c r="M530" s="3">
        <v>5.2488000000000001</v>
      </c>
      <c r="N530" s="507">
        <v>801991.13</v>
      </c>
      <c r="O530" s="507">
        <v>0</v>
      </c>
      <c r="P530" s="507">
        <v>801991.13</v>
      </c>
      <c r="Q530" s="507">
        <v>21319.599999999999</v>
      </c>
      <c r="R530" s="507">
        <v>9414.982418139105</v>
      </c>
      <c r="S530" s="507">
        <v>0</v>
      </c>
      <c r="T530" s="507">
        <v>9414.982418139105</v>
      </c>
      <c r="U530" s="507">
        <v>250.28164483784059</v>
      </c>
      <c r="V530" s="507">
        <f>Port[[#This Row],[EAD_Drawn (CNY)]]*Port[[#This Row],[CNY -&gt; FCY]]</f>
        <v>801991.13</v>
      </c>
      <c r="W530" s="507">
        <f>Port[[#This Row],[EAD_Undrawn (CNY)]]*Port[[#This Row],[CNY -&gt; FCY]]</f>
        <v>0</v>
      </c>
      <c r="X530" s="507">
        <f>Port[[#This Row],[EAD (CNY)]]*Port[[#This Row],[CNY -&gt; FCY]]</f>
        <v>801991.13</v>
      </c>
      <c r="Y530" s="507">
        <f>Port[[#This Row],[EAD_Interest (CNY)]]*Port[[#This Row],[CNY -&gt; FCY]]</f>
        <v>21319.599999999999</v>
      </c>
      <c r="Z530" s="507">
        <f>Port[[#This Row],[ECL_Drawn (CNY)]]*Port[[#This Row],[CNY -&gt; FCY]]</f>
        <v>9414.982418139105</v>
      </c>
      <c r="AA530" s="507">
        <f>Port[[#This Row],[ECL_Undrawn (CNY)]]*Port[[#This Row],[CNY -&gt; FCY]]</f>
        <v>0</v>
      </c>
      <c r="AB530" s="507">
        <f>Port[[#This Row],[ECL (CNY)]]*Port[[#This Row],[CNY -&gt; FCY]]</f>
        <v>9414.982418139105</v>
      </c>
      <c r="AC530" s="507">
        <f>Port[[#This Row],[ECL_Interest (CNY)]]*Port[[#This Row],[CNY -&gt; FCY]]</f>
        <v>250.28164483784059</v>
      </c>
      <c r="AD530" s="507">
        <f>Port[[#This Row],[EAD_Drawn (CNY)]]*Port[[#This Row],[CNY -&gt; THB]]</f>
        <v>4209491.0431439998</v>
      </c>
      <c r="AE530" s="507">
        <f>Port[[#This Row],[EAD_Undrawn (CNY)]]*Port[[#This Row],[CNY -&gt; THB]]</f>
        <v>0</v>
      </c>
      <c r="AF530" s="507">
        <f>Port[[#This Row],[EAD (CNY)]]*Port[[#This Row],[CNY -&gt; THB]]</f>
        <v>4209491.0431439998</v>
      </c>
      <c r="AG530" s="507">
        <f>Port[[#This Row],[EAD_Interest (CNY)]]*Port[[#This Row],[CNY -&gt; THB]]</f>
        <v>111902.31647999999</v>
      </c>
      <c r="AH530" s="507">
        <f>Port[[#This Row],[ECL_Drawn (CNY)]]*Port[[#This Row],[CNY -&gt; THB]]</f>
        <v>49417.359716328538</v>
      </c>
      <c r="AI530" s="507">
        <f>Port[[#This Row],[ECL_Undrawn (CNY)]]*Port[[#This Row],[CNY -&gt; THB]]</f>
        <v>0</v>
      </c>
      <c r="AJ530" s="507">
        <f>Port[[#This Row],[ECL (CNY)]]*Port[[#This Row],[CNY -&gt; THB]]</f>
        <v>49417.359716328538</v>
      </c>
      <c r="AK530" s="507">
        <f>Port[[#This Row],[ECL_Interest (CNY)]]*Port[[#This Row],[CNY -&gt; THB]]</f>
        <v>1313.6782974248576</v>
      </c>
      <c r="AL530" s="507">
        <f>Port[[#This Row],[EAD (THB)]]*Port[[#This Row],[PD_avg]]</f>
        <v>54908.177462587249</v>
      </c>
      <c r="AM530" s="507">
        <f>Port[[#This Row],[EAD_Interest (THB)]]*Port[[#This Row],[PD_avg]]</f>
        <v>1459.6425526942862</v>
      </c>
      <c r="AN530" s="507">
        <f>Port[[#This Row],[EAD (THB)]]*Port[[#This Row],[LGD_avg]]</f>
        <v>3788541.9388295999</v>
      </c>
      <c r="AO530" s="507">
        <f>Port[[#This Row],[EAD_Interest (THB)]]*Port[[#This Row],[LGD_avg]]</f>
        <v>100712.08483199999</v>
      </c>
      <c r="AP530" s="507">
        <f>Port[[#This Row],[EAD_Drawn (THB)]]+Port[[#This Row],[EAD_Interest (THB)]]</f>
        <v>4321393.3596239993</v>
      </c>
      <c r="AQ5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63142.365647159997</v>
      </c>
      <c r="AR530" s="522">
        <f>MAX(Port[[#This Row],[ECL (THB)]]+Port[[#This Row],[ECL_Interest (THB)]], Port[[#This Row],[ECL CBIRC (THB)]])</f>
        <v>63142.365647159997</v>
      </c>
    </row>
    <row r="531" spans="1:44">
      <c r="A531" s="2" t="s">
        <v>1248</v>
      </c>
      <c r="B531" s="2" t="s">
        <v>350</v>
      </c>
      <c r="C531" s="2" t="s">
        <v>328</v>
      </c>
      <c r="D531" s="2" t="s">
        <v>18</v>
      </c>
      <c r="E531" s="2" t="s">
        <v>19</v>
      </c>
      <c r="F531" s="2" t="s">
        <v>20</v>
      </c>
      <c r="G531" s="2" t="s">
        <v>21</v>
      </c>
      <c r="H531">
        <v>1</v>
      </c>
      <c r="I531" s="2" t="s">
        <v>526</v>
      </c>
      <c r="J531" s="505">
        <v>2.0514833509807026E-2</v>
      </c>
      <c r="K531" s="505">
        <v>0.90000000000000013</v>
      </c>
      <c r="L531" s="3">
        <v>1</v>
      </c>
      <c r="M531" s="3">
        <v>5.2488000000000001</v>
      </c>
      <c r="N531" s="507">
        <v>5000000</v>
      </c>
      <c r="O531" s="507">
        <v>0</v>
      </c>
      <c r="P531" s="507">
        <v>5000000</v>
      </c>
      <c r="Q531" s="507">
        <v>124666.67</v>
      </c>
      <c r="R531" s="507">
        <v>92316.750794131629</v>
      </c>
      <c r="S531" s="507">
        <v>0</v>
      </c>
      <c r="T531" s="507">
        <v>92316.750794131629</v>
      </c>
      <c r="U531" s="507">
        <v>2301.764381344849</v>
      </c>
      <c r="V531" s="507">
        <f>Port[[#This Row],[EAD_Drawn (CNY)]]*Port[[#This Row],[CNY -&gt; FCY]]</f>
        <v>5000000</v>
      </c>
      <c r="W531" s="507">
        <f>Port[[#This Row],[EAD_Undrawn (CNY)]]*Port[[#This Row],[CNY -&gt; FCY]]</f>
        <v>0</v>
      </c>
      <c r="X531" s="507">
        <f>Port[[#This Row],[EAD (CNY)]]*Port[[#This Row],[CNY -&gt; FCY]]</f>
        <v>5000000</v>
      </c>
      <c r="Y531" s="507">
        <f>Port[[#This Row],[EAD_Interest (CNY)]]*Port[[#This Row],[CNY -&gt; FCY]]</f>
        <v>124666.67</v>
      </c>
      <c r="Z531" s="507">
        <f>Port[[#This Row],[ECL_Drawn (CNY)]]*Port[[#This Row],[CNY -&gt; FCY]]</f>
        <v>92316.750794131629</v>
      </c>
      <c r="AA531" s="507">
        <f>Port[[#This Row],[ECL_Undrawn (CNY)]]*Port[[#This Row],[CNY -&gt; FCY]]</f>
        <v>0</v>
      </c>
      <c r="AB531" s="507">
        <f>Port[[#This Row],[ECL (CNY)]]*Port[[#This Row],[CNY -&gt; FCY]]</f>
        <v>92316.750794131629</v>
      </c>
      <c r="AC531" s="507">
        <f>Port[[#This Row],[ECL_Interest (CNY)]]*Port[[#This Row],[CNY -&gt; FCY]]</f>
        <v>2301.764381344849</v>
      </c>
      <c r="AD531" s="507">
        <f>Port[[#This Row],[EAD_Drawn (CNY)]]*Port[[#This Row],[CNY -&gt; THB]]</f>
        <v>26244000</v>
      </c>
      <c r="AE531" s="507">
        <f>Port[[#This Row],[EAD_Undrawn (CNY)]]*Port[[#This Row],[CNY -&gt; THB]]</f>
        <v>0</v>
      </c>
      <c r="AF531" s="507">
        <f>Port[[#This Row],[EAD (CNY)]]*Port[[#This Row],[CNY -&gt; THB]]</f>
        <v>26244000</v>
      </c>
      <c r="AG531" s="507">
        <f>Port[[#This Row],[EAD_Interest (CNY)]]*Port[[#This Row],[CNY -&gt; THB]]</f>
        <v>654350.41749599995</v>
      </c>
      <c r="AH531" s="507">
        <f>Port[[#This Row],[ECL_Drawn (CNY)]]*Port[[#This Row],[CNY -&gt; THB]]</f>
        <v>484552.16156823811</v>
      </c>
      <c r="AI531" s="507">
        <f>Port[[#This Row],[ECL_Undrawn (CNY)]]*Port[[#This Row],[CNY -&gt; THB]]</f>
        <v>0</v>
      </c>
      <c r="AJ531" s="507">
        <f>Port[[#This Row],[ECL (CNY)]]*Port[[#This Row],[CNY -&gt; THB]]</f>
        <v>484552.16156823811</v>
      </c>
      <c r="AK531" s="507">
        <f>Port[[#This Row],[ECL_Interest (CNY)]]*Port[[#This Row],[CNY -&gt; THB]]</f>
        <v>12081.500884802843</v>
      </c>
      <c r="AL531" s="507">
        <f>Port[[#This Row],[EAD (THB)]]*Port[[#This Row],[PD_avg]]</f>
        <v>538391.29063137562</v>
      </c>
      <c r="AM531" s="507">
        <f>Port[[#This Row],[EAD_Interest (THB)]]*Port[[#This Row],[PD_avg]]</f>
        <v>13423.889872003158</v>
      </c>
      <c r="AN531" s="507">
        <f>Port[[#This Row],[EAD (THB)]]*Port[[#This Row],[LGD_avg]]</f>
        <v>23619600.000000004</v>
      </c>
      <c r="AO531" s="507">
        <f>Port[[#This Row],[EAD_Interest (THB)]]*Port[[#This Row],[LGD_avg]]</f>
        <v>588915.3757464001</v>
      </c>
      <c r="AP531" s="507">
        <f>Port[[#This Row],[EAD_Drawn (THB)]]+Port[[#This Row],[EAD_Interest (THB)]]</f>
        <v>26898350.417495999</v>
      </c>
      <c r="AQ5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</v>
      </c>
      <c r="AR531" s="522">
        <f>MAX(Port[[#This Row],[ECL (THB)]]+Port[[#This Row],[ECL_Interest (THB)]], Port[[#This Row],[ECL CBIRC (THB)]])</f>
        <v>496633.66245304095</v>
      </c>
    </row>
    <row r="532" spans="1:44">
      <c r="A532" s="2" t="s">
        <v>1249</v>
      </c>
      <c r="B532" s="2" t="s">
        <v>1250</v>
      </c>
      <c r="C532" s="2" t="s">
        <v>328</v>
      </c>
      <c r="D532" s="2" t="s">
        <v>18</v>
      </c>
      <c r="E532" s="2" t="s">
        <v>19</v>
      </c>
      <c r="F532" s="2" t="s">
        <v>20</v>
      </c>
      <c r="G532" s="2" t="s">
        <v>21</v>
      </c>
      <c r="H532">
        <v>1</v>
      </c>
      <c r="I532" s="2" t="s">
        <v>526</v>
      </c>
      <c r="J532" s="505">
        <v>1.3043899345507868E-2</v>
      </c>
      <c r="K532" s="505">
        <v>0.9</v>
      </c>
      <c r="L532" s="3">
        <v>1</v>
      </c>
      <c r="M532" s="3">
        <v>5.2488000000000001</v>
      </c>
      <c r="N532" s="507">
        <v>592541.93999999994</v>
      </c>
      <c r="O532" s="507">
        <v>0</v>
      </c>
      <c r="P532" s="507">
        <v>592541.93999999994</v>
      </c>
      <c r="Q532" s="507">
        <v>15751.74</v>
      </c>
      <c r="R532" s="507">
        <v>6956.1516810167659</v>
      </c>
      <c r="S532" s="507">
        <v>0</v>
      </c>
      <c r="T532" s="507">
        <v>6956.1516810167659</v>
      </c>
      <c r="U532" s="507">
        <v>184.91769996894911</v>
      </c>
      <c r="V532" s="507">
        <f>Port[[#This Row],[EAD_Drawn (CNY)]]*Port[[#This Row],[CNY -&gt; FCY]]</f>
        <v>592541.93999999994</v>
      </c>
      <c r="W532" s="507">
        <f>Port[[#This Row],[EAD_Undrawn (CNY)]]*Port[[#This Row],[CNY -&gt; FCY]]</f>
        <v>0</v>
      </c>
      <c r="X532" s="507">
        <f>Port[[#This Row],[EAD (CNY)]]*Port[[#This Row],[CNY -&gt; FCY]]</f>
        <v>592541.93999999994</v>
      </c>
      <c r="Y532" s="507">
        <f>Port[[#This Row],[EAD_Interest (CNY)]]*Port[[#This Row],[CNY -&gt; FCY]]</f>
        <v>15751.74</v>
      </c>
      <c r="Z532" s="507">
        <f>Port[[#This Row],[ECL_Drawn (CNY)]]*Port[[#This Row],[CNY -&gt; FCY]]</f>
        <v>6956.1516810167659</v>
      </c>
      <c r="AA532" s="507">
        <f>Port[[#This Row],[ECL_Undrawn (CNY)]]*Port[[#This Row],[CNY -&gt; FCY]]</f>
        <v>0</v>
      </c>
      <c r="AB532" s="507">
        <f>Port[[#This Row],[ECL (CNY)]]*Port[[#This Row],[CNY -&gt; FCY]]</f>
        <v>6956.1516810167659</v>
      </c>
      <c r="AC532" s="507">
        <f>Port[[#This Row],[ECL_Interest (CNY)]]*Port[[#This Row],[CNY -&gt; FCY]]</f>
        <v>184.91769996894911</v>
      </c>
      <c r="AD532" s="507">
        <f>Port[[#This Row],[EAD_Drawn (CNY)]]*Port[[#This Row],[CNY -&gt; THB]]</f>
        <v>3110134.1346719996</v>
      </c>
      <c r="AE532" s="507">
        <f>Port[[#This Row],[EAD_Undrawn (CNY)]]*Port[[#This Row],[CNY -&gt; THB]]</f>
        <v>0</v>
      </c>
      <c r="AF532" s="507">
        <f>Port[[#This Row],[EAD (CNY)]]*Port[[#This Row],[CNY -&gt; THB]]</f>
        <v>3110134.1346719996</v>
      </c>
      <c r="AG532" s="507">
        <f>Port[[#This Row],[EAD_Interest (CNY)]]*Port[[#This Row],[CNY -&gt; THB]]</f>
        <v>82677.732912000007</v>
      </c>
      <c r="AH532" s="507">
        <f>Port[[#This Row],[ECL_Drawn (CNY)]]*Port[[#This Row],[CNY -&gt; THB]]</f>
        <v>36511.4489433208</v>
      </c>
      <c r="AI532" s="507">
        <f>Port[[#This Row],[ECL_Undrawn (CNY)]]*Port[[#This Row],[CNY -&gt; THB]]</f>
        <v>0</v>
      </c>
      <c r="AJ532" s="507">
        <f>Port[[#This Row],[ECL (CNY)]]*Port[[#This Row],[CNY -&gt; THB]]</f>
        <v>36511.4489433208</v>
      </c>
      <c r="AK532" s="507">
        <f>Port[[#This Row],[ECL_Interest (CNY)]]*Port[[#This Row],[CNY -&gt; THB]]</f>
        <v>970.59602359702012</v>
      </c>
      <c r="AL532" s="507">
        <f>Port[[#This Row],[EAD (THB)]]*Port[[#This Row],[PD_avg]]</f>
        <v>40568.276603689774</v>
      </c>
      <c r="AM532" s="507">
        <f>Port[[#This Row],[EAD_Interest (THB)]]*Port[[#This Row],[PD_avg]]</f>
        <v>1078.4400262189113</v>
      </c>
      <c r="AN532" s="507">
        <f>Port[[#This Row],[EAD (THB)]]*Port[[#This Row],[LGD_avg]]</f>
        <v>2799120.7212047996</v>
      </c>
      <c r="AO532" s="507">
        <f>Port[[#This Row],[EAD_Interest (THB)]]*Port[[#This Row],[LGD_avg]]</f>
        <v>74409.959620800015</v>
      </c>
      <c r="AP532" s="507">
        <f>Port[[#This Row],[EAD_Drawn (THB)]]+Port[[#This Row],[EAD_Interest (THB)]]</f>
        <v>3192811.8675839994</v>
      </c>
      <c r="AQ5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46652.012020079994</v>
      </c>
      <c r="AR532" s="522">
        <f>MAX(Port[[#This Row],[ECL (THB)]]+Port[[#This Row],[ECL_Interest (THB)]], Port[[#This Row],[ECL CBIRC (THB)]])</f>
        <v>46652.012020079994</v>
      </c>
    </row>
    <row r="533" spans="1:44">
      <c r="A533" s="2" t="s">
        <v>1251</v>
      </c>
      <c r="B533" s="2" t="s">
        <v>1252</v>
      </c>
      <c r="C533" s="2" t="s">
        <v>328</v>
      </c>
      <c r="D533" s="2" t="s">
        <v>18</v>
      </c>
      <c r="E533" s="2" t="s">
        <v>19</v>
      </c>
      <c r="F533" s="2" t="s">
        <v>20</v>
      </c>
      <c r="G533" s="2" t="s">
        <v>21</v>
      </c>
      <c r="H533">
        <v>1</v>
      </c>
      <c r="I533" s="2" t="s">
        <v>526</v>
      </c>
      <c r="J533" s="505">
        <v>1.3043899345507868E-2</v>
      </c>
      <c r="K533" s="505">
        <v>0.9</v>
      </c>
      <c r="L533" s="3">
        <v>1</v>
      </c>
      <c r="M533" s="3">
        <v>5.2488000000000001</v>
      </c>
      <c r="N533" s="507">
        <v>438324.96</v>
      </c>
      <c r="O533" s="507">
        <v>0</v>
      </c>
      <c r="P533" s="507">
        <v>438324.96</v>
      </c>
      <c r="Q533" s="507">
        <v>11652.14</v>
      </c>
      <c r="R533" s="507">
        <v>5145.7199929773869</v>
      </c>
      <c r="S533" s="507">
        <v>0</v>
      </c>
      <c r="T533" s="507">
        <v>5145.7199929773869</v>
      </c>
      <c r="U533" s="507">
        <v>136.79040718778944</v>
      </c>
      <c r="V533" s="507">
        <f>Port[[#This Row],[EAD_Drawn (CNY)]]*Port[[#This Row],[CNY -&gt; FCY]]</f>
        <v>438324.96</v>
      </c>
      <c r="W533" s="507">
        <f>Port[[#This Row],[EAD_Undrawn (CNY)]]*Port[[#This Row],[CNY -&gt; FCY]]</f>
        <v>0</v>
      </c>
      <c r="X533" s="507">
        <f>Port[[#This Row],[EAD (CNY)]]*Port[[#This Row],[CNY -&gt; FCY]]</f>
        <v>438324.96</v>
      </c>
      <c r="Y533" s="507">
        <f>Port[[#This Row],[EAD_Interest (CNY)]]*Port[[#This Row],[CNY -&gt; FCY]]</f>
        <v>11652.14</v>
      </c>
      <c r="Z533" s="507">
        <f>Port[[#This Row],[ECL_Drawn (CNY)]]*Port[[#This Row],[CNY -&gt; FCY]]</f>
        <v>5145.7199929773869</v>
      </c>
      <c r="AA533" s="507">
        <f>Port[[#This Row],[ECL_Undrawn (CNY)]]*Port[[#This Row],[CNY -&gt; FCY]]</f>
        <v>0</v>
      </c>
      <c r="AB533" s="507">
        <f>Port[[#This Row],[ECL (CNY)]]*Port[[#This Row],[CNY -&gt; FCY]]</f>
        <v>5145.7199929773869</v>
      </c>
      <c r="AC533" s="507">
        <f>Port[[#This Row],[ECL_Interest (CNY)]]*Port[[#This Row],[CNY -&gt; FCY]]</f>
        <v>136.79040718778944</v>
      </c>
      <c r="AD533" s="507">
        <f>Port[[#This Row],[EAD_Drawn (CNY)]]*Port[[#This Row],[CNY -&gt; THB]]</f>
        <v>2300680.0500480002</v>
      </c>
      <c r="AE533" s="507">
        <f>Port[[#This Row],[EAD_Undrawn (CNY)]]*Port[[#This Row],[CNY -&gt; THB]]</f>
        <v>0</v>
      </c>
      <c r="AF533" s="507">
        <f>Port[[#This Row],[EAD (CNY)]]*Port[[#This Row],[CNY -&gt; THB]]</f>
        <v>2300680.0500480002</v>
      </c>
      <c r="AG533" s="507">
        <f>Port[[#This Row],[EAD_Interest (CNY)]]*Port[[#This Row],[CNY -&gt; THB]]</f>
        <v>61159.752432000001</v>
      </c>
      <c r="AH533" s="507">
        <f>Port[[#This Row],[ECL_Drawn (CNY)]]*Port[[#This Row],[CNY -&gt; THB]]</f>
        <v>27008.85509913971</v>
      </c>
      <c r="AI533" s="507">
        <f>Port[[#This Row],[ECL_Undrawn (CNY)]]*Port[[#This Row],[CNY -&gt; THB]]</f>
        <v>0</v>
      </c>
      <c r="AJ533" s="507">
        <f>Port[[#This Row],[ECL (CNY)]]*Port[[#This Row],[CNY -&gt; THB]]</f>
        <v>27008.85509913971</v>
      </c>
      <c r="AK533" s="507">
        <f>Port[[#This Row],[ECL_Interest (CNY)]]*Port[[#This Row],[CNY -&gt; THB]]</f>
        <v>717.98548924726924</v>
      </c>
      <c r="AL533" s="507">
        <f>Port[[#This Row],[EAD (THB)]]*Port[[#This Row],[PD_avg]]</f>
        <v>30009.838999044117</v>
      </c>
      <c r="AM533" s="507">
        <f>Port[[#This Row],[EAD_Interest (THB)]]*Port[[#This Row],[PD_avg]]</f>
        <v>797.76165471918807</v>
      </c>
      <c r="AN533" s="507">
        <f>Port[[#This Row],[EAD (THB)]]*Port[[#This Row],[LGD_avg]]</f>
        <v>2070612.0450432003</v>
      </c>
      <c r="AO533" s="507">
        <f>Port[[#This Row],[EAD_Interest (THB)]]*Port[[#This Row],[LGD_avg]]</f>
        <v>55043.777188799999</v>
      </c>
      <c r="AP533" s="507">
        <f>Port[[#This Row],[EAD_Drawn (THB)]]+Port[[#This Row],[EAD_Interest (THB)]]</f>
        <v>2361839.8024800001</v>
      </c>
      <c r="AQ5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34510.200750720003</v>
      </c>
      <c r="AR533" s="522">
        <f>MAX(Port[[#This Row],[ECL (THB)]]+Port[[#This Row],[ECL_Interest (THB)]], Port[[#This Row],[ECL CBIRC (THB)]])</f>
        <v>34510.200750720003</v>
      </c>
    </row>
    <row r="534" spans="1:44">
      <c r="A534" s="2" t="s">
        <v>1253</v>
      </c>
      <c r="B534" s="2" t="s">
        <v>350</v>
      </c>
      <c r="C534" s="2" t="s">
        <v>328</v>
      </c>
      <c r="D534" s="2" t="s">
        <v>18</v>
      </c>
      <c r="E534" s="2" t="s">
        <v>19</v>
      </c>
      <c r="F534" s="2" t="s">
        <v>20</v>
      </c>
      <c r="G534" s="2" t="s">
        <v>21</v>
      </c>
      <c r="H534">
        <v>1</v>
      </c>
      <c r="I534" s="2" t="s">
        <v>526</v>
      </c>
      <c r="J534" s="505">
        <v>2.0514833509807026E-2</v>
      </c>
      <c r="K534" s="505">
        <v>0.9</v>
      </c>
      <c r="L534" s="3">
        <v>1</v>
      </c>
      <c r="M534" s="3">
        <v>5.2488000000000001</v>
      </c>
      <c r="N534" s="507">
        <v>2855785</v>
      </c>
      <c r="O534" s="507">
        <v>0</v>
      </c>
      <c r="P534" s="507">
        <v>2855785</v>
      </c>
      <c r="Q534" s="507">
        <v>71204.240000000005</v>
      </c>
      <c r="R534" s="507">
        <v>52727.358433323832</v>
      </c>
      <c r="S534" s="507">
        <v>0</v>
      </c>
      <c r="T534" s="507">
        <v>52727.358433323832</v>
      </c>
      <c r="U534" s="507">
        <v>1314.6688159131077</v>
      </c>
      <c r="V534" s="507">
        <f>Port[[#This Row],[EAD_Drawn (CNY)]]*Port[[#This Row],[CNY -&gt; FCY]]</f>
        <v>2855785</v>
      </c>
      <c r="W534" s="507">
        <f>Port[[#This Row],[EAD_Undrawn (CNY)]]*Port[[#This Row],[CNY -&gt; FCY]]</f>
        <v>0</v>
      </c>
      <c r="X534" s="507">
        <f>Port[[#This Row],[EAD (CNY)]]*Port[[#This Row],[CNY -&gt; FCY]]</f>
        <v>2855785</v>
      </c>
      <c r="Y534" s="507">
        <f>Port[[#This Row],[EAD_Interest (CNY)]]*Port[[#This Row],[CNY -&gt; FCY]]</f>
        <v>71204.240000000005</v>
      </c>
      <c r="Z534" s="507">
        <f>Port[[#This Row],[ECL_Drawn (CNY)]]*Port[[#This Row],[CNY -&gt; FCY]]</f>
        <v>52727.358433323832</v>
      </c>
      <c r="AA534" s="507">
        <f>Port[[#This Row],[ECL_Undrawn (CNY)]]*Port[[#This Row],[CNY -&gt; FCY]]</f>
        <v>0</v>
      </c>
      <c r="AB534" s="507">
        <f>Port[[#This Row],[ECL (CNY)]]*Port[[#This Row],[CNY -&gt; FCY]]</f>
        <v>52727.358433323832</v>
      </c>
      <c r="AC534" s="507">
        <f>Port[[#This Row],[ECL_Interest (CNY)]]*Port[[#This Row],[CNY -&gt; FCY]]</f>
        <v>1314.6688159131077</v>
      </c>
      <c r="AD534" s="507">
        <f>Port[[#This Row],[EAD_Drawn (CNY)]]*Port[[#This Row],[CNY -&gt; THB]]</f>
        <v>14989444.308</v>
      </c>
      <c r="AE534" s="507">
        <f>Port[[#This Row],[EAD_Undrawn (CNY)]]*Port[[#This Row],[CNY -&gt; THB]]</f>
        <v>0</v>
      </c>
      <c r="AF534" s="507">
        <f>Port[[#This Row],[EAD (CNY)]]*Port[[#This Row],[CNY -&gt; THB]]</f>
        <v>14989444.308</v>
      </c>
      <c r="AG534" s="507">
        <f>Port[[#This Row],[EAD_Interest (CNY)]]*Port[[#This Row],[CNY -&gt; THB]]</f>
        <v>373736.81491200003</v>
      </c>
      <c r="AH534" s="507">
        <f>Port[[#This Row],[ECL_Drawn (CNY)]]*Port[[#This Row],[CNY -&gt; THB]]</f>
        <v>276755.35894483014</v>
      </c>
      <c r="AI534" s="507">
        <f>Port[[#This Row],[ECL_Undrawn (CNY)]]*Port[[#This Row],[CNY -&gt; THB]]</f>
        <v>0</v>
      </c>
      <c r="AJ534" s="507">
        <f>Port[[#This Row],[ECL (CNY)]]*Port[[#This Row],[CNY -&gt; THB]]</f>
        <v>276755.35894483014</v>
      </c>
      <c r="AK534" s="507">
        <f>Port[[#This Row],[ECL_Interest (CNY)]]*Port[[#This Row],[CNY -&gt; THB]]</f>
        <v>6900.4336809647193</v>
      </c>
      <c r="AL534" s="507">
        <f>Port[[#This Row],[EAD (THB)]]*Port[[#This Row],[PD_avg]]</f>
        <v>307505.95438314462</v>
      </c>
      <c r="AM534" s="507">
        <f>Port[[#This Row],[EAD_Interest (THB)]]*Port[[#This Row],[PD_avg]]</f>
        <v>7667.1485344052444</v>
      </c>
      <c r="AN534" s="507">
        <f>Port[[#This Row],[EAD (THB)]]*Port[[#This Row],[LGD_avg]]</f>
        <v>13490499.8772</v>
      </c>
      <c r="AO534" s="507">
        <f>Port[[#This Row],[EAD_Interest (THB)]]*Port[[#This Row],[LGD_avg]]</f>
        <v>336363.13342080003</v>
      </c>
      <c r="AP534" s="507">
        <f>Port[[#This Row],[EAD_Drawn (THB)]]+Port[[#This Row],[EAD_Interest (THB)]]</f>
        <v>15363181.122912001</v>
      </c>
      <c r="AQ5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224841.66462</v>
      </c>
      <c r="AR534" s="522">
        <f>MAX(Port[[#This Row],[ECL (THB)]]+Port[[#This Row],[ECL_Interest (THB)]], Port[[#This Row],[ECL CBIRC (THB)]])</f>
        <v>283655.79262579483</v>
      </c>
    </row>
    <row r="535" spans="1:44">
      <c r="A535" s="2" t="s">
        <v>1254</v>
      </c>
      <c r="B535" s="2" t="s">
        <v>1255</v>
      </c>
      <c r="C535" s="2" t="s">
        <v>328</v>
      </c>
      <c r="D535" s="2" t="s">
        <v>18</v>
      </c>
      <c r="E535" s="2" t="s">
        <v>19</v>
      </c>
      <c r="F535" s="2" t="s">
        <v>20</v>
      </c>
      <c r="G535" s="2" t="s">
        <v>21</v>
      </c>
      <c r="H535">
        <v>1</v>
      </c>
      <c r="I535" s="2" t="s">
        <v>526</v>
      </c>
      <c r="J535" s="505">
        <v>1.3043899345507868E-2</v>
      </c>
      <c r="K535" s="505">
        <v>0.9</v>
      </c>
      <c r="L535" s="3">
        <v>1</v>
      </c>
      <c r="M535" s="3">
        <v>5.2488000000000001</v>
      </c>
      <c r="N535" s="507">
        <v>823085.11</v>
      </c>
      <c r="O535" s="507">
        <v>0</v>
      </c>
      <c r="P535" s="507">
        <v>823085.11</v>
      </c>
      <c r="Q535" s="507">
        <v>21754.6</v>
      </c>
      <c r="R535" s="507">
        <v>9662.6153948636456</v>
      </c>
      <c r="S535" s="507">
        <v>0</v>
      </c>
      <c r="T535" s="507">
        <v>9662.6153948636456</v>
      </c>
      <c r="U535" s="507">
        <v>255.38833143160693</v>
      </c>
      <c r="V535" s="507">
        <f>Port[[#This Row],[EAD_Drawn (CNY)]]*Port[[#This Row],[CNY -&gt; FCY]]</f>
        <v>823085.11</v>
      </c>
      <c r="W535" s="507">
        <f>Port[[#This Row],[EAD_Undrawn (CNY)]]*Port[[#This Row],[CNY -&gt; FCY]]</f>
        <v>0</v>
      </c>
      <c r="X535" s="507">
        <f>Port[[#This Row],[EAD (CNY)]]*Port[[#This Row],[CNY -&gt; FCY]]</f>
        <v>823085.11</v>
      </c>
      <c r="Y535" s="507">
        <f>Port[[#This Row],[EAD_Interest (CNY)]]*Port[[#This Row],[CNY -&gt; FCY]]</f>
        <v>21754.6</v>
      </c>
      <c r="Z535" s="507">
        <f>Port[[#This Row],[ECL_Drawn (CNY)]]*Port[[#This Row],[CNY -&gt; FCY]]</f>
        <v>9662.6153948636456</v>
      </c>
      <c r="AA535" s="507">
        <f>Port[[#This Row],[ECL_Undrawn (CNY)]]*Port[[#This Row],[CNY -&gt; FCY]]</f>
        <v>0</v>
      </c>
      <c r="AB535" s="507">
        <f>Port[[#This Row],[ECL (CNY)]]*Port[[#This Row],[CNY -&gt; FCY]]</f>
        <v>9662.6153948636456</v>
      </c>
      <c r="AC535" s="507">
        <f>Port[[#This Row],[ECL_Interest (CNY)]]*Port[[#This Row],[CNY -&gt; FCY]]</f>
        <v>255.38833143160693</v>
      </c>
      <c r="AD535" s="507">
        <f>Port[[#This Row],[EAD_Drawn (CNY)]]*Port[[#This Row],[CNY -&gt; THB]]</f>
        <v>4320209.125368</v>
      </c>
      <c r="AE535" s="507">
        <f>Port[[#This Row],[EAD_Undrawn (CNY)]]*Port[[#This Row],[CNY -&gt; THB]]</f>
        <v>0</v>
      </c>
      <c r="AF535" s="507">
        <f>Port[[#This Row],[EAD (CNY)]]*Port[[#This Row],[CNY -&gt; THB]]</f>
        <v>4320209.125368</v>
      </c>
      <c r="AG535" s="507">
        <f>Port[[#This Row],[EAD_Interest (CNY)]]*Port[[#This Row],[CNY -&gt; THB]]</f>
        <v>114185.54448</v>
      </c>
      <c r="AH535" s="507">
        <f>Port[[#This Row],[ECL_Drawn (CNY)]]*Port[[#This Row],[CNY -&gt; THB]]</f>
        <v>50717.135684560308</v>
      </c>
      <c r="AI535" s="507">
        <f>Port[[#This Row],[ECL_Undrawn (CNY)]]*Port[[#This Row],[CNY -&gt; THB]]</f>
        <v>0</v>
      </c>
      <c r="AJ535" s="507">
        <f>Port[[#This Row],[ECL (CNY)]]*Port[[#This Row],[CNY -&gt; THB]]</f>
        <v>50717.135684560308</v>
      </c>
      <c r="AK535" s="507">
        <f>Port[[#This Row],[ECL_Interest (CNY)]]*Port[[#This Row],[CNY -&gt; THB]]</f>
        <v>1340.4822740182185</v>
      </c>
      <c r="AL535" s="507">
        <f>Port[[#This Row],[EAD (THB)]]*Port[[#This Row],[PD_avg]]</f>
        <v>56352.372982844776</v>
      </c>
      <c r="AM535" s="507">
        <f>Port[[#This Row],[EAD_Interest (THB)]]*Port[[#This Row],[PD_avg]]</f>
        <v>1489.4247489091315</v>
      </c>
      <c r="AN535" s="507">
        <f>Port[[#This Row],[EAD (THB)]]*Port[[#This Row],[LGD_avg]]</f>
        <v>3888188.2128312001</v>
      </c>
      <c r="AO535" s="507">
        <f>Port[[#This Row],[EAD_Interest (THB)]]*Port[[#This Row],[LGD_avg]]</f>
        <v>102766.990032</v>
      </c>
      <c r="AP535" s="507">
        <f>Port[[#This Row],[EAD_Drawn (THB)]]+Port[[#This Row],[EAD_Interest (THB)]]</f>
        <v>4434394.6698479997</v>
      </c>
      <c r="AQ5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64803.136880519996</v>
      </c>
      <c r="AR535" s="522">
        <f>MAX(Port[[#This Row],[ECL (THB)]]+Port[[#This Row],[ECL_Interest (THB)]], Port[[#This Row],[ECL CBIRC (THB)]])</f>
        <v>64803.136880519996</v>
      </c>
    </row>
    <row r="536" spans="1:44">
      <c r="A536" s="2" t="s">
        <v>1256</v>
      </c>
      <c r="B536" s="2" t="s">
        <v>1257</v>
      </c>
      <c r="C536" s="2" t="s">
        <v>328</v>
      </c>
      <c r="D536" s="2" t="s">
        <v>18</v>
      </c>
      <c r="E536" s="2" t="s">
        <v>19</v>
      </c>
      <c r="F536" s="2" t="s">
        <v>20</v>
      </c>
      <c r="G536" s="2" t="s">
        <v>21</v>
      </c>
      <c r="H536">
        <v>1</v>
      </c>
      <c r="I536" s="2" t="s">
        <v>526</v>
      </c>
      <c r="J536" s="505">
        <v>1.3043899345507868E-2</v>
      </c>
      <c r="K536" s="505">
        <v>0.89999999999999991</v>
      </c>
      <c r="L536" s="3">
        <v>1</v>
      </c>
      <c r="M536" s="3">
        <v>5.2488000000000001</v>
      </c>
      <c r="N536" s="507">
        <v>1306360</v>
      </c>
      <c r="O536" s="507">
        <v>0</v>
      </c>
      <c r="P536" s="507">
        <v>1306360</v>
      </c>
      <c r="Q536" s="507">
        <v>34527.82</v>
      </c>
      <c r="R536" s="507">
        <v>15336.025514097893</v>
      </c>
      <c r="S536" s="507">
        <v>0</v>
      </c>
      <c r="T536" s="507">
        <v>15336.025514097893</v>
      </c>
      <c r="U536" s="507">
        <v>405.33966782983214</v>
      </c>
      <c r="V536" s="507">
        <f>Port[[#This Row],[EAD_Drawn (CNY)]]*Port[[#This Row],[CNY -&gt; FCY]]</f>
        <v>1306360</v>
      </c>
      <c r="W536" s="507">
        <f>Port[[#This Row],[EAD_Undrawn (CNY)]]*Port[[#This Row],[CNY -&gt; FCY]]</f>
        <v>0</v>
      </c>
      <c r="X536" s="507">
        <f>Port[[#This Row],[EAD (CNY)]]*Port[[#This Row],[CNY -&gt; FCY]]</f>
        <v>1306360</v>
      </c>
      <c r="Y536" s="507">
        <f>Port[[#This Row],[EAD_Interest (CNY)]]*Port[[#This Row],[CNY -&gt; FCY]]</f>
        <v>34527.82</v>
      </c>
      <c r="Z536" s="507">
        <f>Port[[#This Row],[ECL_Drawn (CNY)]]*Port[[#This Row],[CNY -&gt; FCY]]</f>
        <v>15336.025514097893</v>
      </c>
      <c r="AA536" s="507">
        <f>Port[[#This Row],[ECL_Undrawn (CNY)]]*Port[[#This Row],[CNY -&gt; FCY]]</f>
        <v>0</v>
      </c>
      <c r="AB536" s="507">
        <f>Port[[#This Row],[ECL (CNY)]]*Port[[#This Row],[CNY -&gt; FCY]]</f>
        <v>15336.025514097893</v>
      </c>
      <c r="AC536" s="507">
        <f>Port[[#This Row],[ECL_Interest (CNY)]]*Port[[#This Row],[CNY -&gt; FCY]]</f>
        <v>405.33966782983214</v>
      </c>
      <c r="AD536" s="507">
        <f>Port[[#This Row],[EAD_Drawn (CNY)]]*Port[[#This Row],[CNY -&gt; THB]]</f>
        <v>6856822.3679999998</v>
      </c>
      <c r="AE536" s="507">
        <f>Port[[#This Row],[EAD_Undrawn (CNY)]]*Port[[#This Row],[CNY -&gt; THB]]</f>
        <v>0</v>
      </c>
      <c r="AF536" s="507">
        <f>Port[[#This Row],[EAD (CNY)]]*Port[[#This Row],[CNY -&gt; THB]]</f>
        <v>6856822.3679999998</v>
      </c>
      <c r="AG536" s="507">
        <f>Port[[#This Row],[EAD_Interest (CNY)]]*Port[[#This Row],[CNY -&gt; THB]]</f>
        <v>181229.62161599999</v>
      </c>
      <c r="AH536" s="507">
        <f>Port[[#This Row],[ECL_Drawn (CNY)]]*Port[[#This Row],[CNY -&gt; THB]]</f>
        <v>80495.730718397026</v>
      </c>
      <c r="AI536" s="507">
        <f>Port[[#This Row],[ECL_Undrawn (CNY)]]*Port[[#This Row],[CNY -&gt; THB]]</f>
        <v>0</v>
      </c>
      <c r="AJ536" s="507">
        <f>Port[[#This Row],[ECL (CNY)]]*Port[[#This Row],[CNY -&gt; THB]]</f>
        <v>80495.730718397026</v>
      </c>
      <c r="AK536" s="507">
        <f>Port[[#This Row],[ECL_Interest (CNY)]]*Port[[#This Row],[CNY -&gt; THB]]</f>
        <v>2127.5468485052229</v>
      </c>
      <c r="AL536" s="507">
        <f>Port[[#This Row],[EAD (THB)]]*Port[[#This Row],[PD_avg]]</f>
        <v>89439.70079821891</v>
      </c>
      <c r="AM536" s="507">
        <f>Port[[#This Row],[EAD_Interest (THB)]]*Port[[#This Row],[PD_avg]]</f>
        <v>2363.9409427835808</v>
      </c>
      <c r="AN536" s="507">
        <f>Port[[#This Row],[EAD (THB)]]*Port[[#This Row],[LGD_avg]]</f>
        <v>6171140.1311999988</v>
      </c>
      <c r="AO536" s="507">
        <f>Port[[#This Row],[EAD_Interest (THB)]]*Port[[#This Row],[LGD_avg]]</f>
        <v>163106.65945439998</v>
      </c>
      <c r="AP536" s="507">
        <f>Port[[#This Row],[EAD_Drawn (THB)]]+Port[[#This Row],[EAD_Interest (THB)]]</f>
        <v>7038051.9896160001</v>
      </c>
      <c r="AQ5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102852.33551999999</v>
      </c>
      <c r="AR536" s="522">
        <f>MAX(Port[[#This Row],[ECL (THB)]]+Port[[#This Row],[ECL_Interest (THB)]], Port[[#This Row],[ECL CBIRC (THB)]])</f>
        <v>102852.33551999999</v>
      </c>
    </row>
    <row r="537" spans="1:44">
      <c r="A537" s="2" t="s">
        <v>1258</v>
      </c>
      <c r="B537" s="2" t="s">
        <v>1259</v>
      </c>
      <c r="C537" s="2" t="s">
        <v>328</v>
      </c>
      <c r="D537" s="2" t="s">
        <v>18</v>
      </c>
      <c r="E537" s="2" t="s">
        <v>19</v>
      </c>
      <c r="F537" s="2" t="s">
        <v>20</v>
      </c>
      <c r="G537" s="2" t="s">
        <v>21</v>
      </c>
      <c r="H537">
        <v>1</v>
      </c>
      <c r="I537" s="2" t="s">
        <v>526</v>
      </c>
      <c r="J537" s="505">
        <v>1.3043899345507868E-2</v>
      </c>
      <c r="K537" s="505">
        <v>0.89999999999999991</v>
      </c>
      <c r="L537" s="3">
        <v>1</v>
      </c>
      <c r="M537" s="3">
        <v>5.2488000000000001</v>
      </c>
      <c r="N537" s="507">
        <v>1092295.79</v>
      </c>
      <c r="O537" s="507">
        <v>0</v>
      </c>
      <c r="P537" s="507">
        <v>1092295.79</v>
      </c>
      <c r="Q537" s="507">
        <v>28869.98</v>
      </c>
      <c r="R537" s="507">
        <v>12823.0167062538</v>
      </c>
      <c r="S537" s="507">
        <v>0</v>
      </c>
      <c r="T537" s="507">
        <v>12823.0167062538</v>
      </c>
      <c r="U537" s="507">
        <v>338.91940190414272</v>
      </c>
      <c r="V537" s="507">
        <f>Port[[#This Row],[EAD_Drawn (CNY)]]*Port[[#This Row],[CNY -&gt; FCY]]</f>
        <v>1092295.79</v>
      </c>
      <c r="W537" s="507">
        <f>Port[[#This Row],[EAD_Undrawn (CNY)]]*Port[[#This Row],[CNY -&gt; FCY]]</f>
        <v>0</v>
      </c>
      <c r="X537" s="507">
        <f>Port[[#This Row],[EAD (CNY)]]*Port[[#This Row],[CNY -&gt; FCY]]</f>
        <v>1092295.79</v>
      </c>
      <c r="Y537" s="507">
        <f>Port[[#This Row],[EAD_Interest (CNY)]]*Port[[#This Row],[CNY -&gt; FCY]]</f>
        <v>28869.98</v>
      </c>
      <c r="Z537" s="507">
        <f>Port[[#This Row],[ECL_Drawn (CNY)]]*Port[[#This Row],[CNY -&gt; FCY]]</f>
        <v>12823.0167062538</v>
      </c>
      <c r="AA537" s="507">
        <f>Port[[#This Row],[ECL_Undrawn (CNY)]]*Port[[#This Row],[CNY -&gt; FCY]]</f>
        <v>0</v>
      </c>
      <c r="AB537" s="507">
        <f>Port[[#This Row],[ECL (CNY)]]*Port[[#This Row],[CNY -&gt; FCY]]</f>
        <v>12823.0167062538</v>
      </c>
      <c r="AC537" s="507">
        <f>Port[[#This Row],[ECL_Interest (CNY)]]*Port[[#This Row],[CNY -&gt; FCY]]</f>
        <v>338.91940190414272</v>
      </c>
      <c r="AD537" s="507">
        <f>Port[[#This Row],[EAD_Drawn (CNY)]]*Port[[#This Row],[CNY -&gt; THB]]</f>
        <v>5733242.1425520005</v>
      </c>
      <c r="AE537" s="507">
        <f>Port[[#This Row],[EAD_Undrawn (CNY)]]*Port[[#This Row],[CNY -&gt; THB]]</f>
        <v>0</v>
      </c>
      <c r="AF537" s="507">
        <f>Port[[#This Row],[EAD (CNY)]]*Port[[#This Row],[CNY -&gt; THB]]</f>
        <v>5733242.1425520005</v>
      </c>
      <c r="AG537" s="507">
        <f>Port[[#This Row],[EAD_Interest (CNY)]]*Port[[#This Row],[CNY -&gt; THB]]</f>
        <v>151532.751024</v>
      </c>
      <c r="AH537" s="507">
        <f>Port[[#This Row],[ECL_Drawn (CNY)]]*Port[[#This Row],[CNY -&gt; THB]]</f>
        <v>67305.45008778495</v>
      </c>
      <c r="AI537" s="507">
        <f>Port[[#This Row],[ECL_Undrawn (CNY)]]*Port[[#This Row],[CNY -&gt; THB]]</f>
        <v>0</v>
      </c>
      <c r="AJ537" s="507">
        <f>Port[[#This Row],[ECL (CNY)]]*Port[[#This Row],[CNY -&gt; THB]]</f>
        <v>67305.45008778495</v>
      </c>
      <c r="AK537" s="507">
        <f>Port[[#This Row],[ECL_Interest (CNY)]]*Port[[#This Row],[CNY -&gt; THB]]</f>
        <v>1778.9201567144644</v>
      </c>
      <c r="AL537" s="507">
        <f>Port[[#This Row],[EAD (THB)]]*Port[[#This Row],[PD_avg]]</f>
        <v>74783.833430872168</v>
      </c>
      <c r="AM537" s="507">
        <f>Port[[#This Row],[EAD_Interest (THB)]]*Port[[#This Row],[PD_avg]]</f>
        <v>1976.5779519049604</v>
      </c>
      <c r="AN537" s="507">
        <f>Port[[#This Row],[EAD (THB)]]*Port[[#This Row],[LGD_avg]]</f>
        <v>5159917.9282967998</v>
      </c>
      <c r="AO537" s="507">
        <f>Port[[#This Row],[EAD_Interest (THB)]]*Port[[#This Row],[LGD_avg]]</f>
        <v>136379.47592159998</v>
      </c>
      <c r="AP537" s="507">
        <f>Port[[#This Row],[EAD_Drawn (THB)]]+Port[[#This Row],[EAD_Interest (THB)]]</f>
        <v>5884774.8935760008</v>
      </c>
      <c r="AQ5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85998.632138280009</v>
      </c>
      <c r="AR537" s="522">
        <f>MAX(Port[[#This Row],[ECL (THB)]]+Port[[#This Row],[ECL_Interest (THB)]], Port[[#This Row],[ECL CBIRC (THB)]])</f>
        <v>85998.632138280009</v>
      </c>
    </row>
    <row r="538" spans="1:44">
      <c r="A538" s="2" t="s">
        <v>1260</v>
      </c>
      <c r="B538" s="2" t="s">
        <v>1261</v>
      </c>
      <c r="C538" s="2" t="s">
        <v>328</v>
      </c>
      <c r="D538" s="2" t="s">
        <v>18</v>
      </c>
      <c r="E538" s="2" t="s">
        <v>19</v>
      </c>
      <c r="F538" s="2" t="s">
        <v>20</v>
      </c>
      <c r="G538" s="2" t="s">
        <v>21</v>
      </c>
      <c r="H538">
        <v>1</v>
      </c>
      <c r="I538" s="2" t="s">
        <v>526</v>
      </c>
      <c r="J538" s="505">
        <v>1.3043899345507868E-2</v>
      </c>
      <c r="K538" s="505">
        <v>0.89999999999999991</v>
      </c>
      <c r="L538" s="3">
        <v>1</v>
      </c>
      <c r="M538" s="3">
        <v>5.2488000000000001</v>
      </c>
      <c r="N538" s="507">
        <v>472429.55</v>
      </c>
      <c r="O538" s="507">
        <v>0</v>
      </c>
      <c r="P538" s="507">
        <v>472429.55</v>
      </c>
      <c r="Q538" s="507">
        <v>12486.58</v>
      </c>
      <c r="R538" s="507">
        <v>5546.0911482392185</v>
      </c>
      <c r="S538" s="507">
        <v>0</v>
      </c>
      <c r="T538" s="507">
        <v>5546.0911482392185</v>
      </c>
      <c r="U538" s="507">
        <v>146.58632342066849</v>
      </c>
      <c r="V538" s="507">
        <f>Port[[#This Row],[EAD_Drawn (CNY)]]*Port[[#This Row],[CNY -&gt; FCY]]</f>
        <v>472429.55</v>
      </c>
      <c r="W538" s="507">
        <f>Port[[#This Row],[EAD_Undrawn (CNY)]]*Port[[#This Row],[CNY -&gt; FCY]]</f>
        <v>0</v>
      </c>
      <c r="X538" s="507">
        <f>Port[[#This Row],[EAD (CNY)]]*Port[[#This Row],[CNY -&gt; FCY]]</f>
        <v>472429.55</v>
      </c>
      <c r="Y538" s="507">
        <f>Port[[#This Row],[EAD_Interest (CNY)]]*Port[[#This Row],[CNY -&gt; FCY]]</f>
        <v>12486.58</v>
      </c>
      <c r="Z538" s="507">
        <f>Port[[#This Row],[ECL_Drawn (CNY)]]*Port[[#This Row],[CNY -&gt; FCY]]</f>
        <v>5546.0911482392185</v>
      </c>
      <c r="AA538" s="507">
        <f>Port[[#This Row],[ECL_Undrawn (CNY)]]*Port[[#This Row],[CNY -&gt; FCY]]</f>
        <v>0</v>
      </c>
      <c r="AB538" s="507">
        <f>Port[[#This Row],[ECL (CNY)]]*Port[[#This Row],[CNY -&gt; FCY]]</f>
        <v>5546.0911482392185</v>
      </c>
      <c r="AC538" s="507">
        <f>Port[[#This Row],[ECL_Interest (CNY)]]*Port[[#This Row],[CNY -&gt; FCY]]</f>
        <v>146.58632342066849</v>
      </c>
      <c r="AD538" s="507">
        <f>Port[[#This Row],[EAD_Drawn (CNY)]]*Port[[#This Row],[CNY -&gt; THB]]</f>
        <v>2479688.2220399999</v>
      </c>
      <c r="AE538" s="507">
        <f>Port[[#This Row],[EAD_Undrawn (CNY)]]*Port[[#This Row],[CNY -&gt; THB]]</f>
        <v>0</v>
      </c>
      <c r="AF538" s="507">
        <f>Port[[#This Row],[EAD (CNY)]]*Port[[#This Row],[CNY -&gt; THB]]</f>
        <v>2479688.2220399999</v>
      </c>
      <c r="AG538" s="507">
        <f>Port[[#This Row],[EAD_Interest (CNY)]]*Port[[#This Row],[CNY -&gt; THB]]</f>
        <v>65539.561104000008</v>
      </c>
      <c r="AH538" s="507">
        <f>Port[[#This Row],[ECL_Drawn (CNY)]]*Port[[#This Row],[CNY -&gt; THB]]</f>
        <v>29110.323218878009</v>
      </c>
      <c r="AI538" s="507">
        <f>Port[[#This Row],[ECL_Undrawn (CNY)]]*Port[[#This Row],[CNY -&gt; THB]]</f>
        <v>0</v>
      </c>
      <c r="AJ538" s="507">
        <f>Port[[#This Row],[ECL (CNY)]]*Port[[#This Row],[CNY -&gt; THB]]</f>
        <v>29110.323218878009</v>
      </c>
      <c r="AK538" s="507">
        <f>Port[[#This Row],[ECL_Interest (CNY)]]*Port[[#This Row],[CNY -&gt; THB]]</f>
        <v>769.40229437040477</v>
      </c>
      <c r="AL538" s="507">
        <f>Port[[#This Row],[EAD (THB)]]*Port[[#This Row],[PD_avg]]</f>
        <v>32344.803576531125</v>
      </c>
      <c r="AM538" s="507">
        <f>Port[[#This Row],[EAD_Interest (THB)]]*Port[[#This Row],[PD_avg]]</f>
        <v>854.8914381893386</v>
      </c>
      <c r="AN538" s="507">
        <f>Port[[#This Row],[EAD (THB)]]*Port[[#This Row],[LGD_avg]]</f>
        <v>2231719.3998359996</v>
      </c>
      <c r="AO538" s="507">
        <f>Port[[#This Row],[EAD_Interest (THB)]]*Port[[#This Row],[LGD_avg]]</f>
        <v>58985.604993599998</v>
      </c>
      <c r="AP538" s="507">
        <f>Port[[#This Row],[EAD_Drawn (THB)]]+Port[[#This Row],[EAD_Interest (THB)]]</f>
        <v>2545227.783144</v>
      </c>
      <c r="AQ5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37195.323330599997</v>
      </c>
      <c r="AR538" s="522">
        <f>MAX(Port[[#This Row],[ECL (THB)]]+Port[[#This Row],[ECL_Interest (THB)]], Port[[#This Row],[ECL CBIRC (THB)]])</f>
        <v>37195.323330599997</v>
      </c>
    </row>
    <row r="539" spans="1:44">
      <c r="A539" s="2" t="s">
        <v>1262</v>
      </c>
      <c r="B539" s="2" t="s">
        <v>1263</v>
      </c>
      <c r="C539" s="2" t="s">
        <v>328</v>
      </c>
      <c r="D539" s="2" t="s">
        <v>18</v>
      </c>
      <c r="E539" s="2" t="s">
        <v>19</v>
      </c>
      <c r="F539" s="2" t="s">
        <v>20</v>
      </c>
      <c r="G539" s="2" t="s">
        <v>21</v>
      </c>
      <c r="H539">
        <v>1</v>
      </c>
      <c r="I539" s="2" t="s">
        <v>526</v>
      </c>
      <c r="J539" s="505">
        <v>1.3043899345507868E-2</v>
      </c>
      <c r="K539" s="505">
        <v>0.9</v>
      </c>
      <c r="L539" s="3">
        <v>1</v>
      </c>
      <c r="M539" s="3">
        <v>5.2488000000000001</v>
      </c>
      <c r="N539" s="507">
        <v>342238.8</v>
      </c>
      <c r="O539" s="507">
        <v>0</v>
      </c>
      <c r="P539" s="507">
        <v>342238.8</v>
      </c>
      <c r="Q539" s="507">
        <v>9045.56</v>
      </c>
      <c r="R539" s="507">
        <v>4017.7156133946582</v>
      </c>
      <c r="S539" s="507">
        <v>0</v>
      </c>
      <c r="T539" s="507">
        <v>4017.7156133946582</v>
      </c>
      <c r="U539" s="507">
        <v>106.19043674737694</v>
      </c>
      <c r="V539" s="507">
        <f>Port[[#This Row],[EAD_Drawn (CNY)]]*Port[[#This Row],[CNY -&gt; FCY]]</f>
        <v>342238.8</v>
      </c>
      <c r="W539" s="507">
        <f>Port[[#This Row],[EAD_Undrawn (CNY)]]*Port[[#This Row],[CNY -&gt; FCY]]</f>
        <v>0</v>
      </c>
      <c r="X539" s="507">
        <f>Port[[#This Row],[EAD (CNY)]]*Port[[#This Row],[CNY -&gt; FCY]]</f>
        <v>342238.8</v>
      </c>
      <c r="Y539" s="507">
        <f>Port[[#This Row],[EAD_Interest (CNY)]]*Port[[#This Row],[CNY -&gt; FCY]]</f>
        <v>9045.56</v>
      </c>
      <c r="Z539" s="507">
        <f>Port[[#This Row],[ECL_Drawn (CNY)]]*Port[[#This Row],[CNY -&gt; FCY]]</f>
        <v>4017.7156133946582</v>
      </c>
      <c r="AA539" s="507">
        <f>Port[[#This Row],[ECL_Undrawn (CNY)]]*Port[[#This Row],[CNY -&gt; FCY]]</f>
        <v>0</v>
      </c>
      <c r="AB539" s="507">
        <f>Port[[#This Row],[ECL (CNY)]]*Port[[#This Row],[CNY -&gt; FCY]]</f>
        <v>4017.7156133946582</v>
      </c>
      <c r="AC539" s="507">
        <f>Port[[#This Row],[ECL_Interest (CNY)]]*Port[[#This Row],[CNY -&gt; FCY]]</f>
        <v>106.19043674737694</v>
      </c>
      <c r="AD539" s="507">
        <f>Port[[#This Row],[EAD_Drawn (CNY)]]*Port[[#This Row],[CNY -&gt; THB]]</f>
        <v>1796343.0134399999</v>
      </c>
      <c r="AE539" s="507">
        <f>Port[[#This Row],[EAD_Undrawn (CNY)]]*Port[[#This Row],[CNY -&gt; THB]]</f>
        <v>0</v>
      </c>
      <c r="AF539" s="507">
        <f>Port[[#This Row],[EAD (CNY)]]*Port[[#This Row],[CNY -&gt; THB]]</f>
        <v>1796343.0134399999</v>
      </c>
      <c r="AG539" s="507">
        <f>Port[[#This Row],[EAD_Interest (CNY)]]*Port[[#This Row],[CNY -&gt; THB]]</f>
        <v>47478.335328000001</v>
      </c>
      <c r="AH539" s="507">
        <f>Port[[#This Row],[ECL_Drawn (CNY)]]*Port[[#This Row],[CNY -&gt; THB]]</f>
        <v>21088.185711585884</v>
      </c>
      <c r="AI539" s="507">
        <f>Port[[#This Row],[ECL_Undrawn (CNY)]]*Port[[#This Row],[CNY -&gt; THB]]</f>
        <v>0</v>
      </c>
      <c r="AJ539" s="507">
        <f>Port[[#This Row],[ECL (CNY)]]*Port[[#This Row],[CNY -&gt; THB]]</f>
        <v>21088.185711585884</v>
      </c>
      <c r="AK539" s="507">
        <f>Port[[#This Row],[ECL_Interest (CNY)]]*Port[[#This Row],[CNY -&gt; THB]]</f>
        <v>557.37236439963203</v>
      </c>
      <c r="AL539" s="507">
        <f>Port[[#This Row],[EAD (THB)]]*Port[[#This Row],[PD_avg]]</f>
        <v>23431.317457317647</v>
      </c>
      <c r="AM539" s="507">
        <f>Port[[#This Row],[EAD_Interest (THB)]]*Port[[#This Row],[PD_avg]]</f>
        <v>619.30262711070236</v>
      </c>
      <c r="AN539" s="507">
        <f>Port[[#This Row],[EAD (THB)]]*Port[[#This Row],[LGD_avg]]</f>
        <v>1616708.7120959999</v>
      </c>
      <c r="AO539" s="507">
        <f>Port[[#This Row],[EAD_Interest (THB)]]*Port[[#This Row],[LGD_avg]]</f>
        <v>42730.501795200005</v>
      </c>
      <c r="AP539" s="507">
        <f>Port[[#This Row],[EAD_Drawn (THB)]]+Port[[#This Row],[EAD_Interest (THB)]]</f>
        <v>1843821.3487679998</v>
      </c>
      <c r="AQ5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26945.145201599997</v>
      </c>
      <c r="AR539" s="522">
        <f>MAX(Port[[#This Row],[ECL (THB)]]+Port[[#This Row],[ECL_Interest (THB)]], Port[[#This Row],[ECL CBIRC (THB)]])</f>
        <v>26945.145201599997</v>
      </c>
    </row>
    <row r="540" spans="1:44">
      <c r="A540" s="2" t="s">
        <v>1264</v>
      </c>
      <c r="B540" s="2" t="s">
        <v>1265</v>
      </c>
      <c r="C540" s="2" t="s">
        <v>328</v>
      </c>
      <c r="D540" s="2" t="s">
        <v>18</v>
      </c>
      <c r="E540" s="2" t="s">
        <v>19</v>
      </c>
      <c r="F540" s="2" t="s">
        <v>20</v>
      </c>
      <c r="G540" s="2" t="s">
        <v>21</v>
      </c>
      <c r="H540">
        <v>1</v>
      </c>
      <c r="I540" s="2" t="s">
        <v>526</v>
      </c>
      <c r="J540" s="505">
        <v>1.3043899345507868E-2</v>
      </c>
      <c r="K540" s="505">
        <v>0.9</v>
      </c>
      <c r="L540" s="3">
        <v>1</v>
      </c>
      <c r="M540" s="3">
        <v>5.2488000000000001</v>
      </c>
      <c r="N540" s="507">
        <v>75838</v>
      </c>
      <c r="O540" s="507">
        <v>0</v>
      </c>
      <c r="P540" s="507">
        <v>75838</v>
      </c>
      <c r="Q540" s="507">
        <v>2004.44</v>
      </c>
      <c r="R540" s="507">
        <v>890.30091470816319</v>
      </c>
      <c r="S540" s="507">
        <v>0</v>
      </c>
      <c r="T540" s="507">
        <v>890.30091470816319</v>
      </c>
      <c r="U540" s="507">
        <v>23.531142243698813</v>
      </c>
      <c r="V540" s="507">
        <f>Port[[#This Row],[EAD_Drawn (CNY)]]*Port[[#This Row],[CNY -&gt; FCY]]</f>
        <v>75838</v>
      </c>
      <c r="W540" s="507">
        <f>Port[[#This Row],[EAD_Undrawn (CNY)]]*Port[[#This Row],[CNY -&gt; FCY]]</f>
        <v>0</v>
      </c>
      <c r="X540" s="507">
        <f>Port[[#This Row],[EAD (CNY)]]*Port[[#This Row],[CNY -&gt; FCY]]</f>
        <v>75838</v>
      </c>
      <c r="Y540" s="507">
        <f>Port[[#This Row],[EAD_Interest (CNY)]]*Port[[#This Row],[CNY -&gt; FCY]]</f>
        <v>2004.44</v>
      </c>
      <c r="Z540" s="507">
        <f>Port[[#This Row],[ECL_Drawn (CNY)]]*Port[[#This Row],[CNY -&gt; FCY]]</f>
        <v>890.30091470816319</v>
      </c>
      <c r="AA540" s="507">
        <f>Port[[#This Row],[ECL_Undrawn (CNY)]]*Port[[#This Row],[CNY -&gt; FCY]]</f>
        <v>0</v>
      </c>
      <c r="AB540" s="507">
        <f>Port[[#This Row],[ECL (CNY)]]*Port[[#This Row],[CNY -&gt; FCY]]</f>
        <v>890.30091470816319</v>
      </c>
      <c r="AC540" s="507">
        <f>Port[[#This Row],[ECL_Interest (CNY)]]*Port[[#This Row],[CNY -&gt; FCY]]</f>
        <v>23.531142243698813</v>
      </c>
      <c r="AD540" s="507">
        <f>Port[[#This Row],[EAD_Drawn (CNY)]]*Port[[#This Row],[CNY -&gt; THB]]</f>
        <v>398058.49440000003</v>
      </c>
      <c r="AE540" s="507">
        <f>Port[[#This Row],[EAD_Undrawn (CNY)]]*Port[[#This Row],[CNY -&gt; THB]]</f>
        <v>0</v>
      </c>
      <c r="AF540" s="507">
        <f>Port[[#This Row],[EAD (CNY)]]*Port[[#This Row],[CNY -&gt; THB]]</f>
        <v>398058.49440000003</v>
      </c>
      <c r="AG540" s="507">
        <f>Port[[#This Row],[EAD_Interest (CNY)]]*Port[[#This Row],[CNY -&gt; THB]]</f>
        <v>10520.904672000001</v>
      </c>
      <c r="AH540" s="507">
        <f>Port[[#This Row],[ECL_Drawn (CNY)]]*Port[[#This Row],[CNY -&gt; THB]]</f>
        <v>4673.0114411202067</v>
      </c>
      <c r="AI540" s="507">
        <f>Port[[#This Row],[ECL_Undrawn (CNY)]]*Port[[#This Row],[CNY -&gt; THB]]</f>
        <v>0</v>
      </c>
      <c r="AJ540" s="507">
        <f>Port[[#This Row],[ECL (CNY)]]*Port[[#This Row],[CNY -&gt; THB]]</f>
        <v>4673.0114411202067</v>
      </c>
      <c r="AK540" s="507">
        <f>Port[[#This Row],[ECL_Interest (CNY)]]*Port[[#This Row],[CNY -&gt; THB]]</f>
        <v>123.51025940872633</v>
      </c>
      <c r="AL540" s="507">
        <f>Port[[#This Row],[EAD (THB)]]*Port[[#This Row],[PD_avg]]</f>
        <v>5192.2349345780076</v>
      </c>
      <c r="AM540" s="507">
        <f>Port[[#This Row],[EAD_Interest (THB)]]*Port[[#This Row],[PD_avg]]</f>
        <v>137.23362156525147</v>
      </c>
      <c r="AN540" s="507">
        <f>Port[[#This Row],[EAD (THB)]]*Port[[#This Row],[LGD_avg]]</f>
        <v>358252.64496000001</v>
      </c>
      <c r="AO540" s="507">
        <f>Port[[#This Row],[EAD_Interest (THB)]]*Port[[#This Row],[LGD_avg]]</f>
        <v>9468.8142048000009</v>
      </c>
      <c r="AP540" s="507">
        <f>Port[[#This Row],[EAD_Drawn (THB)]]+Port[[#This Row],[EAD_Interest (THB)]]</f>
        <v>408579.399072</v>
      </c>
      <c r="AQ5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5970.8774160000003</v>
      </c>
      <c r="AR540" s="522">
        <f>MAX(Port[[#This Row],[ECL (THB)]]+Port[[#This Row],[ECL_Interest (THB)]], Port[[#This Row],[ECL CBIRC (THB)]])</f>
        <v>5970.8774160000003</v>
      </c>
    </row>
    <row r="541" spans="1:44">
      <c r="A541" s="2" t="s">
        <v>1266</v>
      </c>
      <c r="B541" s="2" t="s">
        <v>1267</v>
      </c>
      <c r="C541" s="2" t="s">
        <v>328</v>
      </c>
      <c r="D541" s="2" t="s">
        <v>18</v>
      </c>
      <c r="E541" s="2" t="s">
        <v>19</v>
      </c>
      <c r="F541" s="2" t="s">
        <v>20</v>
      </c>
      <c r="G541" s="2" t="s">
        <v>21</v>
      </c>
      <c r="H541">
        <v>1</v>
      </c>
      <c r="I541" s="2" t="s">
        <v>526</v>
      </c>
      <c r="J541" s="505">
        <v>1.3043899345507868E-2</v>
      </c>
      <c r="K541" s="505">
        <v>0.89999999999999991</v>
      </c>
      <c r="L541" s="3">
        <v>1</v>
      </c>
      <c r="M541" s="3">
        <v>5.2488000000000001</v>
      </c>
      <c r="N541" s="507">
        <v>352436.47999999998</v>
      </c>
      <c r="O541" s="507">
        <v>0</v>
      </c>
      <c r="P541" s="507">
        <v>352436.47999999998</v>
      </c>
      <c r="Q541" s="507">
        <v>9261.25</v>
      </c>
      <c r="R541" s="507">
        <v>4137.4313737245866</v>
      </c>
      <c r="S541" s="507">
        <v>0</v>
      </c>
      <c r="T541" s="507">
        <v>4137.4313737245866</v>
      </c>
      <c r="U541" s="507">
        <v>108.72253153222627</v>
      </c>
      <c r="V541" s="507">
        <f>Port[[#This Row],[EAD_Drawn (CNY)]]*Port[[#This Row],[CNY -&gt; FCY]]</f>
        <v>352436.47999999998</v>
      </c>
      <c r="W541" s="507">
        <f>Port[[#This Row],[EAD_Undrawn (CNY)]]*Port[[#This Row],[CNY -&gt; FCY]]</f>
        <v>0</v>
      </c>
      <c r="X541" s="507">
        <f>Port[[#This Row],[EAD (CNY)]]*Port[[#This Row],[CNY -&gt; FCY]]</f>
        <v>352436.47999999998</v>
      </c>
      <c r="Y541" s="507">
        <f>Port[[#This Row],[EAD_Interest (CNY)]]*Port[[#This Row],[CNY -&gt; FCY]]</f>
        <v>9261.25</v>
      </c>
      <c r="Z541" s="507">
        <f>Port[[#This Row],[ECL_Drawn (CNY)]]*Port[[#This Row],[CNY -&gt; FCY]]</f>
        <v>4137.4313737245866</v>
      </c>
      <c r="AA541" s="507">
        <f>Port[[#This Row],[ECL_Undrawn (CNY)]]*Port[[#This Row],[CNY -&gt; FCY]]</f>
        <v>0</v>
      </c>
      <c r="AB541" s="507">
        <f>Port[[#This Row],[ECL (CNY)]]*Port[[#This Row],[CNY -&gt; FCY]]</f>
        <v>4137.4313737245866</v>
      </c>
      <c r="AC541" s="507">
        <f>Port[[#This Row],[ECL_Interest (CNY)]]*Port[[#This Row],[CNY -&gt; FCY]]</f>
        <v>108.72253153222627</v>
      </c>
      <c r="AD541" s="507">
        <f>Port[[#This Row],[EAD_Drawn (CNY)]]*Port[[#This Row],[CNY -&gt; THB]]</f>
        <v>1849868.596224</v>
      </c>
      <c r="AE541" s="507">
        <f>Port[[#This Row],[EAD_Undrawn (CNY)]]*Port[[#This Row],[CNY -&gt; THB]]</f>
        <v>0</v>
      </c>
      <c r="AF541" s="507">
        <f>Port[[#This Row],[EAD (CNY)]]*Port[[#This Row],[CNY -&gt; THB]]</f>
        <v>1849868.596224</v>
      </c>
      <c r="AG541" s="507">
        <f>Port[[#This Row],[EAD_Interest (CNY)]]*Port[[#This Row],[CNY -&gt; THB]]</f>
        <v>48610.449000000001</v>
      </c>
      <c r="AH541" s="507">
        <f>Port[[#This Row],[ECL_Drawn (CNY)]]*Port[[#This Row],[CNY -&gt; THB]]</f>
        <v>21716.549794405611</v>
      </c>
      <c r="AI541" s="507">
        <f>Port[[#This Row],[ECL_Undrawn (CNY)]]*Port[[#This Row],[CNY -&gt; THB]]</f>
        <v>0</v>
      </c>
      <c r="AJ541" s="507">
        <f>Port[[#This Row],[ECL (CNY)]]*Port[[#This Row],[CNY -&gt; THB]]</f>
        <v>21716.549794405611</v>
      </c>
      <c r="AK541" s="507">
        <f>Port[[#This Row],[ECL_Interest (CNY)]]*Port[[#This Row],[CNY -&gt; THB]]</f>
        <v>570.66282350634924</v>
      </c>
      <c r="AL541" s="507">
        <f>Port[[#This Row],[EAD (THB)]]*Port[[#This Row],[PD_avg]]</f>
        <v>24129.499771561794</v>
      </c>
      <c r="AM541" s="507">
        <f>Port[[#This Row],[EAD_Interest (THB)]]*Port[[#This Row],[PD_avg]]</f>
        <v>634.06980389594366</v>
      </c>
      <c r="AN541" s="507">
        <f>Port[[#This Row],[EAD (THB)]]*Port[[#This Row],[LGD_avg]]</f>
        <v>1664881.7366015997</v>
      </c>
      <c r="AO541" s="507">
        <f>Port[[#This Row],[EAD_Interest (THB)]]*Port[[#This Row],[LGD_avg]]</f>
        <v>43749.4041</v>
      </c>
      <c r="AP541" s="507">
        <f>Port[[#This Row],[EAD_Drawn (THB)]]+Port[[#This Row],[EAD_Interest (THB)]]</f>
        <v>1898479.045224</v>
      </c>
      <c r="AQ5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27748.028943359997</v>
      </c>
      <c r="AR541" s="522">
        <f>MAX(Port[[#This Row],[ECL (THB)]]+Port[[#This Row],[ECL_Interest (THB)]], Port[[#This Row],[ECL CBIRC (THB)]])</f>
        <v>27748.028943359997</v>
      </c>
    </row>
    <row r="542" spans="1:44">
      <c r="A542" s="2" t="s">
        <v>1268</v>
      </c>
      <c r="B542" s="2" t="s">
        <v>1269</v>
      </c>
      <c r="C542" s="2" t="s">
        <v>328</v>
      </c>
      <c r="D542" s="2" t="s">
        <v>18</v>
      </c>
      <c r="E542" s="2" t="s">
        <v>19</v>
      </c>
      <c r="F542" s="2" t="s">
        <v>20</v>
      </c>
      <c r="G542" s="2" t="s">
        <v>21</v>
      </c>
      <c r="H542">
        <v>1</v>
      </c>
      <c r="I542" s="2" t="s">
        <v>526</v>
      </c>
      <c r="J542" s="505">
        <v>1.3043899345507868E-2</v>
      </c>
      <c r="K542" s="505">
        <v>0.90000000000000013</v>
      </c>
      <c r="L542" s="3">
        <v>1</v>
      </c>
      <c r="M542" s="3">
        <v>5.2488000000000001</v>
      </c>
      <c r="N542" s="507">
        <v>3872033.41</v>
      </c>
      <c r="O542" s="507">
        <v>0</v>
      </c>
      <c r="P542" s="507">
        <v>3872033.41</v>
      </c>
      <c r="Q542" s="507">
        <v>101748.43</v>
      </c>
      <c r="R542" s="507">
        <v>45455.772656235247</v>
      </c>
      <c r="S542" s="507">
        <v>0</v>
      </c>
      <c r="T542" s="507">
        <v>45455.772656235247</v>
      </c>
      <c r="U542" s="507">
        <v>1194.476651535108</v>
      </c>
      <c r="V542" s="507">
        <f>Port[[#This Row],[EAD_Drawn (CNY)]]*Port[[#This Row],[CNY -&gt; FCY]]</f>
        <v>3872033.41</v>
      </c>
      <c r="W542" s="507">
        <f>Port[[#This Row],[EAD_Undrawn (CNY)]]*Port[[#This Row],[CNY -&gt; FCY]]</f>
        <v>0</v>
      </c>
      <c r="X542" s="507">
        <f>Port[[#This Row],[EAD (CNY)]]*Port[[#This Row],[CNY -&gt; FCY]]</f>
        <v>3872033.41</v>
      </c>
      <c r="Y542" s="507">
        <f>Port[[#This Row],[EAD_Interest (CNY)]]*Port[[#This Row],[CNY -&gt; FCY]]</f>
        <v>101748.43</v>
      </c>
      <c r="Z542" s="507">
        <f>Port[[#This Row],[ECL_Drawn (CNY)]]*Port[[#This Row],[CNY -&gt; FCY]]</f>
        <v>45455.772656235247</v>
      </c>
      <c r="AA542" s="507">
        <f>Port[[#This Row],[ECL_Undrawn (CNY)]]*Port[[#This Row],[CNY -&gt; FCY]]</f>
        <v>0</v>
      </c>
      <c r="AB542" s="507">
        <f>Port[[#This Row],[ECL (CNY)]]*Port[[#This Row],[CNY -&gt; FCY]]</f>
        <v>45455.772656235247</v>
      </c>
      <c r="AC542" s="507">
        <f>Port[[#This Row],[ECL_Interest (CNY)]]*Port[[#This Row],[CNY -&gt; FCY]]</f>
        <v>1194.476651535108</v>
      </c>
      <c r="AD542" s="507">
        <f>Port[[#This Row],[EAD_Drawn (CNY)]]*Port[[#This Row],[CNY -&gt; THB]]</f>
        <v>20323528.962408002</v>
      </c>
      <c r="AE542" s="507">
        <f>Port[[#This Row],[EAD_Undrawn (CNY)]]*Port[[#This Row],[CNY -&gt; THB]]</f>
        <v>0</v>
      </c>
      <c r="AF542" s="507">
        <f>Port[[#This Row],[EAD (CNY)]]*Port[[#This Row],[CNY -&gt; THB]]</f>
        <v>20323528.962408002</v>
      </c>
      <c r="AG542" s="507">
        <f>Port[[#This Row],[EAD_Interest (CNY)]]*Port[[#This Row],[CNY -&gt; THB]]</f>
        <v>534057.159384</v>
      </c>
      <c r="AH542" s="507">
        <f>Port[[#This Row],[ECL_Drawn (CNY)]]*Port[[#This Row],[CNY -&gt; THB]]</f>
        <v>238588.25951804756</v>
      </c>
      <c r="AI542" s="507">
        <f>Port[[#This Row],[ECL_Undrawn (CNY)]]*Port[[#This Row],[CNY -&gt; THB]]</f>
        <v>0</v>
      </c>
      <c r="AJ542" s="507">
        <f>Port[[#This Row],[ECL (CNY)]]*Port[[#This Row],[CNY -&gt; THB]]</f>
        <v>238588.25951804756</v>
      </c>
      <c r="AK542" s="507">
        <f>Port[[#This Row],[ECL_Interest (CNY)]]*Port[[#This Row],[CNY -&gt; THB]]</f>
        <v>6269.5690485774749</v>
      </c>
      <c r="AL542" s="507">
        <f>Port[[#This Row],[EAD (THB)]]*Port[[#This Row],[PD_avg]]</f>
        <v>265098.06613116397</v>
      </c>
      <c r="AM542" s="507">
        <f>Port[[#This Row],[EAD_Interest (THB)]]*Port[[#This Row],[PD_avg]]</f>
        <v>6966.1878317527489</v>
      </c>
      <c r="AN542" s="507">
        <f>Port[[#This Row],[EAD (THB)]]*Port[[#This Row],[LGD_avg]]</f>
        <v>18291176.066167206</v>
      </c>
      <c r="AO542" s="507">
        <f>Port[[#This Row],[EAD_Interest (THB)]]*Port[[#This Row],[LGD_avg]]</f>
        <v>480651.44344560005</v>
      </c>
      <c r="AP542" s="507">
        <f>Port[[#This Row],[EAD_Drawn (THB)]]+Port[[#This Row],[EAD_Interest (THB)]]</f>
        <v>20857586.121792004</v>
      </c>
      <c r="AQ5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304852.93443612003</v>
      </c>
      <c r="AR542" s="522">
        <f>MAX(Port[[#This Row],[ECL (THB)]]+Port[[#This Row],[ECL_Interest (THB)]], Port[[#This Row],[ECL CBIRC (THB)]])</f>
        <v>304852.93443612003</v>
      </c>
    </row>
    <row r="543" spans="1:44">
      <c r="A543" s="2" t="s">
        <v>1270</v>
      </c>
      <c r="B543" s="2" t="s">
        <v>1271</v>
      </c>
      <c r="C543" s="2" t="s">
        <v>328</v>
      </c>
      <c r="D543" s="2" t="s">
        <v>18</v>
      </c>
      <c r="E543" s="2" t="s">
        <v>19</v>
      </c>
      <c r="F543" s="2" t="s">
        <v>20</v>
      </c>
      <c r="G543" s="2" t="s">
        <v>21</v>
      </c>
      <c r="H543">
        <v>1</v>
      </c>
      <c r="I543" s="2" t="s">
        <v>526</v>
      </c>
      <c r="J543" s="505">
        <v>1.3043899345507868E-2</v>
      </c>
      <c r="K543" s="505">
        <v>0.89999999999999991</v>
      </c>
      <c r="L543" s="3">
        <v>1</v>
      </c>
      <c r="M543" s="3">
        <v>5.2488000000000001</v>
      </c>
      <c r="N543" s="507">
        <v>157835.49</v>
      </c>
      <c r="O543" s="507">
        <v>0</v>
      </c>
      <c r="P543" s="507">
        <v>157835.49</v>
      </c>
      <c r="Q543" s="507">
        <v>4147.57</v>
      </c>
      <c r="R543" s="507">
        <v>1852.9112202380225</v>
      </c>
      <c r="S543" s="507">
        <v>0</v>
      </c>
      <c r="T543" s="507">
        <v>1852.9112202380225</v>
      </c>
      <c r="U543" s="507">
        <v>48.690437047603254</v>
      </c>
      <c r="V543" s="507">
        <f>Port[[#This Row],[EAD_Drawn (CNY)]]*Port[[#This Row],[CNY -&gt; FCY]]</f>
        <v>157835.49</v>
      </c>
      <c r="W543" s="507">
        <f>Port[[#This Row],[EAD_Undrawn (CNY)]]*Port[[#This Row],[CNY -&gt; FCY]]</f>
        <v>0</v>
      </c>
      <c r="X543" s="507">
        <f>Port[[#This Row],[EAD (CNY)]]*Port[[#This Row],[CNY -&gt; FCY]]</f>
        <v>157835.49</v>
      </c>
      <c r="Y543" s="507">
        <f>Port[[#This Row],[EAD_Interest (CNY)]]*Port[[#This Row],[CNY -&gt; FCY]]</f>
        <v>4147.57</v>
      </c>
      <c r="Z543" s="507">
        <f>Port[[#This Row],[ECL_Drawn (CNY)]]*Port[[#This Row],[CNY -&gt; FCY]]</f>
        <v>1852.9112202380225</v>
      </c>
      <c r="AA543" s="507">
        <f>Port[[#This Row],[ECL_Undrawn (CNY)]]*Port[[#This Row],[CNY -&gt; FCY]]</f>
        <v>0</v>
      </c>
      <c r="AB543" s="507">
        <f>Port[[#This Row],[ECL (CNY)]]*Port[[#This Row],[CNY -&gt; FCY]]</f>
        <v>1852.9112202380225</v>
      </c>
      <c r="AC543" s="507">
        <f>Port[[#This Row],[ECL_Interest (CNY)]]*Port[[#This Row],[CNY -&gt; FCY]]</f>
        <v>48.690437047603254</v>
      </c>
      <c r="AD543" s="507">
        <f>Port[[#This Row],[EAD_Drawn (CNY)]]*Port[[#This Row],[CNY -&gt; THB]]</f>
        <v>828446.91991199995</v>
      </c>
      <c r="AE543" s="507">
        <f>Port[[#This Row],[EAD_Undrawn (CNY)]]*Port[[#This Row],[CNY -&gt; THB]]</f>
        <v>0</v>
      </c>
      <c r="AF543" s="507">
        <f>Port[[#This Row],[EAD (CNY)]]*Port[[#This Row],[CNY -&gt; THB]]</f>
        <v>828446.91991199995</v>
      </c>
      <c r="AG543" s="507">
        <f>Port[[#This Row],[EAD_Interest (CNY)]]*Port[[#This Row],[CNY -&gt; THB]]</f>
        <v>21769.765415999998</v>
      </c>
      <c r="AH543" s="507">
        <f>Port[[#This Row],[ECL_Drawn (CNY)]]*Port[[#This Row],[CNY -&gt; THB]]</f>
        <v>9725.560412785333</v>
      </c>
      <c r="AI543" s="507">
        <f>Port[[#This Row],[ECL_Undrawn (CNY)]]*Port[[#This Row],[CNY -&gt; THB]]</f>
        <v>0</v>
      </c>
      <c r="AJ543" s="507">
        <f>Port[[#This Row],[ECL (CNY)]]*Port[[#This Row],[CNY -&gt; THB]]</f>
        <v>9725.560412785333</v>
      </c>
      <c r="AK543" s="507">
        <f>Port[[#This Row],[ECL_Interest (CNY)]]*Port[[#This Row],[CNY -&gt; THB]]</f>
        <v>255.56636597545997</v>
      </c>
      <c r="AL543" s="507">
        <f>Port[[#This Row],[EAD (THB)]]*Port[[#This Row],[PD_avg]]</f>
        <v>10806.178236428146</v>
      </c>
      <c r="AM543" s="507">
        <f>Port[[#This Row],[EAD_Interest (THB)]]*Port[[#This Row],[PD_avg]]</f>
        <v>283.96262886162219</v>
      </c>
      <c r="AN543" s="507">
        <f>Port[[#This Row],[EAD (THB)]]*Port[[#This Row],[LGD_avg]]</f>
        <v>745602.22792079987</v>
      </c>
      <c r="AO543" s="507">
        <f>Port[[#This Row],[EAD_Interest (THB)]]*Port[[#This Row],[LGD_avg]]</f>
        <v>19592.788874399997</v>
      </c>
      <c r="AP543" s="507">
        <f>Port[[#This Row],[EAD_Drawn (THB)]]+Port[[#This Row],[EAD_Interest (THB)]]</f>
        <v>850216.68532799999</v>
      </c>
      <c r="AQ5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12426.703798679999</v>
      </c>
      <c r="AR543" s="522">
        <f>MAX(Port[[#This Row],[ECL (THB)]]+Port[[#This Row],[ECL_Interest (THB)]], Port[[#This Row],[ECL CBIRC (THB)]])</f>
        <v>12426.703798679999</v>
      </c>
    </row>
    <row r="544" spans="1:44">
      <c r="A544" s="2" t="s">
        <v>1272</v>
      </c>
      <c r="B544" s="2" t="s">
        <v>1273</v>
      </c>
      <c r="C544" s="2" t="s">
        <v>328</v>
      </c>
      <c r="D544" s="2" t="s">
        <v>18</v>
      </c>
      <c r="E544" s="2" t="s">
        <v>19</v>
      </c>
      <c r="F544" s="2" t="s">
        <v>20</v>
      </c>
      <c r="G544" s="2" t="s">
        <v>21</v>
      </c>
      <c r="H544">
        <v>1</v>
      </c>
      <c r="I544" s="2" t="s">
        <v>526</v>
      </c>
      <c r="J544" s="505">
        <v>1.3043899345507868E-2</v>
      </c>
      <c r="K544" s="505">
        <v>0.9</v>
      </c>
      <c r="L544" s="3">
        <v>1</v>
      </c>
      <c r="M544" s="3">
        <v>5.2488000000000001</v>
      </c>
      <c r="N544" s="507">
        <v>1286378.06</v>
      </c>
      <c r="O544" s="507">
        <v>0</v>
      </c>
      <c r="P544" s="507">
        <v>1286378.06</v>
      </c>
      <c r="Q544" s="507">
        <v>33606.629999999997</v>
      </c>
      <c r="R544" s="507">
        <v>15101.447341418714</v>
      </c>
      <c r="S544" s="507">
        <v>0</v>
      </c>
      <c r="T544" s="507">
        <v>15101.447341418714</v>
      </c>
      <c r="U544" s="507">
        <v>394.52534915555253</v>
      </c>
      <c r="V544" s="507">
        <f>Port[[#This Row],[EAD_Drawn (CNY)]]*Port[[#This Row],[CNY -&gt; FCY]]</f>
        <v>1286378.06</v>
      </c>
      <c r="W544" s="507">
        <f>Port[[#This Row],[EAD_Undrawn (CNY)]]*Port[[#This Row],[CNY -&gt; FCY]]</f>
        <v>0</v>
      </c>
      <c r="X544" s="507">
        <f>Port[[#This Row],[EAD (CNY)]]*Port[[#This Row],[CNY -&gt; FCY]]</f>
        <v>1286378.06</v>
      </c>
      <c r="Y544" s="507">
        <f>Port[[#This Row],[EAD_Interest (CNY)]]*Port[[#This Row],[CNY -&gt; FCY]]</f>
        <v>33606.629999999997</v>
      </c>
      <c r="Z544" s="507">
        <f>Port[[#This Row],[ECL_Drawn (CNY)]]*Port[[#This Row],[CNY -&gt; FCY]]</f>
        <v>15101.447341418714</v>
      </c>
      <c r="AA544" s="507">
        <f>Port[[#This Row],[ECL_Undrawn (CNY)]]*Port[[#This Row],[CNY -&gt; FCY]]</f>
        <v>0</v>
      </c>
      <c r="AB544" s="507">
        <f>Port[[#This Row],[ECL (CNY)]]*Port[[#This Row],[CNY -&gt; FCY]]</f>
        <v>15101.447341418714</v>
      </c>
      <c r="AC544" s="507">
        <f>Port[[#This Row],[ECL_Interest (CNY)]]*Port[[#This Row],[CNY -&gt; FCY]]</f>
        <v>394.52534915555253</v>
      </c>
      <c r="AD544" s="507">
        <f>Port[[#This Row],[EAD_Drawn (CNY)]]*Port[[#This Row],[CNY -&gt; THB]]</f>
        <v>6751941.161328</v>
      </c>
      <c r="AE544" s="507">
        <f>Port[[#This Row],[EAD_Undrawn (CNY)]]*Port[[#This Row],[CNY -&gt; THB]]</f>
        <v>0</v>
      </c>
      <c r="AF544" s="507">
        <f>Port[[#This Row],[EAD (CNY)]]*Port[[#This Row],[CNY -&gt; THB]]</f>
        <v>6751941.161328</v>
      </c>
      <c r="AG544" s="507">
        <f>Port[[#This Row],[EAD_Interest (CNY)]]*Port[[#This Row],[CNY -&gt; THB]]</f>
        <v>176394.479544</v>
      </c>
      <c r="AH544" s="507">
        <f>Port[[#This Row],[ECL_Drawn (CNY)]]*Port[[#This Row],[CNY -&gt; THB]]</f>
        <v>79264.476805638551</v>
      </c>
      <c r="AI544" s="507">
        <f>Port[[#This Row],[ECL_Undrawn (CNY)]]*Port[[#This Row],[CNY -&gt; THB]]</f>
        <v>0</v>
      </c>
      <c r="AJ544" s="507">
        <f>Port[[#This Row],[ECL (CNY)]]*Port[[#This Row],[CNY -&gt; THB]]</f>
        <v>79264.476805638551</v>
      </c>
      <c r="AK544" s="507">
        <f>Port[[#This Row],[ECL_Interest (CNY)]]*Port[[#This Row],[CNY -&gt; THB]]</f>
        <v>2070.7846526476642</v>
      </c>
      <c r="AL544" s="507">
        <f>Port[[#This Row],[EAD (THB)]]*Port[[#This Row],[PD_avg]]</f>
        <v>88071.640895153934</v>
      </c>
      <c r="AM544" s="507">
        <f>Port[[#This Row],[EAD_Interest (THB)]]*Port[[#This Row],[PD_avg]]</f>
        <v>2300.8718362751829</v>
      </c>
      <c r="AN544" s="507">
        <f>Port[[#This Row],[EAD (THB)]]*Port[[#This Row],[LGD_avg]]</f>
        <v>6076747.0451952005</v>
      </c>
      <c r="AO544" s="507">
        <f>Port[[#This Row],[EAD_Interest (THB)]]*Port[[#This Row],[LGD_avg]]</f>
        <v>158755.0315896</v>
      </c>
      <c r="AP544" s="507">
        <f>Port[[#This Row],[EAD_Drawn (THB)]]+Port[[#This Row],[EAD_Interest (THB)]]</f>
        <v>6928335.6408719998</v>
      </c>
      <c r="AQ5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101279.11741992</v>
      </c>
      <c r="AR544" s="522">
        <f>MAX(Port[[#This Row],[ECL (THB)]]+Port[[#This Row],[ECL_Interest (THB)]], Port[[#This Row],[ECL CBIRC (THB)]])</f>
        <v>101279.11741992</v>
      </c>
    </row>
    <row r="545" spans="1:44">
      <c r="A545" s="2" t="s">
        <v>1274</v>
      </c>
      <c r="B545" s="2" t="s">
        <v>1275</v>
      </c>
      <c r="C545" s="2" t="s">
        <v>328</v>
      </c>
      <c r="D545" s="2" t="s">
        <v>18</v>
      </c>
      <c r="E545" s="2" t="s">
        <v>19</v>
      </c>
      <c r="F545" s="2" t="s">
        <v>20</v>
      </c>
      <c r="G545" s="2" t="s">
        <v>21</v>
      </c>
      <c r="H545">
        <v>1</v>
      </c>
      <c r="I545" s="2" t="s">
        <v>526</v>
      </c>
      <c r="J545" s="505">
        <v>1.3043899345507868E-2</v>
      </c>
      <c r="K545" s="505">
        <v>0.89999999999999991</v>
      </c>
      <c r="L545" s="3">
        <v>1</v>
      </c>
      <c r="M545" s="3">
        <v>5.2488000000000001</v>
      </c>
      <c r="N545" s="507">
        <v>652329.81999999995</v>
      </c>
      <c r="O545" s="507">
        <v>0</v>
      </c>
      <c r="P545" s="507">
        <v>652329.81999999995</v>
      </c>
      <c r="Q545" s="507">
        <v>16743.13</v>
      </c>
      <c r="R545" s="507">
        <v>7658.0320609379378</v>
      </c>
      <c r="S545" s="507">
        <v>0</v>
      </c>
      <c r="T545" s="507">
        <v>7658.0320609379378</v>
      </c>
      <c r="U545" s="507">
        <v>196.55613220387784</v>
      </c>
      <c r="V545" s="507">
        <f>Port[[#This Row],[EAD_Drawn (CNY)]]*Port[[#This Row],[CNY -&gt; FCY]]</f>
        <v>652329.81999999995</v>
      </c>
      <c r="W545" s="507">
        <f>Port[[#This Row],[EAD_Undrawn (CNY)]]*Port[[#This Row],[CNY -&gt; FCY]]</f>
        <v>0</v>
      </c>
      <c r="X545" s="507">
        <f>Port[[#This Row],[EAD (CNY)]]*Port[[#This Row],[CNY -&gt; FCY]]</f>
        <v>652329.81999999995</v>
      </c>
      <c r="Y545" s="507">
        <f>Port[[#This Row],[EAD_Interest (CNY)]]*Port[[#This Row],[CNY -&gt; FCY]]</f>
        <v>16743.13</v>
      </c>
      <c r="Z545" s="507">
        <f>Port[[#This Row],[ECL_Drawn (CNY)]]*Port[[#This Row],[CNY -&gt; FCY]]</f>
        <v>7658.0320609379378</v>
      </c>
      <c r="AA545" s="507">
        <f>Port[[#This Row],[ECL_Undrawn (CNY)]]*Port[[#This Row],[CNY -&gt; FCY]]</f>
        <v>0</v>
      </c>
      <c r="AB545" s="507">
        <f>Port[[#This Row],[ECL (CNY)]]*Port[[#This Row],[CNY -&gt; FCY]]</f>
        <v>7658.0320609379378</v>
      </c>
      <c r="AC545" s="507">
        <f>Port[[#This Row],[ECL_Interest (CNY)]]*Port[[#This Row],[CNY -&gt; FCY]]</f>
        <v>196.55613220387784</v>
      </c>
      <c r="AD545" s="507">
        <f>Port[[#This Row],[EAD_Drawn (CNY)]]*Port[[#This Row],[CNY -&gt; THB]]</f>
        <v>3423948.7592159999</v>
      </c>
      <c r="AE545" s="507">
        <f>Port[[#This Row],[EAD_Undrawn (CNY)]]*Port[[#This Row],[CNY -&gt; THB]]</f>
        <v>0</v>
      </c>
      <c r="AF545" s="507">
        <f>Port[[#This Row],[EAD (CNY)]]*Port[[#This Row],[CNY -&gt; THB]]</f>
        <v>3423948.7592159999</v>
      </c>
      <c r="AG545" s="507">
        <f>Port[[#This Row],[EAD_Interest (CNY)]]*Port[[#This Row],[CNY -&gt; THB]]</f>
        <v>87881.340744000001</v>
      </c>
      <c r="AH545" s="507">
        <f>Port[[#This Row],[ECL_Drawn (CNY)]]*Port[[#This Row],[CNY -&gt; THB]]</f>
        <v>40195.478681451052</v>
      </c>
      <c r="AI545" s="507">
        <f>Port[[#This Row],[ECL_Undrawn (CNY)]]*Port[[#This Row],[CNY -&gt; THB]]</f>
        <v>0</v>
      </c>
      <c r="AJ545" s="507">
        <f>Port[[#This Row],[ECL (CNY)]]*Port[[#This Row],[CNY -&gt; THB]]</f>
        <v>40195.478681451052</v>
      </c>
      <c r="AK545" s="507">
        <f>Port[[#This Row],[ECL_Interest (CNY)]]*Port[[#This Row],[CNY -&gt; THB]]</f>
        <v>1031.6838267117141</v>
      </c>
      <c r="AL545" s="507">
        <f>Port[[#This Row],[EAD (THB)]]*Port[[#This Row],[PD_avg]]</f>
        <v>44661.642979390061</v>
      </c>
      <c r="AM545" s="507">
        <f>Port[[#This Row],[EAD_Interest (THB)]]*Port[[#This Row],[PD_avg]]</f>
        <v>1146.3153630130155</v>
      </c>
      <c r="AN545" s="507">
        <f>Port[[#This Row],[EAD (THB)]]*Port[[#This Row],[LGD_avg]]</f>
        <v>3081553.8832943994</v>
      </c>
      <c r="AO545" s="507">
        <f>Port[[#This Row],[EAD_Interest (THB)]]*Port[[#This Row],[LGD_avg]]</f>
        <v>79093.206669599997</v>
      </c>
      <c r="AP545" s="507">
        <f>Port[[#This Row],[EAD_Drawn (THB)]]+Port[[#This Row],[EAD_Interest (THB)]]</f>
        <v>3511830.0999599998</v>
      </c>
      <c r="AQ5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51359.231388239998</v>
      </c>
      <c r="AR545" s="522">
        <f>MAX(Port[[#This Row],[ECL (THB)]]+Port[[#This Row],[ECL_Interest (THB)]], Port[[#This Row],[ECL CBIRC (THB)]])</f>
        <v>51359.231388239998</v>
      </c>
    </row>
    <row r="546" spans="1:44">
      <c r="A546" s="2" t="s">
        <v>1276</v>
      </c>
      <c r="B546" s="2" t="s">
        <v>355</v>
      </c>
      <c r="C546" s="2" t="s">
        <v>328</v>
      </c>
      <c r="D546" s="2" t="s">
        <v>18</v>
      </c>
      <c r="E546" s="2" t="s">
        <v>19</v>
      </c>
      <c r="F546" s="2" t="s">
        <v>20</v>
      </c>
      <c r="G546" s="2" t="s">
        <v>21</v>
      </c>
      <c r="H546">
        <v>1</v>
      </c>
      <c r="I546" s="2" t="s">
        <v>526</v>
      </c>
      <c r="J546" s="505">
        <v>1.3043899345507868E-2</v>
      </c>
      <c r="K546" s="505">
        <v>0.9</v>
      </c>
      <c r="L546" s="3">
        <v>1</v>
      </c>
      <c r="M546" s="3">
        <v>5.2488000000000001</v>
      </c>
      <c r="N546" s="507">
        <v>469946.89</v>
      </c>
      <c r="O546" s="507">
        <v>0</v>
      </c>
      <c r="P546" s="507">
        <v>469946.89</v>
      </c>
      <c r="Q546" s="507">
        <v>11846.58</v>
      </c>
      <c r="R546" s="507">
        <v>5516.9459378050133</v>
      </c>
      <c r="S546" s="507">
        <v>0</v>
      </c>
      <c r="T546" s="507">
        <v>5516.9459378050133</v>
      </c>
      <c r="U546" s="507">
        <v>139.07303739765595</v>
      </c>
      <c r="V546" s="507">
        <f>Port[[#This Row],[EAD_Drawn (CNY)]]*Port[[#This Row],[CNY -&gt; FCY]]</f>
        <v>469946.89</v>
      </c>
      <c r="W546" s="507">
        <f>Port[[#This Row],[EAD_Undrawn (CNY)]]*Port[[#This Row],[CNY -&gt; FCY]]</f>
        <v>0</v>
      </c>
      <c r="X546" s="507">
        <f>Port[[#This Row],[EAD (CNY)]]*Port[[#This Row],[CNY -&gt; FCY]]</f>
        <v>469946.89</v>
      </c>
      <c r="Y546" s="507">
        <f>Port[[#This Row],[EAD_Interest (CNY)]]*Port[[#This Row],[CNY -&gt; FCY]]</f>
        <v>11846.58</v>
      </c>
      <c r="Z546" s="507">
        <f>Port[[#This Row],[ECL_Drawn (CNY)]]*Port[[#This Row],[CNY -&gt; FCY]]</f>
        <v>5516.9459378050133</v>
      </c>
      <c r="AA546" s="507">
        <f>Port[[#This Row],[ECL_Undrawn (CNY)]]*Port[[#This Row],[CNY -&gt; FCY]]</f>
        <v>0</v>
      </c>
      <c r="AB546" s="507">
        <f>Port[[#This Row],[ECL (CNY)]]*Port[[#This Row],[CNY -&gt; FCY]]</f>
        <v>5516.9459378050133</v>
      </c>
      <c r="AC546" s="507">
        <f>Port[[#This Row],[ECL_Interest (CNY)]]*Port[[#This Row],[CNY -&gt; FCY]]</f>
        <v>139.07303739765595</v>
      </c>
      <c r="AD546" s="507">
        <f>Port[[#This Row],[EAD_Drawn (CNY)]]*Port[[#This Row],[CNY -&gt; THB]]</f>
        <v>2466657.2362319999</v>
      </c>
      <c r="AE546" s="507">
        <f>Port[[#This Row],[EAD_Undrawn (CNY)]]*Port[[#This Row],[CNY -&gt; THB]]</f>
        <v>0</v>
      </c>
      <c r="AF546" s="507">
        <f>Port[[#This Row],[EAD (CNY)]]*Port[[#This Row],[CNY -&gt; THB]]</f>
        <v>2466657.2362319999</v>
      </c>
      <c r="AG546" s="507">
        <f>Port[[#This Row],[EAD_Interest (CNY)]]*Port[[#This Row],[CNY -&gt; THB]]</f>
        <v>62180.329104000004</v>
      </c>
      <c r="AH546" s="507">
        <f>Port[[#This Row],[ECL_Drawn (CNY)]]*Port[[#This Row],[CNY -&gt; THB]]</f>
        <v>28957.345838350953</v>
      </c>
      <c r="AI546" s="507">
        <f>Port[[#This Row],[ECL_Undrawn (CNY)]]*Port[[#This Row],[CNY -&gt; THB]]</f>
        <v>0</v>
      </c>
      <c r="AJ546" s="507">
        <f>Port[[#This Row],[ECL (CNY)]]*Port[[#This Row],[CNY -&gt; THB]]</f>
        <v>28957.345838350953</v>
      </c>
      <c r="AK546" s="507">
        <f>Port[[#This Row],[ECL_Interest (CNY)]]*Port[[#This Row],[CNY -&gt; THB]]</f>
        <v>729.96655869281653</v>
      </c>
      <c r="AL546" s="507">
        <f>Port[[#This Row],[EAD (THB)]]*Port[[#This Row],[PD_avg]]</f>
        <v>32174.828709278831</v>
      </c>
      <c r="AM546" s="507">
        <f>Port[[#This Row],[EAD_Interest (THB)]]*Port[[#This Row],[PD_avg]]</f>
        <v>811.07395410312949</v>
      </c>
      <c r="AN546" s="507">
        <f>Port[[#This Row],[EAD (THB)]]*Port[[#This Row],[LGD_avg]]</f>
        <v>2219991.5126088001</v>
      </c>
      <c r="AO546" s="507">
        <f>Port[[#This Row],[EAD_Interest (THB)]]*Port[[#This Row],[LGD_avg]]</f>
        <v>55962.296193600007</v>
      </c>
      <c r="AP546" s="507">
        <f>Port[[#This Row],[EAD_Drawn (THB)]]+Port[[#This Row],[EAD_Interest (THB)]]</f>
        <v>2528837.5653360002</v>
      </c>
      <c r="AQ5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36999.858543479997</v>
      </c>
      <c r="AR546" s="522">
        <f>MAX(Port[[#This Row],[ECL (THB)]]+Port[[#This Row],[ECL_Interest (THB)]], Port[[#This Row],[ECL CBIRC (THB)]])</f>
        <v>36999.858543479997</v>
      </c>
    </row>
    <row r="547" spans="1:44">
      <c r="A547" s="2" t="s">
        <v>1277</v>
      </c>
      <c r="B547" s="2" t="s">
        <v>1278</v>
      </c>
      <c r="C547" s="2" t="s">
        <v>328</v>
      </c>
      <c r="D547" s="2" t="s">
        <v>18</v>
      </c>
      <c r="E547" s="2" t="s">
        <v>19</v>
      </c>
      <c r="F547" s="2" t="s">
        <v>20</v>
      </c>
      <c r="G547" s="2" t="s">
        <v>21</v>
      </c>
      <c r="H547">
        <v>1</v>
      </c>
      <c r="I547" s="2" t="s">
        <v>526</v>
      </c>
      <c r="J547" s="505">
        <v>1.3043899345507868E-2</v>
      </c>
      <c r="K547" s="505">
        <v>0.90000000000000013</v>
      </c>
      <c r="L547" s="3">
        <v>1</v>
      </c>
      <c r="M547" s="3">
        <v>5.2488000000000001</v>
      </c>
      <c r="N547" s="507">
        <v>84793.2</v>
      </c>
      <c r="O547" s="507">
        <v>0</v>
      </c>
      <c r="P547" s="507">
        <v>84793.2</v>
      </c>
      <c r="Q547" s="507">
        <v>2137.5</v>
      </c>
      <c r="R547" s="507">
        <v>995.43056938516611</v>
      </c>
      <c r="S547" s="507">
        <v>0</v>
      </c>
      <c r="T547" s="507">
        <v>995.43056938516611</v>
      </c>
      <c r="U547" s="507">
        <v>25.093201365920763</v>
      </c>
      <c r="V547" s="507">
        <f>Port[[#This Row],[EAD_Drawn (CNY)]]*Port[[#This Row],[CNY -&gt; FCY]]</f>
        <v>84793.2</v>
      </c>
      <c r="W547" s="507">
        <f>Port[[#This Row],[EAD_Undrawn (CNY)]]*Port[[#This Row],[CNY -&gt; FCY]]</f>
        <v>0</v>
      </c>
      <c r="X547" s="507">
        <f>Port[[#This Row],[EAD (CNY)]]*Port[[#This Row],[CNY -&gt; FCY]]</f>
        <v>84793.2</v>
      </c>
      <c r="Y547" s="507">
        <f>Port[[#This Row],[EAD_Interest (CNY)]]*Port[[#This Row],[CNY -&gt; FCY]]</f>
        <v>2137.5</v>
      </c>
      <c r="Z547" s="507">
        <f>Port[[#This Row],[ECL_Drawn (CNY)]]*Port[[#This Row],[CNY -&gt; FCY]]</f>
        <v>995.43056938516611</v>
      </c>
      <c r="AA547" s="507">
        <f>Port[[#This Row],[ECL_Undrawn (CNY)]]*Port[[#This Row],[CNY -&gt; FCY]]</f>
        <v>0</v>
      </c>
      <c r="AB547" s="507">
        <f>Port[[#This Row],[ECL (CNY)]]*Port[[#This Row],[CNY -&gt; FCY]]</f>
        <v>995.43056938516611</v>
      </c>
      <c r="AC547" s="507">
        <f>Port[[#This Row],[ECL_Interest (CNY)]]*Port[[#This Row],[CNY -&gt; FCY]]</f>
        <v>25.093201365920763</v>
      </c>
      <c r="AD547" s="507">
        <f>Port[[#This Row],[EAD_Drawn (CNY)]]*Port[[#This Row],[CNY -&gt; THB]]</f>
        <v>445062.54816000001</v>
      </c>
      <c r="AE547" s="507">
        <f>Port[[#This Row],[EAD_Undrawn (CNY)]]*Port[[#This Row],[CNY -&gt; THB]]</f>
        <v>0</v>
      </c>
      <c r="AF547" s="507">
        <f>Port[[#This Row],[EAD (CNY)]]*Port[[#This Row],[CNY -&gt; THB]]</f>
        <v>445062.54816000001</v>
      </c>
      <c r="AG547" s="507">
        <f>Port[[#This Row],[EAD_Interest (CNY)]]*Port[[#This Row],[CNY -&gt; THB]]</f>
        <v>11219.31</v>
      </c>
      <c r="AH547" s="507">
        <f>Port[[#This Row],[ECL_Drawn (CNY)]]*Port[[#This Row],[CNY -&gt; THB]]</f>
        <v>5224.8159725888599</v>
      </c>
      <c r="AI547" s="507">
        <f>Port[[#This Row],[ECL_Undrawn (CNY)]]*Port[[#This Row],[CNY -&gt; THB]]</f>
        <v>0</v>
      </c>
      <c r="AJ547" s="507">
        <f>Port[[#This Row],[ECL (CNY)]]*Port[[#This Row],[CNY -&gt; THB]]</f>
        <v>5224.8159725888599</v>
      </c>
      <c r="AK547" s="507">
        <f>Port[[#This Row],[ECL_Interest (CNY)]]*Port[[#This Row],[CNY -&gt; THB]]</f>
        <v>131.7091953294449</v>
      </c>
      <c r="AL547" s="507">
        <f>Port[[#This Row],[EAD (THB)]]*Port[[#This Row],[PD_avg]]</f>
        <v>5805.3510806542881</v>
      </c>
      <c r="AM547" s="507">
        <f>Port[[#This Row],[EAD_Interest (THB)]]*Port[[#This Row],[PD_avg]]</f>
        <v>146.34355036604987</v>
      </c>
      <c r="AN547" s="507">
        <f>Port[[#This Row],[EAD (THB)]]*Port[[#This Row],[LGD_avg]]</f>
        <v>400556.29334400006</v>
      </c>
      <c r="AO547" s="507">
        <f>Port[[#This Row],[EAD_Interest (THB)]]*Port[[#This Row],[LGD_avg]]</f>
        <v>10097.379000000001</v>
      </c>
      <c r="AP547" s="507">
        <f>Port[[#This Row],[EAD_Drawn (THB)]]+Port[[#This Row],[EAD_Interest (THB)]]</f>
        <v>456281.85816</v>
      </c>
      <c r="AQ5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6675.9382224000001</v>
      </c>
      <c r="AR547" s="522">
        <f>MAX(Port[[#This Row],[ECL (THB)]]+Port[[#This Row],[ECL_Interest (THB)]], Port[[#This Row],[ECL CBIRC (THB)]])</f>
        <v>6675.9382224000001</v>
      </c>
    </row>
    <row r="548" spans="1:44">
      <c r="A548" s="2" t="s">
        <v>1279</v>
      </c>
      <c r="B548" s="2" t="s">
        <v>1280</v>
      </c>
      <c r="C548" s="2" t="s">
        <v>328</v>
      </c>
      <c r="D548" s="2" t="s">
        <v>18</v>
      </c>
      <c r="E548" s="2" t="s">
        <v>19</v>
      </c>
      <c r="F548" s="2" t="s">
        <v>20</v>
      </c>
      <c r="G548" s="2" t="s">
        <v>21</v>
      </c>
      <c r="H548">
        <v>1</v>
      </c>
      <c r="I548" s="2" t="s">
        <v>526</v>
      </c>
      <c r="J548" s="505">
        <v>1.3043899345507868E-2</v>
      </c>
      <c r="K548" s="505">
        <v>0.89999999999999991</v>
      </c>
      <c r="L548" s="3">
        <v>1</v>
      </c>
      <c r="M548" s="3">
        <v>5.2488000000000001</v>
      </c>
      <c r="N548" s="507">
        <v>198628.06</v>
      </c>
      <c r="O548" s="507">
        <v>0</v>
      </c>
      <c r="P548" s="507">
        <v>198628.06</v>
      </c>
      <c r="Q548" s="507">
        <v>5007.08</v>
      </c>
      <c r="R548" s="507">
        <v>2331.7959796501477</v>
      </c>
      <c r="S548" s="507">
        <v>0</v>
      </c>
      <c r="T548" s="507">
        <v>2331.7959796501477</v>
      </c>
      <c r="U548" s="507">
        <v>58.780662781414989</v>
      </c>
      <c r="V548" s="507">
        <f>Port[[#This Row],[EAD_Drawn (CNY)]]*Port[[#This Row],[CNY -&gt; FCY]]</f>
        <v>198628.06</v>
      </c>
      <c r="W548" s="507">
        <f>Port[[#This Row],[EAD_Undrawn (CNY)]]*Port[[#This Row],[CNY -&gt; FCY]]</f>
        <v>0</v>
      </c>
      <c r="X548" s="507">
        <f>Port[[#This Row],[EAD (CNY)]]*Port[[#This Row],[CNY -&gt; FCY]]</f>
        <v>198628.06</v>
      </c>
      <c r="Y548" s="507">
        <f>Port[[#This Row],[EAD_Interest (CNY)]]*Port[[#This Row],[CNY -&gt; FCY]]</f>
        <v>5007.08</v>
      </c>
      <c r="Z548" s="507">
        <f>Port[[#This Row],[ECL_Drawn (CNY)]]*Port[[#This Row],[CNY -&gt; FCY]]</f>
        <v>2331.7959796501477</v>
      </c>
      <c r="AA548" s="507">
        <f>Port[[#This Row],[ECL_Undrawn (CNY)]]*Port[[#This Row],[CNY -&gt; FCY]]</f>
        <v>0</v>
      </c>
      <c r="AB548" s="507">
        <f>Port[[#This Row],[ECL (CNY)]]*Port[[#This Row],[CNY -&gt; FCY]]</f>
        <v>2331.7959796501477</v>
      </c>
      <c r="AC548" s="507">
        <f>Port[[#This Row],[ECL_Interest (CNY)]]*Port[[#This Row],[CNY -&gt; FCY]]</f>
        <v>58.780662781414989</v>
      </c>
      <c r="AD548" s="507">
        <f>Port[[#This Row],[EAD_Drawn (CNY)]]*Port[[#This Row],[CNY -&gt; THB]]</f>
        <v>1042558.9613280001</v>
      </c>
      <c r="AE548" s="507">
        <f>Port[[#This Row],[EAD_Undrawn (CNY)]]*Port[[#This Row],[CNY -&gt; THB]]</f>
        <v>0</v>
      </c>
      <c r="AF548" s="507">
        <f>Port[[#This Row],[EAD (CNY)]]*Port[[#This Row],[CNY -&gt; THB]]</f>
        <v>1042558.9613280001</v>
      </c>
      <c r="AG548" s="507">
        <f>Port[[#This Row],[EAD_Interest (CNY)]]*Port[[#This Row],[CNY -&gt; THB]]</f>
        <v>26281.161504</v>
      </c>
      <c r="AH548" s="507">
        <f>Port[[#This Row],[ECL_Drawn (CNY)]]*Port[[#This Row],[CNY -&gt; THB]]</f>
        <v>12239.130737987696</v>
      </c>
      <c r="AI548" s="507">
        <f>Port[[#This Row],[ECL_Undrawn (CNY)]]*Port[[#This Row],[CNY -&gt; THB]]</f>
        <v>0</v>
      </c>
      <c r="AJ548" s="507">
        <f>Port[[#This Row],[ECL (CNY)]]*Port[[#This Row],[CNY -&gt; THB]]</f>
        <v>12239.130737987696</v>
      </c>
      <c r="AK548" s="507">
        <f>Port[[#This Row],[ECL_Interest (CNY)]]*Port[[#This Row],[CNY -&gt; THB]]</f>
        <v>308.52794280709099</v>
      </c>
      <c r="AL548" s="507">
        <f>Port[[#This Row],[EAD (THB)]]*Port[[#This Row],[PD_avg]]</f>
        <v>13599.034153319662</v>
      </c>
      <c r="AM548" s="507">
        <f>Port[[#This Row],[EAD_Interest (THB)]]*Port[[#This Row],[PD_avg]]</f>
        <v>342.80882534121218</v>
      </c>
      <c r="AN548" s="507">
        <f>Port[[#This Row],[EAD (THB)]]*Port[[#This Row],[LGD_avg]]</f>
        <v>938303.06519519992</v>
      </c>
      <c r="AO548" s="507">
        <f>Port[[#This Row],[EAD_Interest (THB)]]*Port[[#This Row],[LGD_avg]]</f>
        <v>23653.045353599999</v>
      </c>
      <c r="AP548" s="507">
        <f>Port[[#This Row],[EAD_Drawn (THB)]]+Port[[#This Row],[EAD_Interest (THB)]]</f>
        <v>1068840.122832</v>
      </c>
      <c r="AQ5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15638.384419920001</v>
      </c>
      <c r="AR548" s="522">
        <f>MAX(Port[[#This Row],[ECL (THB)]]+Port[[#This Row],[ECL_Interest (THB)]], Port[[#This Row],[ECL CBIRC (THB)]])</f>
        <v>15638.384419920001</v>
      </c>
    </row>
    <row r="549" spans="1:44">
      <c r="A549" s="2" t="s">
        <v>1281</v>
      </c>
      <c r="B549" s="2" t="s">
        <v>1282</v>
      </c>
      <c r="C549" s="2" t="s">
        <v>328</v>
      </c>
      <c r="D549" s="2" t="s">
        <v>18</v>
      </c>
      <c r="E549" s="2" t="s">
        <v>19</v>
      </c>
      <c r="F549" s="2" t="s">
        <v>20</v>
      </c>
      <c r="G549" s="2" t="s">
        <v>21</v>
      </c>
      <c r="H549">
        <v>1</v>
      </c>
      <c r="I549" s="2" t="s">
        <v>526</v>
      </c>
      <c r="J549" s="505">
        <v>1.3043899345507868E-2</v>
      </c>
      <c r="K549" s="505">
        <v>0.90000000000000013</v>
      </c>
      <c r="L549" s="3">
        <v>1</v>
      </c>
      <c r="M549" s="3">
        <v>5.2488000000000001</v>
      </c>
      <c r="N549" s="507">
        <v>313100.76</v>
      </c>
      <c r="O549" s="507">
        <v>0</v>
      </c>
      <c r="P549" s="507">
        <v>313100.76</v>
      </c>
      <c r="Q549" s="507">
        <v>7892.75</v>
      </c>
      <c r="R549" s="507">
        <v>3675.6493185978152</v>
      </c>
      <c r="S549" s="507">
        <v>0</v>
      </c>
      <c r="T549" s="507">
        <v>3675.6493185978152</v>
      </c>
      <c r="U549" s="507">
        <v>92.657012903331506</v>
      </c>
      <c r="V549" s="507">
        <f>Port[[#This Row],[EAD_Drawn (CNY)]]*Port[[#This Row],[CNY -&gt; FCY]]</f>
        <v>313100.76</v>
      </c>
      <c r="W549" s="507">
        <f>Port[[#This Row],[EAD_Undrawn (CNY)]]*Port[[#This Row],[CNY -&gt; FCY]]</f>
        <v>0</v>
      </c>
      <c r="X549" s="507">
        <f>Port[[#This Row],[EAD (CNY)]]*Port[[#This Row],[CNY -&gt; FCY]]</f>
        <v>313100.76</v>
      </c>
      <c r="Y549" s="507">
        <f>Port[[#This Row],[EAD_Interest (CNY)]]*Port[[#This Row],[CNY -&gt; FCY]]</f>
        <v>7892.75</v>
      </c>
      <c r="Z549" s="507">
        <f>Port[[#This Row],[ECL_Drawn (CNY)]]*Port[[#This Row],[CNY -&gt; FCY]]</f>
        <v>3675.6493185978152</v>
      </c>
      <c r="AA549" s="507">
        <f>Port[[#This Row],[ECL_Undrawn (CNY)]]*Port[[#This Row],[CNY -&gt; FCY]]</f>
        <v>0</v>
      </c>
      <c r="AB549" s="507">
        <f>Port[[#This Row],[ECL (CNY)]]*Port[[#This Row],[CNY -&gt; FCY]]</f>
        <v>3675.6493185978152</v>
      </c>
      <c r="AC549" s="507">
        <f>Port[[#This Row],[ECL_Interest (CNY)]]*Port[[#This Row],[CNY -&gt; FCY]]</f>
        <v>92.657012903331506</v>
      </c>
      <c r="AD549" s="507">
        <f>Port[[#This Row],[EAD_Drawn (CNY)]]*Port[[#This Row],[CNY -&gt; THB]]</f>
        <v>1643403.2690880001</v>
      </c>
      <c r="AE549" s="507">
        <f>Port[[#This Row],[EAD_Undrawn (CNY)]]*Port[[#This Row],[CNY -&gt; THB]]</f>
        <v>0</v>
      </c>
      <c r="AF549" s="507">
        <f>Port[[#This Row],[EAD (CNY)]]*Port[[#This Row],[CNY -&gt; THB]]</f>
        <v>1643403.2690880001</v>
      </c>
      <c r="AG549" s="507">
        <f>Port[[#This Row],[EAD_Interest (CNY)]]*Port[[#This Row],[CNY -&gt; THB]]</f>
        <v>41427.466200000003</v>
      </c>
      <c r="AH549" s="507">
        <f>Port[[#This Row],[ECL_Drawn (CNY)]]*Port[[#This Row],[CNY -&gt; THB]]</f>
        <v>19292.748143456214</v>
      </c>
      <c r="AI549" s="507">
        <f>Port[[#This Row],[ECL_Undrawn (CNY)]]*Port[[#This Row],[CNY -&gt; THB]]</f>
        <v>0</v>
      </c>
      <c r="AJ549" s="507">
        <f>Port[[#This Row],[ECL (CNY)]]*Port[[#This Row],[CNY -&gt; THB]]</f>
        <v>19292.748143456214</v>
      </c>
      <c r="AK549" s="507">
        <f>Port[[#This Row],[ECL_Interest (CNY)]]*Port[[#This Row],[CNY -&gt; THB]]</f>
        <v>486.33812932700641</v>
      </c>
      <c r="AL549" s="507">
        <f>Port[[#This Row],[EAD (THB)]]*Port[[#This Row],[PD_avg]]</f>
        <v>21436.386826062455</v>
      </c>
      <c r="AM549" s="507">
        <f>Port[[#This Row],[EAD_Interest (THB)]]*Port[[#This Row],[PD_avg]]</f>
        <v>540.37569925222942</v>
      </c>
      <c r="AN549" s="507">
        <f>Port[[#This Row],[EAD (THB)]]*Port[[#This Row],[LGD_avg]]</f>
        <v>1479062.9421792002</v>
      </c>
      <c r="AO549" s="507">
        <f>Port[[#This Row],[EAD_Interest (THB)]]*Port[[#This Row],[LGD_avg]]</f>
        <v>37284.719580000004</v>
      </c>
      <c r="AP549" s="507">
        <f>Port[[#This Row],[EAD_Drawn (THB)]]+Port[[#This Row],[EAD_Interest (THB)]]</f>
        <v>1684830.735288</v>
      </c>
      <c r="AQ5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24651.049036320001</v>
      </c>
      <c r="AR549" s="522">
        <f>MAX(Port[[#This Row],[ECL (THB)]]+Port[[#This Row],[ECL_Interest (THB)]], Port[[#This Row],[ECL CBIRC (THB)]])</f>
        <v>24651.049036320001</v>
      </c>
    </row>
    <row r="550" spans="1:44">
      <c r="A550" s="2" t="s">
        <v>1283</v>
      </c>
      <c r="B550" s="2" t="s">
        <v>1278</v>
      </c>
      <c r="C550" s="2" t="s">
        <v>328</v>
      </c>
      <c r="D550" s="2" t="s">
        <v>18</v>
      </c>
      <c r="E550" s="2" t="s">
        <v>19</v>
      </c>
      <c r="F550" s="2" t="s">
        <v>20</v>
      </c>
      <c r="G550" s="2" t="s">
        <v>21</v>
      </c>
      <c r="H550">
        <v>1</v>
      </c>
      <c r="I550" s="2" t="s">
        <v>526</v>
      </c>
      <c r="J550" s="505">
        <v>1.3043899345507868E-2</v>
      </c>
      <c r="K550" s="505">
        <v>0.89999999999999991</v>
      </c>
      <c r="L550" s="3">
        <v>1</v>
      </c>
      <c r="M550" s="3">
        <v>5.2488000000000001</v>
      </c>
      <c r="N550" s="507">
        <v>121024.59</v>
      </c>
      <c r="O550" s="507">
        <v>0</v>
      </c>
      <c r="P550" s="507">
        <v>121024.59</v>
      </c>
      <c r="Q550" s="507">
        <v>3050.83</v>
      </c>
      <c r="R550" s="507">
        <v>1420.7693132622223</v>
      </c>
      <c r="S550" s="507">
        <v>0</v>
      </c>
      <c r="T550" s="507">
        <v>1420.7693132622223</v>
      </c>
      <c r="U550" s="507">
        <v>35.815247496230192</v>
      </c>
      <c r="V550" s="507">
        <f>Port[[#This Row],[EAD_Drawn (CNY)]]*Port[[#This Row],[CNY -&gt; FCY]]</f>
        <v>121024.59</v>
      </c>
      <c r="W550" s="507">
        <f>Port[[#This Row],[EAD_Undrawn (CNY)]]*Port[[#This Row],[CNY -&gt; FCY]]</f>
        <v>0</v>
      </c>
      <c r="X550" s="507">
        <f>Port[[#This Row],[EAD (CNY)]]*Port[[#This Row],[CNY -&gt; FCY]]</f>
        <v>121024.59</v>
      </c>
      <c r="Y550" s="507">
        <f>Port[[#This Row],[EAD_Interest (CNY)]]*Port[[#This Row],[CNY -&gt; FCY]]</f>
        <v>3050.83</v>
      </c>
      <c r="Z550" s="507">
        <f>Port[[#This Row],[ECL_Drawn (CNY)]]*Port[[#This Row],[CNY -&gt; FCY]]</f>
        <v>1420.7693132622223</v>
      </c>
      <c r="AA550" s="507">
        <f>Port[[#This Row],[ECL_Undrawn (CNY)]]*Port[[#This Row],[CNY -&gt; FCY]]</f>
        <v>0</v>
      </c>
      <c r="AB550" s="507">
        <f>Port[[#This Row],[ECL (CNY)]]*Port[[#This Row],[CNY -&gt; FCY]]</f>
        <v>1420.7693132622223</v>
      </c>
      <c r="AC550" s="507">
        <f>Port[[#This Row],[ECL_Interest (CNY)]]*Port[[#This Row],[CNY -&gt; FCY]]</f>
        <v>35.815247496230192</v>
      </c>
      <c r="AD550" s="507">
        <f>Port[[#This Row],[EAD_Drawn (CNY)]]*Port[[#This Row],[CNY -&gt; THB]]</f>
        <v>635233.86799199996</v>
      </c>
      <c r="AE550" s="507">
        <f>Port[[#This Row],[EAD_Undrawn (CNY)]]*Port[[#This Row],[CNY -&gt; THB]]</f>
        <v>0</v>
      </c>
      <c r="AF550" s="507">
        <f>Port[[#This Row],[EAD (CNY)]]*Port[[#This Row],[CNY -&gt; THB]]</f>
        <v>635233.86799199996</v>
      </c>
      <c r="AG550" s="507">
        <f>Port[[#This Row],[EAD_Interest (CNY)]]*Port[[#This Row],[CNY -&gt; THB]]</f>
        <v>16013.196504</v>
      </c>
      <c r="AH550" s="507">
        <f>Port[[#This Row],[ECL_Drawn (CNY)]]*Port[[#This Row],[CNY -&gt; THB]]</f>
        <v>7457.3339714507529</v>
      </c>
      <c r="AI550" s="507">
        <f>Port[[#This Row],[ECL_Undrawn (CNY)]]*Port[[#This Row],[CNY -&gt; THB]]</f>
        <v>0</v>
      </c>
      <c r="AJ550" s="507">
        <f>Port[[#This Row],[ECL (CNY)]]*Port[[#This Row],[CNY -&gt; THB]]</f>
        <v>7457.3339714507529</v>
      </c>
      <c r="AK550" s="507">
        <f>Port[[#This Row],[ECL_Interest (CNY)]]*Port[[#This Row],[CNY -&gt; THB]]</f>
        <v>187.98707105821305</v>
      </c>
      <c r="AL550" s="507">
        <f>Port[[#This Row],[EAD (THB)]]*Port[[#This Row],[PD_avg]]</f>
        <v>8285.9266349452791</v>
      </c>
      <c r="AM550" s="507">
        <f>Port[[#This Row],[EAD_Interest (THB)]]*Port[[#This Row],[PD_avg]]</f>
        <v>208.87452339801447</v>
      </c>
      <c r="AN550" s="507">
        <f>Port[[#This Row],[EAD (THB)]]*Port[[#This Row],[LGD_avg]]</f>
        <v>571710.48119279987</v>
      </c>
      <c r="AO550" s="507">
        <f>Port[[#This Row],[EAD_Interest (THB)]]*Port[[#This Row],[LGD_avg]]</f>
        <v>14411.876853599999</v>
      </c>
      <c r="AP550" s="507">
        <f>Port[[#This Row],[EAD_Drawn (THB)]]+Port[[#This Row],[EAD_Interest (THB)]]</f>
        <v>651247.06449599995</v>
      </c>
      <c r="AQ5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9528.5080198799988</v>
      </c>
      <c r="AR550" s="522">
        <f>MAX(Port[[#This Row],[ECL (THB)]]+Port[[#This Row],[ECL_Interest (THB)]], Port[[#This Row],[ECL CBIRC (THB)]])</f>
        <v>9528.5080198799988</v>
      </c>
    </row>
    <row r="551" spans="1:44">
      <c r="A551" s="2" t="s">
        <v>1284</v>
      </c>
      <c r="B551" s="2" t="s">
        <v>1278</v>
      </c>
      <c r="C551" s="2" t="s">
        <v>328</v>
      </c>
      <c r="D551" s="2" t="s">
        <v>18</v>
      </c>
      <c r="E551" s="2" t="s">
        <v>19</v>
      </c>
      <c r="F551" s="2" t="s">
        <v>20</v>
      </c>
      <c r="G551" s="2" t="s">
        <v>21</v>
      </c>
      <c r="H551">
        <v>1</v>
      </c>
      <c r="I551" s="2" t="s">
        <v>526</v>
      </c>
      <c r="J551" s="505">
        <v>1.3043899345507868E-2</v>
      </c>
      <c r="K551" s="505">
        <v>0.89999999999999991</v>
      </c>
      <c r="L551" s="3">
        <v>1</v>
      </c>
      <c r="M551" s="3">
        <v>5.2488000000000001</v>
      </c>
      <c r="N551" s="507">
        <v>249658.52</v>
      </c>
      <c r="O551" s="507">
        <v>0</v>
      </c>
      <c r="P551" s="507">
        <v>249658.52</v>
      </c>
      <c r="Q551" s="507">
        <v>6293.48</v>
      </c>
      <c r="R551" s="507">
        <v>2930.8685450656167</v>
      </c>
      <c r="S551" s="507">
        <v>0</v>
      </c>
      <c r="T551" s="507">
        <v>2930.8685450656167</v>
      </c>
      <c r="U551" s="507">
        <v>73.882367687670168</v>
      </c>
      <c r="V551" s="507">
        <f>Port[[#This Row],[EAD_Drawn (CNY)]]*Port[[#This Row],[CNY -&gt; FCY]]</f>
        <v>249658.52</v>
      </c>
      <c r="W551" s="507">
        <f>Port[[#This Row],[EAD_Undrawn (CNY)]]*Port[[#This Row],[CNY -&gt; FCY]]</f>
        <v>0</v>
      </c>
      <c r="X551" s="507">
        <f>Port[[#This Row],[EAD (CNY)]]*Port[[#This Row],[CNY -&gt; FCY]]</f>
        <v>249658.52</v>
      </c>
      <c r="Y551" s="507">
        <f>Port[[#This Row],[EAD_Interest (CNY)]]*Port[[#This Row],[CNY -&gt; FCY]]</f>
        <v>6293.48</v>
      </c>
      <c r="Z551" s="507">
        <f>Port[[#This Row],[ECL_Drawn (CNY)]]*Port[[#This Row],[CNY -&gt; FCY]]</f>
        <v>2930.8685450656167</v>
      </c>
      <c r="AA551" s="507">
        <f>Port[[#This Row],[ECL_Undrawn (CNY)]]*Port[[#This Row],[CNY -&gt; FCY]]</f>
        <v>0</v>
      </c>
      <c r="AB551" s="507">
        <f>Port[[#This Row],[ECL (CNY)]]*Port[[#This Row],[CNY -&gt; FCY]]</f>
        <v>2930.8685450656167</v>
      </c>
      <c r="AC551" s="507">
        <f>Port[[#This Row],[ECL_Interest (CNY)]]*Port[[#This Row],[CNY -&gt; FCY]]</f>
        <v>73.882367687670168</v>
      </c>
      <c r="AD551" s="507">
        <f>Port[[#This Row],[EAD_Drawn (CNY)]]*Port[[#This Row],[CNY -&gt; THB]]</f>
        <v>1310407.6397760001</v>
      </c>
      <c r="AE551" s="507">
        <f>Port[[#This Row],[EAD_Undrawn (CNY)]]*Port[[#This Row],[CNY -&gt; THB]]</f>
        <v>0</v>
      </c>
      <c r="AF551" s="507">
        <f>Port[[#This Row],[EAD (CNY)]]*Port[[#This Row],[CNY -&gt; THB]]</f>
        <v>1310407.6397760001</v>
      </c>
      <c r="AG551" s="507">
        <f>Port[[#This Row],[EAD_Interest (CNY)]]*Port[[#This Row],[CNY -&gt; THB]]</f>
        <v>33033.217823999999</v>
      </c>
      <c r="AH551" s="507">
        <f>Port[[#This Row],[ECL_Drawn (CNY)]]*Port[[#This Row],[CNY -&gt; THB]]</f>
        <v>15383.54281934041</v>
      </c>
      <c r="AI551" s="507">
        <f>Port[[#This Row],[ECL_Undrawn (CNY)]]*Port[[#This Row],[CNY -&gt; THB]]</f>
        <v>0</v>
      </c>
      <c r="AJ551" s="507">
        <f>Port[[#This Row],[ECL (CNY)]]*Port[[#This Row],[CNY -&gt; THB]]</f>
        <v>15383.54281934041</v>
      </c>
      <c r="AK551" s="507">
        <f>Port[[#This Row],[ECL_Interest (CNY)]]*Port[[#This Row],[CNY -&gt; THB]]</f>
        <v>387.79377151904316</v>
      </c>
      <c r="AL551" s="507">
        <f>Port[[#This Row],[EAD (THB)]]*Port[[#This Row],[PD_avg]]</f>
        <v>17092.825354822678</v>
      </c>
      <c r="AM551" s="507">
        <f>Port[[#This Row],[EAD_Interest (THB)]]*Port[[#This Row],[PD_avg]]</f>
        <v>430.88196835449241</v>
      </c>
      <c r="AN551" s="507">
        <f>Port[[#This Row],[EAD (THB)]]*Port[[#This Row],[LGD_avg]]</f>
        <v>1179366.8757984</v>
      </c>
      <c r="AO551" s="507">
        <f>Port[[#This Row],[EAD_Interest (THB)]]*Port[[#This Row],[LGD_avg]]</f>
        <v>29729.896041599997</v>
      </c>
      <c r="AP551" s="507">
        <f>Port[[#This Row],[EAD_Drawn (THB)]]+Port[[#This Row],[EAD_Interest (THB)]]</f>
        <v>1343440.8576</v>
      </c>
      <c r="AQ5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19656.11459664</v>
      </c>
      <c r="AR551" s="522">
        <f>MAX(Port[[#This Row],[ECL (THB)]]+Port[[#This Row],[ECL_Interest (THB)]], Port[[#This Row],[ECL CBIRC (THB)]])</f>
        <v>19656.11459664</v>
      </c>
    </row>
    <row r="552" spans="1:44">
      <c r="A552" s="2" t="s">
        <v>1285</v>
      </c>
      <c r="B552" s="2" t="s">
        <v>1195</v>
      </c>
      <c r="C552" s="2" t="s">
        <v>328</v>
      </c>
      <c r="D552" s="2" t="s">
        <v>18</v>
      </c>
      <c r="E552" s="2" t="s">
        <v>19</v>
      </c>
      <c r="F552" s="2" t="s">
        <v>20</v>
      </c>
      <c r="G552" s="2" t="s">
        <v>21</v>
      </c>
      <c r="H552">
        <v>1</v>
      </c>
      <c r="I552" s="2" t="s">
        <v>526</v>
      </c>
      <c r="J552" s="505">
        <v>2.0514833509807026E-2</v>
      </c>
      <c r="K552" s="505">
        <v>0.90000000000000013</v>
      </c>
      <c r="L552" s="3">
        <v>1</v>
      </c>
      <c r="M552" s="3">
        <v>5.2488000000000001</v>
      </c>
      <c r="N552" s="507">
        <v>18492715.140000001</v>
      </c>
      <c r="O552" s="507">
        <v>0</v>
      </c>
      <c r="P552" s="507">
        <v>18492715.140000001</v>
      </c>
      <c r="Q552" s="507">
        <v>156057.97</v>
      </c>
      <c r="R552" s="507">
        <v>341437.475017249</v>
      </c>
      <c r="S552" s="507">
        <v>0</v>
      </c>
      <c r="T552" s="507">
        <v>341437.475017249</v>
      </c>
      <c r="U552" s="507">
        <v>2881.3529451856139</v>
      </c>
      <c r="V552" s="507">
        <f>Port[[#This Row],[EAD_Drawn (CNY)]]*Port[[#This Row],[CNY -&gt; FCY]]</f>
        <v>18492715.140000001</v>
      </c>
      <c r="W552" s="507">
        <f>Port[[#This Row],[EAD_Undrawn (CNY)]]*Port[[#This Row],[CNY -&gt; FCY]]</f>
        <v>0</v>
      </c>
      <c r="X552" s="507">
        <f>Port[[#This Row],[EAD (CNY)]]*Port[[#This Row],[CNY -&gt; FCY]]</f>
        <v>18492715.140000001</v>
      </c>
      <c r="Y552" s="507">
        <f>Port[[#This Row],[EAD_Interest (CNY)]]*Port[[#This Row],[CNY -&gt; FCY]]</f>
        <v>156057.97</v>
      </c>
      <c r="Z552" s="507">
        <f>Port[[#This Row],[ECL_Drawn (CNY)]]*Port[[#This Row],[CNY -&gt; FCY]]</f>
        <v>341437.475017249</v>
      </c>
      <c r="AA552" s="507">
        <f>Port[[#This Row],[ECL_Undrawn (CNY)]]*Port[[#This Row],[CNY -&gt; FCY]]</f>
        <v>0</v>
      </c>
      <c r="AB552" s="507">
        <f>Port[[#This Row],[ECL (CNY)]]*Port[[#This Row],[CNY -&gt; FCY]]</f>
        <v>341437.475017249</v>
      </c>
      <c r="AC552" s="507">
        <f>Port[[#This Row],[ECL_Interest (CNY)]]*Port[[#This Row],[CNY -&gt; FCY]]</f>
        <v>2881.3529451856139</v>
      </c>
      <c r="AD552" s="507">
        <f>Port[[#This Row],[EAD_Drawn (CNY)]]*Port[[#This Row],[CNY -&gt; THB]]</f>
        <v>97064563.226832002</v>
      </c>
      <c r="AE552" s="507">
        <f>Port[[#This Row],[EAD_Undrawn (CNY)]]*Port[[#This Row],[CNY -&gt; THB]]</f>
        <v>0</v>
      </c>
      <c r="AF552" s="507">
        <f>Port[[#This Row],[EAD (CNY)]]*Port[[#This Row],[CNY -&gt; THB]]</f>
        <v>97064563.226832002</v>
      </c>
      <c r="AG552" s="507">
        <f>Port[[#This Row],[EAD_Interest (CNY)]]*Port[[#This Row],[CNY -&gt; THB]]</f>
        <v>819117.07293600007</v>
      </c>
      <c r="AH552" s="507">
        <f>Port[[#This Row],[ECL_Drawn (CNY)]]*Port[[#This Row],[CNY -&gt; THB]]</f>
        <v>1792137.0188705367</v>
      </c>
      <c r="AI552" s="507">
        <f>Port[[#This Row],[ECL_Undrawn (CNY)]]*Port[[#This Row],[CNY -&gt; THB]]</f>
        <v>0</v>
      </c>
      <c r="AJ552" s="507">
        <f>Port[[#This Row],[ECL (CNY)]]*Port[[#This Row],[CNY -&gt; THB]]</f>
        <v>1792137.0188705367</v>
      </c>
      <c r="AK552" s="507">
        <f>Port[[#This Row],[ECL_Interest (CNY)]]*Port[[#This Row],[CNY -&gt; THB]]</f>
        <v>15123.64533869025</v>
      </c>
      <c r="AL552" s="507">
        <f>Port[[#This Row],[EAD (THB)]]*Port[[#This Row],[PD_avg]]</f>
        <v>1991263.3543005961</v>
      </c>
      <c r="AM552" s="507">
        <f>Port[[#This Row],[EAD_Interest (THB)]]*Port[[#This Row],[PD_avg]]</f>
        <v>16804.050376322499</v>
      </c>
      <c r="AN552" s="507">
        <f>Port[[#This Row],[EAD (THB)]]*Port[[#This Row],[LGD_avg]]</f>
        <v>87358106.904148817</v>
      </c>
      <c r="AO552" s="507">
        <f>Port[[#This Row],[EAD_Interest (THB)]]*Port[[#This Row],[LGD_avg]]</f>
        <v>737205.36564240023</v>
      </c>
      <c r="AP552" s="507">
        <f>Port[[#This Row],[EAD_Drawn (THB)]]+Port[[#This Row],[EAD_Interest (THB)]]</f>
        <v>97883680.299768001</v>
      </c>
      <c r="AQ5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1455968.44840248</v>
      </c>
      <c r="AR552" s="522">
        <f>MAX(Port[[#This Row],[ECL (THB)]]+Port[[#This Row],[ECL_Interest (THB)]], Port[[#This Row],[ECL CBIRC (THB)]])</f>
        <v>1807260.6642092268</v>
      </c>
    </row>
    <row r="553" spans="1:44">
      <c r="A553" s="2" t="s">
        <v>1286</v>
      </c>
      <c r="B553" s="2" t="s">
        <v>374</v>
      </c>
      <c r="C553" s="2" t="s">
        <v>328</v>
      </c>
      <c r="D553" s="2" t="s">
        <v>18</v>
      </c>
      <c r="E553" s="2" t="s">
        <v>19</v>
      </c>
      <c r="F553" s="2" t="s">
        <v>20</v>
      </c>
      <c r="G553" s="2" t="s">
        <v>21</v>
      </c>
      <c r="H553">
        <v>1</v>
      </c>
      <c r="I553" s="2" t="s">
        <v>526</v>
      </c>
      <c r="J553" s="505">
        <v>2.0514833509807026E-2</v>
      </c>
      <c r="K553" s="505">
        <v>0.89999999999999991</v>
      </c>
      <c r="L553" s="3">
        <v>1</v>
      </c>
      <c r="M553" s="3">
        <v>5.2488000000000001</v>
      </c>
      <c r="N553" s="507">
        <v>53584.36</v>
      </c>
      <c r="O553" s="507">
        <v>0</v>
      </c>
      <c r="P553" s="507">
        <v>53584.36</v>
      </c>
      <c r="Q553" s="507">
        <v>320.91000000000003</v>
      </c>
      <c r="R553" s="507">
        <v>989.34680171660693</v>
      </c>
      <c r="S553" s="507">
        <v>0</v>
      </c>
      <c r="T553" s="507">
        <v>989.34680171660693</v>
      </c>
      <c r="U553" s="507">
        <v>5.9250736994689568</v>
      </c>
      <c r="V553" s="507">
        <f>Port[[#This Row],[EAD_Drawn (CNY)]]*Port[[#This Row],[CNY -&gt; FCY]]</f>
        <v>53584.36</v>
      </c>
      <c r="W553" s="507">
        <f>Port[[#This Row],[EAD_Undrawn (CNY)]]*Port[[#This Row],[CNY -&gt; FCY]]</f>
        <v>0</v>
      </c>
      <c r="X553" s="507">
        <f>Port[[#This Row],[EAD (CNY)]]*Port[[#This Row],[CNY -&gt; FCY]]</f>
        <v>53584.36</v>
      </c>
      <c r="Y553" s="507">
        <f>Port[[#This Row],[EAD_Interest (CNY)]]*Port[[#This Row],[CNY -&gt; FCY]]</f>
        <v>320.91000000000003</v>
      </c>
      <c r="Z553" s="507">
        <f>Port[[#This Row],[ECL_Drawn (CNY)]]*Port[[#This Row],[CNY -&gt; FCY]]</f>
        <v>989.34680171660693</v>
      </c>
      <c r="AA553" s="507">
        <f>Port[[#This Row],[ECL_Undrawn (CNY)]]*Port[[#This Row],[CNY -&gt; FCY]]</f>
        <v>0</v>
      </c>
      <c r="AB553" s="507">
        <f>Port[[#This Row],[ECL (CNY)]]*Port[[#This Row],[CNY -&gt; FCY]]</f>
        <v>989.34680171660693</v>
      </c>
      <c r="AC553" s="507">
        <f>Port[[#This Row],[ECL_Interest (CNY)]]*Port[[#This Row],[CNY -&gt; FCY]]</f>
        <v>5.9250736994689568</v>
      </c>
      <c r="AD553" s="507">
        <f>Port[[#This Row],[EAD_Drawn (CNY)]]*Port[[#This Row],[CNY -&gt; THB]]</f>
        <v>281253.58876800002</v>
      </c>
      <c r="AE553" s="507">
        <f>Port[[#This Row],[EAD_Undrawn (CNY)]]*Port[[#This Row],[CNY -&gt; THB]]</f>
        <v>0</v>
      </c>
      <c r="AF553" s="507">
        <f>Port[[#This Row],[EAD (CNY)]]*Port[[#This Row],[CNY -&gt; THB]]</f>
        <v>281253.58876800002</v>
      </c>
      <c r="AG553" s="507">
        <f>Port[[#This Row],[EAD_Interest (CNY)]]*Port[[#This Row],[CNY -&gt; THB]]</f>
        <v>1684.3924080000002</v>
      </c>
      <c r="AH553" s="507">
        <f>Port[[#This Row],[ECL_Drawn (CNY)]]*Port[[#This Row],[CNY -&gt; THB]]</f>
        <v>5192.8834928501265</v>
      </c>
      <c r="AI553" s="507">
        <f>Port[[#This Row],[ECL_Undrawn (CNY)]]*Port[[#This Row],[CNY -&gt; THB]]</f>
        <v>0</v>
      </c>
      <c r="AJ553" s="507">
        <f>Port[[#This Row],[ECL (CNY)]]*Port[[#This Row],[CNY -&gt; THB]]</f>
        <v>5192.8834928501265</v>
      </c>
      <c r="AK553" s="507">
        <f>Port[[#This Row],[ECL_Interest (CNY)]]*Port[[#This Row],[CNY -&gt; THB]]</f>
        <v>31.099526833772661</v>
      </c>
      <c r="AL553" s="507">
        <f>Port[[#This Row],[EAD (THB)]]*Port[[#This Row],[PD_avg]]</f>
        <v>5769.8705476112518</v>
      </c>
      <c r="AM553" s="507">
        <f>Port[[#This Row],[EAD_Interest (THB)]]*Port[[#This Row],[PD_avg]]</f>
        <v>34.555029815302952</v>
      </c>
      <c r="AN553" s="507">
        <f>Port[[#This Row],[EAD (THB)]]*Port[[#This Row],[LGD_avg]]</f>
        <v>253128.2298912</v>
      </c>
      <c r="AO553" s="507">
        <f>Port[[#This Row],[EAD_Interest (THB)]]*Port[[#This Row],[LGD_avg]]</f>
        <v>1515.9531672000001</v>
      </c>
      <c r="AP553" s="507">
        <f>Port[[#This Row],[EAD_Drawn (THB)]]+Port[[#This Row],[EAD_Interest (THB)]]</f>
        <v>282937.98117600003</v>
      </c>
      <c r="AQ5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4218.8038315200001</v>
      </c>
      <c r="AR553" s="522">
        <f>MAX(Port[[#This Row],[ECL (THB)]]+Port[[#This Row],[ECL_Interest (THB)]], Port[[#This Row],[ECL CBIRC (THB)]])</f>
        <v>5223.9830196838993</v>
      </c>
    </row>
    <row r="554" spans="1:44">
      <c r="A554" s="2" t="s">
        <v>1335</v>
      </c>
      <c r="B554" s="2" t="s">
        <v>382</v>
      </c>
      <c r="C554" s="2" t="s">
        <v>379</v>
      </c>
      <c r="D554" s="2" t="s">
        <v>30</v>
      </c>
      <c r="E554" s="2" t="s">
        <v>19</v>
      </c>
      <c r="F554" s="2" t="s">
        <v>380</v>
      </c>
      <c r="G554" s="2" t="s">
        <v>57</v>
      </c>
      <c r="H554">
        <v>1</v>
      </c>
      <c r="I554" s="2" t="s">
        <v>526</v>
      </c>
      <c r="J554" s="505">
        <v>1.3043899345507868E-2</v>
      </c>
      <c r="K554" s="505">
        <v>29.730906467629218</v>
      </c>
      <c r="L554" s="3">
        <v>0.15684552284455039</v>
      </c>
      <c r="M554" s="3">
        <v>5.2488000000000001</v>
      </c>
      <c r="N554" s="507">
        <v>476971.90266599995</v>
      </c>
      <c r="O554" s="507">
        <v>0</v>
      </c>
      <c r="P554" s="507">
        <v>476971.90266599995</v>
      </c>
      <c r="Q554" s="507">
        <v>0</v>
      </c>
      <c r="R554" s="507">
        <v>184973.0194832581</v>
      </c>
      <c r="S554" s="507">
        <v>0</v>
      </c>
      <c r="T554" s="507">
        <v>184973.0194832581</v>
      </c>
      <c r="U554" s="507">
        <v>0</v>
      </c>
      <c r="V554" s="507">
        <f>Port[[#This Row],[EAD_Drawn (CNY)]]*Port[[#This Row],[CNY -&gt; FCY]]</f>
        <v>74810.90745580876</v>
      </c>
      <c r="W554" s="507">
        <f>Port[[#This Row],[EAD_Undrawn (CNY)]]*Port[[#This Row],[CNY -&gt; FCY]]</f>
        <v>0</v>
      </c>
      <c r="X554" s="507">
        <f>Port[[#This Row],[EAD (CNY)]]*Port[[#This Row],[CNY -&gt; FCY]]</f>
        <v>74810.90745580876</v>
      </c>
      <c r="Y554" s="507">
        <f>Port[[#This Row],[EAD_Interest (CNY)]]*Port[[#This Row],[CNY -&gt; FCY]]</f>
        <v>0</v>
      </c>
      <c r="Z554" s="507">
        <f>Port[[#This Row],[ECL_Drawn (CNY)]]*Port[[#This Row],[CNY -&gt; FCY]]</f>
        <v>29012.189952986824</v>
      </c>
      <c r="AA554" s="507">
        <f>Port[[#This Row],[ECL_Undrawn (CNY)]]*Port[[#This Row],[CNY -&gt; FCY]]</f>
        <v>0</v>
      </c>
      <c r="AB554" s="507">
        <f>Port[[#This Row],[ECL (CNY)]]*Port[[#This Row],[CNY -&gt; FCY]]</f>
        <v>29012.189952986824</v>
      </c>
      <c r="AC554" s="507">
        <f>Port[[#This Row],[ECL_Interest (CNY)]]*Port[[#This Row],[CNY -&gt; FCY]]</f>
        <v>0</v>
      </c>
      <c r="AD554" s="507">
        <f>Port[[#This Row],[EAD_Drawn (CNY)]]*Port[[#This Row],[CNY -&gt; THB]]</f>
        <v>2503530.1227133004</v>
      </c>
      <c r="AE554" s="507">
        <f>Port[[#This Row],[EAD_Undrawn (CNY)]]*Port[[#This Row],[CNY -&gt; THB]]</f>
        <v>0</v>
      </c>
      <c r="AF554" s="507">
        <f>Port[[#This Row],[EAD (CNY)]]*Port[[#This Row],[CNY -&gt; THB]]</f>
        <v>2503530.1227133004</v>
      </c>
      <c r="AG554" s="507">
        <f>Port[[#This Row],[EAD_Interest (CNY)]]*Port[[#This Row],[CNY -&gt; THB]]</f>
        <v>0</v>
      </c>
      <c r="AH554" s="507">
        <f>Port[[#This Row],[ECL_Drawn (CNY)]]*Port[[#This Row],[CNY -&gt; THB]]</f>
        <v>970886.38466372516</v>
      </c>
      <c r="AI554" s="507">
        <f>Port[[#This Row],[ECL_Undrawn (CNY)]]*Port[[#This Row],[CNY -&gt; THB]]</f>
        <v>0</v>
      </c>
      <c r="AJ554" s="507">
        <f>Port[[#This Row],[ECL (CNY)]]*Port[[#This Row],[CNY -&gt; THB]]</f>
        <v>970886.38466372516</v>
      </c>
      <c r="AK554" s="507">
        <f>Port[[#This Row],[ECL_Interest (CNY)]]*Port[[#This Row],[CNY -&gt; THB]]</f>
        <v>0</v>
      </c>
      <c r="AL554" s="507">
        <f>Port[[#This Row],[EAD (THB)]]*Port[[#This Row],[PD_avg]]</f>
        <v>32655.794929119253</v>
      </c>
      <c r="AM554" s="507">
        <f>Port[[#This Row],[EAD_Interest (THB)]]*Port[[#This Row],[PD_avg]]</f>
        <v>0</v>
      </c>
      <c r="AN554" s="507">
        <f>Port[[#This Row],[EAD (THB)]]*Port[[#This Row],[LGD_avg]]</f>
        <v>74432219.917281434</v>
      </c>
      <c r="AO554" s="507">
        <f>Port[[#This Row],[EAD_Interest (THB)]]*Port[[#This Row],[LGD_avg]]</f>
        <v>0</v>
      </c>
      <c r="AP554" s="507">
        <f>Port[[#This Row],[EAD_Drawn (THB)]]+Port[[#This Row],[EAD_Interest (THB)]]</f>
        <v>2503530.1227133004</v>
      </c>
      <c r="AQ5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970886.38466372516</v>
      </c>
      <c r="AR554" s="522">
        <f>MAX(Port[[#This Row],[ECL (THB)]]+Port[[#This Row],[ECL_Interest (THB)]], Port[[#This Row],[ECL CBIRC (THB)]])</f>
        <v>970886.38466372516</v>
      </c>
    </row>
    <row r="555" spans="1:44">
      <c r="A555" s="2" t="s">
        <v>378</v>
      </c>
      <c r="B555" s="2" t="s">
        <v>236</v>
      </c>
      <c r="C555" s="2" t="s">
        <v>379</v>
      </c>
      <c r="D555" s="2" t="s">
        <v>25</v>
      </c>
      <c r="E555" s="2" t="s">
        <v>19</v>
      </c>
      <c r="F555" s="2" t="s">
        <v>380</v>
      </c>
      <c r="G555" s="2" t="s">
        <v>21</v>
      </c>
      <c r="H555">
        <v>1</v>
      </c>
      <c r="I555" s="2" t="s">
        <v>526</v>
      </c>
      <c r="J555" s="505">
        <v>9.0832004774658653E-4</v>
      </c>
      <c r="K555" s="505">
        <v>2.8858958587758516E-2</v>
      </c>
      <c r="L555" s="3">
        <v>1</v>
      </c>
      <c r="M555" s="3">
        <v>5.2488000000000001</v>
      </c>
      <c r="N555" s="507">
        <v>226270000</v>
      </c>
      <c r="O555" s="507">
        <v>0</v>
      </c>
      <c r="P555" s="507">
        <v>226270000</v>
      </c>
      <c r="Q555" s="507">
        <v>0</v>
      </c>
      <c r="R555" s="507">
        <v>5931.2541212444394</v>
      </c>
      <c r="S555" s="507">
        <v>0</v>
      </c>
      <c r="T555" s="507">
        <v>5931.2541212444394</v>
      </c>
      <c r="U555" s="507">
        <v>0</v>
      </c>
      <c r="V555" s="507">
        <f>Port[[#This Row],[EAD_Drawn (CNY)]]*Port[[#This Row],[CNY -&gt; FCY]]</f>
        <v>226270000</v>
      </c>
      <c r="W555" s="507">
        <f>Port[[#This Row],[EAD_Undrawn (CNY)]]*Port[[#This Row],[CNY -&gt; FCY]]</f>
        <v>0</v>
      </c>
      <c r="X555" s="507">
        <f>Port[[#This Row],[EAD (CNY)]]*Port[[#This Row],[CNY -&gt; FCY]]</f>
        <v>226270000</v>
      </c>
      <c r="Y555" s="507">
        <f>Port[[#This Row],[EAD_Interest (CNY)]]*Port[[#This Row],[CNY -&gt; FCY]]</f>
        <v>0</v>
      </c>
      <c r="Z555" s="507">
        <f>Port[[#This Row],[ECL_Drawn (CNY)]]*Port[[#This Row],[CNY -&gt; FCY]]</f>
        <v>5931.2541212444394</v>
      </c>
      <c r="AA555" s="507">
        <f>Port[[#This Row],[ECL_Undrawn (CNY)]]*Port[[#This Row],[CNY -&gt; FCY]]</f>
        <v>0</v>
      </c>
      <c r="AB555" s="507">
        <f>Port[[#This Row],[ECL (CNY)]]*Port[[#This Row],[CNY -&gt; FCY]]</f>
        <v>5931.2541212444394</v>
      </c>
      <c r="AC555" s="507">
        <f>Port[[#This Row],[ECL_Interest (CNY)]]*Port[[#This Row],[CNY -&gt; FCY]]</f>
        <v>0</v>
      </c>
      <c r="AD555" s="507">
        <f>Port[[#This Row],[EAD_Drawn (CNY)]]*Port[[#This Row],[CNY -&gt; THB]]</f>
        <v>1187645976</v>
      </c>
      <c r="AE555" s="507">
        <f>Port[[#This Row],[EAD_Undrawn (CNY)]]*Port[[#This Row],[CNY -&gt; THB]]</f>
        <v>0</v>
      </c>
      <c r="AF555" s="507">
        <f>Port[[#This Row],[EAD (CNY)]]*Port[[#This Row],[CNY -&gt; THB]]</f>
        <v>1187645976</v>
      </c>
      <c r="AG555" s="507">
        <f>Port[[#This Row],[EAD_Interest (CNY)]]*Port[[#This Row],[CNY -&gt; THB]]</f>
        <v>0</v>
      </c>
      <c r="AH555" s="507">
        <f>Port[[#This Row],[ECL_Drawn (CNY)]]*Port[[#This Row],[CNY -&gt; THB]]</f>
        <v>31131.966631587813</v>
      </c>
      <c r="AI555" s="507">
        <f>Port[[#This Row],[ECL_Undrawn (CNY)]]*Port[[#This Row],[CNY -&gt; THB]]</f>
        <v>0</v>
      </c>
      <c r="AJ555" s="507">
        <f>Port[[#This Row],[ECL (CNY)]]*Port[[#This Row],[CNY -&gt; THB]]</f>
        <v>31131.966631587813</v>
      </c>
      <c r="AK555" s="507">
        <f>Port[[#This Row],[ECL_Interest (CNY)]]*Port[[#This Row],[CNY -&gt; THB]]</f>
        <v>0</v>
      </c>
      <c r="AL555" s="507">
        <f>Port[[#This Row],[EAD (THB)]]*Port[[#This Row],[PD_avg]]</f>
        <v>1078762.6496263614</v>
      </c>
      <c r="AM555" s="507">
        <f>Port[[#This Row],[EAD_Interest (THB)]]*Port[[#This Row],[PD_avg]]</f>
        <v>0</v>
      </c>
      <c r="AN555" s="507">
        <f>Port[[#This Row],[EAD (THB)]]*Port[[#This Row],[LGD_avg]]</f>
        <v>34274226.038302042</v>
      </c>
      <c r="AO555" s="507">
        <f>Port[[#This Row],[EAD_Interest (THB)]]*Port[[#This Row],[LGD_avg]]</f>
        <v>0</v>
      </c>
      <c r="AP555" s="507">
        <f>Port[[#This Row],[EAD_Drawn (THB)]]+Port[[#This Row],[EAD_Interest (THB)]]</f>
        <v>1187645976</v>
      </c>
      <c r="AQ5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31131.966631587813</v>
      </c>
      <c r="AR555" s="522">
        <f>MAX(Port[[#This Row],[ECL (THB)]]+Port[[#This Row],[ECL_Interest (THB)]], Port[[#This Row],[ECL CBIRC (THB)]])</f>
        <v>31131.966631587813</v>
      </c>
    </row>
    <row r="556" spans="1:44">
      <c r="A556" s="2" t="s">
        <v>381</v>
      </c>
      <c r="B556" s="2" t="s">
        <v>382</v>
      </c>
      <c r="C556" s="2" t="s">
        <v>379</v>
      </c>
      <c r="D556" s="2" t="s">
        <v>30</v>
      </c>
      <c r="E556" s="2" t="s">
        <v>19</v>
      </c>
      <c r="F556" s="2" t="s">
        <v>380</v>
      </c>
      <c r="G556" s="2" t="s">
        <v>21</v>
      </c>
      <c r="H556">
        <v>1</v>
      </c>
      <c r="I556" s="2" t="s">
        <v>526</v>
      </c>
      <c r="J556" s="505">
        <v>1.3043899345507868E-2</v>
      </c>
      <c r="K556" s="505">
        <v>0.28246586113450112</v>
      </c>
      <c r="L556" s="3">
        <v>1</v>
      </c>
      <c r="M556" s="3">
        <v>5.2488000000000001</v>
      </c>
      <c r="N556" s="507">
        <v>505238.67</v>
      </c>
      <c r="O556" s="507">
        <v>0</v>
      </c>
      <c r="P556" s="507">
        <v>505238.67</v>
      </c>
      <c r="Q556" s="507">
        <v>0</v>
      </c>
      <c r="R556" s="507">
        <v>1861.5297810720767</v>
      </c>
      <c r="S556" s="507">
        <v>0</v>
      </c>
      <c r="T556" s="507">
        <v>1861.5297810720767</v>
      </c>
      <c r="U556" s="507">
        <v>0</v>
      </c>
      <c r="V556" s="507">
        <f>Port[[#This Row],[EAD_Drawn (CNY)]]*Port[[#This Row],[CNY -&gt; FCY]]</f>
        <v>505238.67</v>
      </c>
      <c r="W556" s="507">
        <f>Port[[#This Row],[EAD_Undrawn (CNY)]]*Port[[#This Row],[CNY -&gt; FCY]]</f>
        <v>0</v>
      </c>
      <c r="X556" s="507">
        <f>Port[[#This Row],[EAD (CNY)]]*Port[[#This Row],[CNY -&gt; FCY]]</f>
        <v>505238.67</v>
      </c>
      <c r="Y556" s="507">
        <f>Port[[#This Row],[EAD_Interest (CNY)]]*Port[[#This Row],[CNY -&gt; FCY]]</f>
        <v>0</v>
      </c>
      <c r="Z556" s="507">
        <f>Port[[#This Row],[ECL_Drawn (CNY)]]*Port[[#This Row],[CNY -&gt; FCY]]</f>
        <v>1861.5297810720767</v>
      </c>
      <c r="AA556" s="507">
        <f>Port[[#This Row],[ECL_Undrawn (CNY)]]*Port[[#This Row],[CNY -&gt; FCY]]</f>
        <v>0</v>
      </c>
      <c r="AB556" s="507">
        <f>Port[[#This Row],[ECL (CNY)]]*Port[[#This Row],[CNY -&gt; FCY]]</f>
        <v>1861.5297810720767</v>
      </c>
      <c r="AC556" s="507">
        <f>Port[[#This Row],[ECL_Interest (CNY)]]*Port[[#This Row],[CNY -&gt; FCY]]</f>
        <v>0</v>
      </c>
      <c r="AD556" s="507">
        <f>Port[[#This Row],[EAD_Drawn (CNY)]]*Port[[#This Row],[CNY -&gt; THB]]</f>
        <v>2651896.7310959999</v>
      </c>
      <c r="AE556" s="507">
        <f>Port[[#This Row],[EAD_Undrawn (CNY)]]*Port[[#This Row],[CNY -&gt; THB]]</f>
        <v>0</v>
      </c>
      <c r="AF556" s="507">
        <f>Port[[#This Row],[EAD (CNY)]]*Port[[#This Row],[CNY -&gt; THB]]</f>
        <v>2651896.7310959999</v>
      </c>
      <c r="AG556" s="507">
        <f>Port[[#This Row],[EAD_Interest (CNY)]]*Port[[#This Row],[CNY -&gt; THB]]</f>
        <v>0</v>
      </c>
      <c r="AH556" s="507">
        <f>Port[[#This Row],[ECL_Drawn (CNY)]]*Port[[#This Row],[CNY -&gt; THB]]</f>
        <v>9770.7975148911173</v>
      </c>
      <c r="AI556" s="507">
        <f>Port[[#This Row],[ECL_Undrawn (CNY)]]*Port[[#This Row],[CNY -&gt; THB]]</f>
        <v>0</v>
      </c>
      <c r="AJ556" s="507">
        <f>Port[[#This Row],[ECL (CNY)]]*Port[[#This Row],[CNY -&gt; THB]]</f>
        <v>9770.7975148911173</v>
      </c>
      <c r="AK556" s="507">
        <f>Port[[#This Row],[ECL_Interest (CNY)]]*Port[[#This Row],[CNY -&gt; THB]]</f>
        <v>0</v>
      </c>
      <c r="AL556" s="507">
        <f>Port[[#This Row],[EAD (THB)]]*Port[[#This Row],[PD_avg]]</f>
        <v>34591.074035097568</v>
      </c>
      <c r="AM556" s="507">
        <f>Port[[#This Row],[EAD_Interest (THB)]]*Port[[#This Row],[PD_avg]]</f>
        <v>0</v>
      </c>
      <c r="AN556" s="507">
        <f>Port[[#This Row],[EAD (THB)]]*Port[[#This Row],[LGD_avg]]</f>
        <v>749070.29378880013</v>
      </c>
      <c r="AO556" s="507">
        <f>Port[[#This Row],[EAD_Interest (THB)]]*Port[[#This Row],[LGD_avg]]</f>
        <v>0</v>
      </c>
      <c r="AP556" s="507">
        <f>Port[[#This Row],[EAD_Drawn (THB)]]+Port[[#This Row],[EAD_Interest (THB)]]</f>
        <v>2651896.7310959999</v>
      </c>
      <c r="AQ5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9770.7975148911173</v>
      </c>
      <c r="AR556" s="522">
        <f>MAX(Port[[#This Row],[ECL (THB)]]+Port[[#This Row],[ECL_Interest (THB)]], Port[[#This Row],[ECL CBIRC (THB)]])</f>
        <v>9770.7975148911173</v>
      </c>
    </row>
    <row r="557" spans="1:44">
      <c r="A557" s="2" t="s">
        <v>383</v>
      </c>
      <c r="B557" s="2" t="s">
        <v>382</v>
      </c>
      <c r="C557" s="2" t="s">
        <v>379</v>
      </c>
      <c r="D557" s="2" t="s">
        <v>30</v>
      </c>
      <c r="E557" s="2" t="s">
        <v>19</v>
      </c>
      <c r="F557" s="2" t="s">
        <v>380</v>
      </c>
      <c r="G557" s="2" t="s">
        <v>21</v>
      </c>
      <c r="H557">
        <v>1</v>
      </c>
      <c r="I557" s="2" t="s">
        <v>526</v>
      </c>
      <c r="J557" s="505">
        <v>1.3043899345507868E-2</v>
      </c>
      <c r="K557" s="505">
        <v>0.31530266449491839</v>
      </c>
      <c r="L557" s="3">
        <v>1</v>
      </c>
      <c r="M557" s="3">
        <v>5.2488000000000001</v>
      </c>
      <c r="N557" s="507">
        <v>158569.64000000001</v>
      </c>
      <c r="O557" s="507">
        <v>0</v>
      </c>
      <c r="P557" s="507">
        <v>158569.64000000001</v>
      </c>
      <c r="Q557" s="507">
        <v>0</v>
      </c>
      <c r="R557" s="507">
        <v>652.16144445407542</v>
      </c>
      <c r="S557" s="507">
        <v>0</v>
      </c>
      <c r="T557" s="507">
        <v>652.16144445407542</v>
      </c>
      <c r="U557" s="507">
        <v>0</v>
      </c>
      <c r="V557" s="507">
        <f>Port[[#This Row],[EAD_Drawn (CNY)]]*Port[[#This Row],[CNY -&gt; FCY]]</f>
        <v>158569.64000000001</v>
      </c>
      <c r="W557" s="507">
        <f>Port[[#This Row],[EAD_Undrawn (CNY)]]*Port[[#This Row],[CNY -&gt; FCY]]</f>
        <v>0</v>
      </c>
      <c r="X557" s="507">
        <f>Port[[#This Row],[EAD (CNY)]]*Port[[#This Row],[CNY -&gt; FCY]]</f>
        <v>158569.64000000001</v>
      </c>
      <c r="Y557" s="507">
        <f>Port[[#This Row],[EAD_Interest (CNY)]]*Port[[#This Row],[CNY -&gt; FCY]]</f>
        <v>0</v>
      </c>
      <c r="Z557" s="507">
        <f>Port[[#This Row],[ECL_Drawn (CNY)]]*Port[[#This Row],[CNY -&gt; FCY]]</f>
        <v>652.16144445407542</v>
      </c>
      <c r="AA557" s="507">
        <f>Port[[#This Row],[ECL_Undrawn (CNY)]]*Port[[#This Row],[CNY -&gt; FCY]]</f>
        <v>0</v>
      </c>
      <c r="AB557" s="507">
        <f>Port[[#This Row],[ECL (CNY)]]*Port[[#This Row],[CNY -&gt; FCY]]</f>
        <v>652.16144445407542</v>
      </c>
      <c r="AC557" s="507">
        <f>Port[[#This Row],[ECL_Interest (CNY)]]*Port[[#This Row],[CNY -&gt; FCY]]</f>
        <v>0</v>
      </c>
      <c r="AD557" s="507">
        <f>Port[[#This Row],[EAD_Drawn (CNY)]]*Port[[#This Row],[CNY -&gt; THB]]</f>
        <v>832300.32643200015</v>
      </c>
      <c r="AE557" s="507">
        <f>Port[[#This Row],[EAD_Undrawn (CNY)]]*Port[[#This Row],[CNY -&gt; THB]]</f>
        <v>0</v>
      </c>
      <c r="AF557" s="507">
        <f>Port[[#This Row],[EAD (CNY)]]*Port[[#This Row],[CNY -&gt; THB]]</f>
        <v>832300.32643200015</v>
      </c>
      <c r="AG557" s="507">
        <f>Port[[#This Row],[EAD_Interest (CNY)]]*Port[[#This Row],[CNY -&gt; THB]]</f>
        <v>0</v>
      </c>
      <c r="AH557" s="507">
        <f>Port[[#This Row],[ECL_Drawn (CNY)]]*Port[[#This Row],[CNY -&gt; THB]]</f>
        <v>3423.0649896505511</v>
      </c>
      <c r="AI557" s="507">
        <f>Port[[#This Row],[ECL_Undrawn (CNY)]]*Port[[#This Row],[CNY -&gt; THB]]</f>
        <v>0</v>
      </c>
      <c r="AJ557" s="507">
        <f>Port[[#This Row],[ECL (CNY)]]*Port[[#This Row],[CNY -&gt; THB]]</f>
        <v>3423.0649896505511</v>
      </c>
      <c r="AK557" s="507">
        <f>Port[[#This Row],[ECL_Interest (CNY)]]*Port[[#This Row],[CNY -&gt; THB]]</f>
        <v>0</v>
      </c>
      <c r="AL557" s="507">
        <f>Port[[#This Row],[EAD (THB)]]*Port[[#This Row],[PD_avg]]</f>
        <v>10856.441683212352</v>
      </c>
      <c r="AM557" s="507">
        <f>Port[[#This Row],[EAD_Interest (THB)]]*Port[[#This Row],[PD_avg]]</f>
        <v>0</v>
      </c>
      <c r="AN557" s="507">
        <f>Port[[#This Row],[EAD (THB)]]*Port[[#This Row],[LGD_avg]]</f>
        <v>262426.51058399997</v>
      </c>
      <c r="AO557" s="507">
        <f>Port[[#This Row],[EAD_Interest (THB)]]*Port[[#This Row],[LGD_avg]]</f>
        <v>0</v>
      </c>
      <c r="AP557" s="507">
        <f>Port[[#This Row],[EAD_Drawn (THB)]]+Port[[#This Row],[EAD_Interest (THB)]]</f>
        <v>832300.32643200015</v>
      </c>
      <c r="AQ5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3423.0649896505511</v>
      </c>
      <c r="AR557" s="522">
        <f>MAX(Port[[#This Row],[ECL (THB)]]+Port[[#This Row],[ECL_Interest (THB)]], Port[[#This Row],[ECL CBIRC (THB)]])</f>
        <v>3423.0649896505511</v>
      </c>
    </row>
    <row r="558" spans="1:44">
      <c r="A558" s="2" t="s">
        <v>384</v>
      </c>
      <c r="B558" s="2" t="s">
        <v>382</v>
      </c>
      <c r="C558" s="2" t="s">
        <v>379</v>
      </c>
      <c r="D558" s="2" t="s">
        <v>30</v>
      </c>
      <c r="E558" s="2" t="s">
        <v>19</v>
      </c>
      <c r="F558" s="2" t="s">
        <v>380</v>
      </c>
      <c r="G558" s="2" t="s">
        <v>21</v>
      </c>
      <c r="H558">
        <v>1</v>
      </c>
      <c r="I558" s="2" t="s">
        <v>526</v>
      </c>
      <c r="J558" s="505">
        <v>1.3043899345507868E-2</v>
      </c>
      <c r="K558" s="505">
        <v>0.73434810549262242</v>
      </c>
      <c r="L558" s="3">
        <v>1</v>
      </c>
      <c r="M558" s="3">
        <v>5.2488000000000001</v>
      </c>
      <c r="N558" s="507">
        <v>55552.7</v>
      </c>
      <c r="O558" s="507">
        <v>0</v>
      </c>
      <c r="P558" s="507">
        <v>55552.7</v>
      </c>
      <c r="Q558" s="507">
        <v>0</v>
      </c>
      <c r="R558" s="507">
        <v>532.12613467798042</v>
      </c>
      <c r="S558" s="507">
        <v>0</v>
      </c>
      <c r="T558" s="507">
        <v>532.12613467798042</v>
      </c>
      <c r="U558" s="507">
        <v>0</v>
      </c>
      <c r="V558" s="507">
        <f>Port[[#This Row],[EAD_Drawn (CNY)]]*Port[[#This Row],[CNY -&gt; FCY]]</f>
        <v>55552.7</v>
      </c>
      <c r="W558" s="507">
        <f>Port[[#This Row],[EAD_Undrawn (CNY)]]*Port[[#This Row],[CNY -&gt; FCY]]</f>
        <v>0</v>
      </c>
      <c r="X558" s="507">
        <f>Port[[#This Row],[EAD (CNY)]]*Port[[#This Row],[CNY -&gt; FCY]]</f>
        <v>55552.7</v>
      </c>
      <c r="Y558" s="507">
        <f>Port[[#This Row],[EAD_Interest (CNY)]]*Port[[#This Row],[CNY -&gt; FCY]]</f>
        <v>0</v>
      </c>
      <c r="Z558" s="507">
        <f>Port[[#This Row],[ECL_Drawn (CNY)]]*Port[[#This Row],[CNY -&gt; FCY]]</f>
        <v>532.12613467798042</v>
      </c>
      <c r="AA558" s="507">
        <f>Port[[#This Row],[ECL_Undrawn (CNY)]]*Port[[#This Row],[CNY -&gt; FCY]]</f>
        <v>0</v>
      </c>
      <c r="AB558" s="507">
        <f>Port[[#This Row],[ECL (CNY)]]*Port[[#This Row],[CNY -&gt; FCY]]</f>
        <v>532.12613467798042</v>
      </c>
      <c r="AC558" s="507">
        <f>Port[[#This Row],[ECL_Interest (CNY)]]*Port[[#This Row],[CNY -&gt; FCY]]</f>
        <v>0</v>
      </c>
      <c r="AD558" s="507">
        <f>Port[[#This Row],[EAD_Drawn (CNY)]]*Port[[#This Row],[CNY -&gt; THB]]</f>
        <v>291585.01175999996</v>
      </c>
      <c r="AE558" s="507">
        <f>Port[[#This Row],[EAD_Undrawn (CNY)]]*Port[[#This Row],[CNY -&gt; THB]]</f>
        <v>0</v>
      </c>
      <c r="AF558" s="507">
        <f>Port[[#This Row],[EAD (CNY)]]*Port[[#This Row],[CNY -&gt; THB]]</f>
        <v>291585.01175999996</v>
      </c>
      <c r="AG558" s="507">
        <f>Port[[#This Row],[EAD_Interest (CNY)]]*Port[[#This Row],[CNY -&gt; THB]]</f>
        <v>0</v>
      </c>
      <c r="AH558" s="507">
        <f>Port[[#This Row],[ECL_Drawn (CNY)]]*Port[[#This Row],[CNY -&gt; THB]]</f>
        <v>2793.0236556977839</v>
      </c>
      <c r="AI558" s="507">
        <f>Port[[#This Row],[ECL_Undrawn (CNY)]]*Port[[#This Row],[CNY -&gt; THB]]</f>
        <v>0</v>
      </c>
      <c r="AJ558" s="507">
        <f>Port[[#This Row],[ECL (CNY)]]*Port[[#This Row],[CNY -&gt; THB]]</f>
        <v>2793.0236556977839</v>
      </c>
      <c r="AK558" s="507">
        <f>Port[[#This Row],[ECL_Interest (CNY)]]*Port[[#This Row],[CNY -&gt; THB]]</f>
        <v>0</v>
      </c>
      <c r="AL558" s="507">
        <f>Port[[#This Row],[EAD (THB)]]*Port[[#This Row],[PD_avg]]</f>
        <v>3803.4055440561674</v>
      </c>
      <c r="AM558" s="507">
        <f>Port[[#This Row],[EAD_Interest (THB)]]*Port[[#This Row],[PD_avg]]</f>
        <v>0</v>
      </c>
      <c r="AN558" s="507">
        <f>Port[[#This Row],[EAD (THB)]]*Port[[#This Row],[LGD_avg]]</f>
        <v>214124.900976</v>
      </c>
      <c r="AO558" s="507">
        <f>Port[[#This Row],[EAD_Interest (THB)]]*Port[[#This Row],[LGD_avg]]</f>
        <v>0</v>
      </c>
      <c r="AP558" s="507">
        <f>Port[[#This Row],[EAD_Drawn (THB)]]+Port[[#This Row],[EAD_Interest (THB)]]</f>
        <v>291585.01175999996</v>
      </c>
      <c r="AQ5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2793.0236556977839</v>
      </c>
      <c r="AR558" s="522">
        <f>MAX(Port[[#This Row],[ECL (THB)]]+Port[[#This Row],[ECL_Interest (THB)]], Port[[#This Row],[ECL CBIRC (THB)]])</f>
        <v>2793.0236556977839</v>
      </c>
    </row>
    <row r="559" spans="1:44">
      <c r="A559" s="2" t="s">
        <v>385</v>
      </c>
      <c r="B559" s="2" t="s">
        <v>382</v>
      </c>
      <c r="C559" s="2" t="s">
        <v>379</v>
      </c>
      <c r="D559" s="2" t="s">
        <v>30</v>
      </c>
      <c r="E559" s="2" t="s">
        <v>19</v>
      </c>
      <c r="F559" s="2" t="s">
        <v>380</v>
      </c>
      <c r="G559" s="2" t="s">
        <v>21</v>
      </c>
      <c r="H559">
        <v>1</v>
      </c>
      <c r="I559" s="2" t="s">
        <v>526</v>
      </c>
      <c r="J559" s="505">
        <v>1.3043899345507868E-2</v>
      </c>
      <c r="K559" s="505">
        <v>117.40467318069706</v>
      </c>
      <c r="L559" s="3">
        <v>1</v>
      </c>
      <c r="M559" s="3">
        <v>5.2488000000000001</v>
      </c>
      <c r="N559" s="507">
        <v>45327.8</v>
      </c>
      <c r="O559" s="507">
        <v>0</v>
      </c>
      <c r="P559" s="507">
        <v>45327.8</v>
      </c>
      <c r="Q559" s="507">
        <v>0</v>
      </c>
      <c r="R559" s="507">
        <v>69415.661036417645</v>
      </c>
      <c r="S559" s="507">
        <v>0</v>
      </c>
      <c r="T559" s="507">
        <v>69415.661036417645</v>
      </c>
      <c r="U559" s="507">
        <v>0</v>
      </c>
      <c r="V559" s="507">
        <f>Port[[#This Row],[EAD_Drawn (CNY)]]*Port[[#This Row],[CNY -&gt; FCY]]</f>
        <v>45327.8</v>
      </c>
      <c r="W559" s="507">
        <f>Port[[#This Row],[EAD_Undrawn (CNY)]]*Port[[#This Row],[CNY -&gt; FCY]]</f>
        <v>0</v>
      </c>
      <c r="X559" s="507">
        <f>Port[[#This Row],[EAD (CNY)]]*Port[[#This Row],[CNY -&gt; FCY]]</f>
        <v>45327.8</v>
      </c>
      <c r="Y559" s="507">
        <f>Port[[#This Row],[EAD_Interest (CNY)]]*Port[[#This Row],[CNY -&gt; FCY]]</f>
        <v>0</v>
      </c>
      <c r="Z559" s="507">
        <f>Port[[#This Row],[ECL_Drawn (CNY)]]*Port[[#This Row],[CNY -&gt; FCY]]</f>
        <v>69415.661036417645</v>
      </c>
      <c r="AA559" s="507">
        <f>Port[[#This Row],[ECL_Undrawn (CNY)]]*Port[[#This Row],[CNY -&gt; FCY]]</f>
        <v>0</v>
      </c>
      <c r="AB559" s="507">
        <f>Port[[#This Row],[ECL (CNY)]]*Port[[#This Row],[CNY -&gt; FCY]]</f>
        <v>69415.661036417645</v>
      </c>
      <c r="AC559" s="507">
        <f>Port[[#This Row],[ECL_Interest (CNY)]]*Port[[#This Row],[CNY -&gt; FCY]]</f>
        <v>0</v>
      </c>
      <c r="AD559" s="507">
        <f>Port[[#This Row],[EAD_Drawn (CNY)]]*Port[[#This Row],[CNY -&gt; THB]]</f>
        <v>237916.55664000002</v>
      </c>
      <c r="AE559" s="507">
        <f>Port[[#This Row],[EAD_Undrawn (CNY)]]*Port[[#This Row],[CNY -&gt; THB]]</f>
        <v>0</v>
      </c>
      <c r="AF559" s="507">
        <f>Port[[#This Row],[EAD (CNY)]]*Port[[#This Row],[CNY -&gt; THB]]</f>
        <v>237916.55664000002</v>
      </c>
      <c r="AG559" s="507">
        <f>Port[[#This Row],[EAD_Interest (CNY)]]*Port[[#This Row],[CNY -&gt; THB]]</f>
        <v>0</v>
      </c>
      <c r="AH559" s="507">
        <f>Port[[#This Row],[ECL_Drawn (CNY)]]*Port[[#This Row],[CNY -&gt; THB]]</f>
        <v>364348.92164794897</v>
      </c>
      <c r="AI559" s="507">
        <f>Port[[#This Row],[ECL_Undrawn (CNY)]]*Port[[#This Row],[CNY -&gt; THB]]</f>
        <v>0</v>
      </c>
      <c r="AJ559" s="507">
        <f>Port[[#This Row],[ECL (CNY)]]*Port[[#This Row],[CNY -&gt; THB]]</f>
        <v>364348.92164794897</v>
      </c>
      <c r="AK559" s="507">
        <f>Port[[#This Row],[ECL_Interest (CNY)]]*Port[[#This Row],[CNY -&gt; THB]]</f>
        <v>0</v>
      </c>
      <c r="AL559" s="507">
        <f>Port[[#This Row],[EAD (THB)]]*Port[[#This Row],[PD_avg]]</f>
        <v>3103.3596174419822</v>
      </c>
      <c r="AM559" s="507">
        <f>Port[[#This Row],[EAD_Interest (THB)]]*Port[[#This Row],[PD_avg]]</f>
        <v>0</v>
      </c>
      <c r="AN559" s="507">
        <f>Port[[#This Row],[EAD (THB)]]*Port[[#This Row],[LGD_avg]]</f>
        <v>27932515.576596003</v>
      </c>
      <c r="AO559" s="507">
        <f>Port[[#This Row],[EAD_Interest (THB)]]*Port[[#This Row],[LGD_avg]]</f>
        <v>0</v>
      </c>
      <c r="AP559" s="507">
        <f>Port[[#This Row],[EAD_Drawn (THB)]]+Port[[#This Row],[EAD_Interest (THB)]]</f>
        <v>237916.55664000002</v>
      </c>
      <c r="AQ5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364348.92164794897</v>
      </c>
      <c r="AR559" s="522">
        <f>MAX(Port[[#This Row],[ECL (THB)]]+Port[[#This Row],[ECL_Interest (THB)]], Port[[#This Row],[ECL CBIRC (THB)]])</f>
        <v>364348.92164794897</v>
      </c>
    </row>
    <row r="560" spans="1:44">
      <c r="A560" s="2" t="s">
        <v>386</v>
      </c>
      <c r="B560" s="2" t="s">
        <v>382</v>
      </c>
      <c r="C560" s="2" t="s">
        <v>379</v>
      </c>
      <c r="D560" s="2" t="s">
        <v>30</v>
      </c>
      <c r="E560" s="2" t="s">
        <v>19</v>
      </c>
      <c r="F560" s="2" t="s">
        <v>380</v>
      </c>
      <c r="G560" s="2" t="s">
        <v>21</v>
      </c>
      <c r="H560">
        <v>1</v>
      </c>
      <c r="I560" s="2" t="s">
        <v>526</v>
      </c>
      <c r="J560" s="505">
        <v>1.3043899345507868E-2</v>
      </c>
      <c r="K560" s="505">
        <v>3.3075015511809039E-2</v>
      </c>
      <c r="L560" s="3">
        <v>1</v>
      </c>
      <c r="M560" s="3">
        <v>5.2488000000000001</v>
      </c>
      <c r="N560" s="507">
        <v>5912995.0499999998</v>
      </c>
      <c r="O560" s="507">
        <v>0</v>
      </c>
      <c r="P560" s="507">
        <v>5912995.0499999998</v>
      </c>
      <c r="Q560" s="507">
        <v>0</v>
      </c>
      <c r="R560" s="507">
        <v>2551.0267394911016</v>
      </c>
      <c r="S560" s="507">
        <v>0</v>
      </c>
      <c r="T560" s="507">
        <v>2551.0267394911016</v>
      </c>
      <c r="U560" s="507">
        <v>0</v>
      </c>
      <c r="V560" s="507">
        <f>Port[[#This Row],[EAD_Drawn (CNY)]]*Port[[#This Row],[CNY -&gt; FCY]]</f>
        <v>5912995.0499999998</v>
      </c>
      <c r="W560" s="507">
        <f>Port[[#This Row],[EAD_Undrawn (CNY)]]*Port[[#This Row],[CNY -&gt; FCY]]</f>
        <v>0</v>
      </c>
      <c r="X560" s="507">
        <f>Port[[#This Row],[EAD (CNY)]]*Port[[#This Row],[CNY -&gt; FCY]]</f>
        <v>5912995.0499999998</v>
      </c>
      <c r="Y560" s="507">
        <f>Port[[#This Row],[EAD_Interest (CNY)]]*Port[[#This Row],[CNY -&gt; FCY]]</f>
        <v>0</v>
      </c>
      <c r="Z560" s="507">
        <f>Port[[#This Row],[ECL_Drawn (CNY)]]*Port[[#This Row],[CNY -&gt; FCY]]</f>
        <v>2551.0267394911016</v>
      </c>
      <c r="AA560" s="507">
        <f>Port[[#This Row],[ECL_Undrawn (CNY)]]*Port[[#This Row],[CNY -&gt; FCY]]</f>
        <v>0</v>
      </c>
      <c r="AB560" s="507">
        <f>Port[[#This Row],[ECL (CNY)]]*Port[[#This Row],[CNY -&gt; FCY]]</f>
        <v>2551.0267394911016</v>
      </c>
      <c r="AC560" s="507">
        <f>Port[[#This Row],[ECL_Interest (CNY)]]*Port[[#This Row],[CNY -&gt; FCY]]</f>
        <v>0</v>
      </c>
      <c r="AD560" s="507">
        <f>Port[[#This Row],[EAD_Drawn (CNY)]]*Port[[#This Row],[CNY -&gt; THB]]</f>
        <v>31036128.418439999</v>
      </c>
      <c r="AE560" s="507">
        <f>Port[[#This Row],[EAD_Undrawn (CNY)]]*Port[[#This Row],[CNY -&gt; THB]]</f>
        <v>0</v>
      </c>
      <c r="AF560" s="507">
        <f>Port[[#This Row],[EAD (CNY)]]*Port[[#This Row],[CNY -&gt; THB]]</f>
        <v>31036128.418439999</v>
      </c>
      <c r="AG560" s="507">
        <f>Port[[#This Row],[EAD_Interest (CNY)]]*Port[[#This Row],[CNY -&gt; THB]]</f>
        <v>0</v>
      </c>
      <c r="AH560" s="507">
        <f>Port[[#This Row],[ECL_Drawn (CNY)]]*Port[[#This Row],[CNY -&gt; THB]]</f>
        <v>13389.829150240894</v>
      </c>
      <c r="AI560" s="507">
        <f>Port[[#This Row],[ECL_Undrawn (CNY)]]*Port[[#This Row],[CNY -&gt; THB]]</f>
        <v>0</v>
      </c>
      <c r="AJ560" s="507">
        <f>Port[[#This Row],[ECL (CNY)]]*Port[[#This Row],[CNY -&gt; THB]]</f>
        <v>13389.829150240894</v>
      </c>
      <c r="AK560" s="507">
        <f>Port[[#This Row],[ECL_Interest (CNY)]]*Port[[#This Row],[CNY -&gt; THB]]</f>
        <v>0</v>
      </c>
      <c r="AL560" s="507">
        <f>Port[[#This Row],[EAD (THB)]]*Port[[#This Row],[PD_avg]]</f>
        <v>404832.13516438764</v>
      </c>
      <c r="AM560" s="507">
        <f>Port[[#This Row],[EAD_Interest (THB)]]*Port[[#This Row],[PD_avg]]</f>
        <v>0</v>
      </c>
      <c r="AN560" s="507">
        <f>Port[[#This Row],[EAD (THB)]]*Port[[#This Row],[LGD_avg]]</f>
        <v>1026520.4288664003</v>
      </c>
      <c r="AO560" s="507">
        <f>Port[[#This Row],[EAD_Interest (THB)]]*Port[[#This Row],[LGD_avg]]</f>
        <v>0</v>
      </c>
      <c r="AP560" s="507">
        <f>Port[[#This Row],[EAD_Drawn (THB)]]+Port[[#This Row],[EAD_Interest (THB)]]</f>
        <v>31036128.418439999</v>
      </c>
      <c r="AQ56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13389.829150240894</v>
      </c>
      <c r="AR560" s="522">
        <f>MAX(Port[[#This Row],[ECL (THB)]]+Port[[#This Row],[ECL_Interest (THB)]], Port[[#This Row],[ECL CBIRC (THB)]])</f>
        <v>13389.829150240894</v>
      </c>
    </row>
    <row r="561" spans="1:44">
      <c r="A561" s="2" t="s">
        <v>387</v>
      </c>
      <c r="B561" s="2" t="s">
        <v>382</v>
      </c>
      <c r="C561" s="2" t="s">
        <v>379</v>
      </c>
      <c r="D561" s="2" t="s">
        <v>30</v>
      </c>
      <c r="E561" s="2" t="s">
        <v>19</v>
      </c>
      <c r="F561" s="2" t="s">
        <v>380</v>
      </c>
      <c r="G561" s="2" t="s">
        <v>21</v>
      </c>
      <c r="H561">
        <v>1</v>
      </c>
      <c r="I561" s="2" t="s">
        <v>526</v>
      </c>
      <c r="J561" s="505">
        <v>1.3043899345507868E-2</v>
      </c>
      <c r="K561" s="505">
        <v>30.403435208596381</v>
      </c>
      <c r="L561" s="3">
        <v>1</v>
      </c>
      <c r="M561" s="3">
        <v>5.2488000000000001</v>
      </c>
      <c r="N561" s="507">
        <v>217302.67</v>
      </c>
      <c r="O561" s="507">
        <v>0</v>
      </c>
      <c r="P561" s="507">
        <v>217302.67</v>
      </c>
      <c r="Q561" s="507">
        <v>0</v>
      </c>
      <c r="R561" s="507">
        <v>86177.751321682852</v>
      </c>
      <c r="S561" s="507">
        <v>0</v>
      </c>
      <c r="T561" s="507">
        <v>86177.751321682852</v>
      </c>
      <c r="U561" s="507">
        <v>0</v>
      </c>
      <c r="V561" s="507">
        <f>Port[[#This Row],[EAD_Drawn (CNY)]]*Port[[#This Row],[CNY -&gt; FCY]]</f>
        <v>217302.67</v>
      </c>
      <c r="W561" s="507">
        <f>Port[[#This Row],[EAD_Undrawn (CNY)]]*Port[[#This Row],[CNY -&gt; FCY]]</f>
        <v>0</v>
      </c>
      <c r="X561" s="507">
        <f>Port[[#This Row],[EAD (CNY)]]*Port[[#This Row],[CNY -&gt; FCY]]</f>
        <v>217302.67</v>
      </c>
      <c r="Y561" s="507">
        <f>Port[[#This Row],[EAD_Interest (CNY)]]*Port[[#This Row],[CNY -&gt; FCY]]</f>
        <v>0</v>
      </c>
      <c r="Z561" s="507">
        <f>Port[[#This Row],[ECL_Drawn (CNY)]]*Port[[#This Row],[CNY -&gt; FCY]]</f>
        <v>86177.751321682852</v>
      </c>
      <c r="AA561" s="507">
        <f>Port[[#This Row],[ECL_Undrawn (CNY)]]*Port[[#This Row],[CNY -&gt; FCY]]</f>
        <v>0</v>
      </c>
      <c r="AB561" s="507">
        <f>Port[[#This Row],[ECL (CNY)]]*Port[[#This Row],[CNY -&gt; FCY]]</f>
        <v>86177.751321682852</v>
      </c>
      <c r="AC561" s="507">
        <f>Port[[#This Row],[ECL_Interest (CNY)]]*Port[[#This Row],[CNY -&gt; FCY]]</f>
        <v>0</v>
      </c>
      <c r="AD561" s="507">
        <f>Port[[#This Row],[EAD_Drawn (CNY)]]*Port[[#This Row],[CNY -&gt; THB]]</f>
        <v>1140578.2542960001</v>
      </c>
      <c r="AE561" s="507">
        <f>Port[[#This Row],[EAD_Undrawn (CNY)]]*Port[[#This Row],[CNY -&gt; THB]]</f>
        <v>0</v>
      </c>
      <c r="AF561" s="507">
        <f>Port[[#This Row],[EAD (CNY)]]*Port[[#This Row],[CNY -&gt; THB]]</f>
        <v>1140578.2542960001</v>
      </c>
      <c r="AG561" s="507">
        <f>Port[[#This Row],[EAD_Interest (CNY)]]*Port[[#This Row],[CNY -&gt; THB]]</f>
        <v>0</v>
      </c>
      <c r="AH561" s="507">
        <f>Port[[#This Row],[ECL_Drawn (CNY)]]*Port[[#This Row],[CNY -&gt; THB]]</f>
        <v>452329.78113724897</v>
      </c>
      <c r="AI561" s="507">
        <f>Port[[#This Row],[ECL_Undrawn (CNY)]]*Port[[#This Row],[CNY -&gt; THB]]</f>
        <v>0</v>
      </c>
      <c r="AJ561" s="507">
        <f>Port[[#This Row],[ECL (CNY)]]*Port[[#This Row],[CNY -&gt; THB]]</f>
        <v>452329.78113724897</v>
      </c>
      <c r="AK561" s="507">
        <f>Port[[#This Row],[ECL_Interest (CNY)]]*Port[[#This Row],[CNY -&gt; THB]]</f>
        <v>0</v>
      </c>
      <c r="AL561" s="507">
        <f>Port[[#This Row],[EAD (THB)]]*Port[[#This Row],[PD_avg]]</f>
        <v>14877.587944712102</v>
      </c>
      <c r="AM561" s="507">
        <f>Port[[#This Row],[EAD_Interest (THB)]]*Port[[#This Row],[PD_avg]]</f>
        <v>0</v>
      </c>
      <c r="AN561" s="507">
        <f>Port[[#This Row],[EAD (THB)]]*Port[[#This Row],[LGD_avg]]</f>
        <v>34677497.054822408</v>
      </c>
      <c r="AO561" s="507">
        <f>Port[[#This Row],[EAD_Interest (THB)]]*Port[[#This Row],[LGD_avg]]</f>
        <v>0</v>
      </c>
      <c r="AP561" s="507">
        <f>Port[[#This Row],[EAD_Drawn (THB)]]+Port[[#This Row],[EAD_Interest (THB)]]</f>
        <v>1140578.2542960001</v>
      </c>
      <c r="AQ56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452329.78113724897</v>
      </c>
      <c r="AR561" s="522">
        <f>MAX(Port[[#This Row],[ECL (THB)]]+Port[[#This Row],[ECL_Interest (THB)]], Port[[#This Row],[ECL CBIRC (THB)]])</f>
        <v>452329.78113724897</v>
      </c>
    </row>
    <row r="562" spans="1:44">
      <c r="A562" s="2" t="s">
        <v>388</v>
      </c>
      <c r="B562" s="2" t="s">
        <v>382</v>
      </c>
      <c r="C562" s="2" t="s">
        <v>379</v>
      </c>
      <c r="D562" s="2" t="s">
        <v>30</v>
      </c>
      <c r="E562" s="2" t="s">
        <v>19</v>
      </c>
      <c r="F562" s="2" t="s">
        <v>380</v>
      </c>
      <c r="G562" s="2" t="s">
        <v>21</v>
      </c>
      <c r="H562">
        <v>1</v>
      </c>
      <c r="I562" s="2" t="s">
        <v>526</v>
      </c>
      <c r="J562" s="505">
        <v>1.3043899345507868E-2</v>
      </c>
      <c r="K562" s="505">
        <v>5.3981996740554183E-4</v>
      </c>
      <c r="L562" s="3">
        <v>1</v>
      </c>
      <c r="M562" s="3">
        <v>5.2488000000000001</v>
      </c>
      <c r="N562" s="507">
        <v>7340830.7199999997</v>
      </c>
      <c r="O562" s="507">
        <v>0</v>
      </c>
      <c r="P562" s="507">
        <v>7340830.7199999997</v>
      </c>
      <c r="Q562" s="507">
        <v>0</v>
      </c>
      <c r="R562" s="507">
        <v>51.689412121726356</v>
      </c>
      <c r="S562" s="507">
        <v>0</v>
      </c>
      <c r="T562" s="507">
        <v>51.689412121726356</v>
      </c>
      <c r="U562" s="507">
        <v>0</v>
      </c>
      <c r="V562" s="507">
        <f>Port[[#This Row],[EAD_Drawn (CNY)]]*Port[[#This Row],[CNY -&gt; FCY]]</f>
        <v>7340830.7199999997</v>
      </c>
      <c r="W562" s="507">
        <f>Port[[#This Row],[EAD_Undrawn (CNY)]]*Port[[#This Row],[CNY -&gt; FCY]]</f>
        <v>0</v>
      </c>
      <c r="X562" s="507">
        <f>Port[[#This Row],[EAD (CNY)]]*Port[[#This Row],[CNY -&gt; FCY]]</f>
        <v>7340830.7199999997</v>
      </c>
      <c r="Y562" s="507">
        <f>Port[[#This Row],[EAD_Interest (CNY)]]*Port[[#This Row],[CNY -&gt; FCY]]</f>
        <v>0</v>
      </c>
      <c r="Z562" s="507">
        <f>Port[[#This Row],[ECL_Drawn (CNY)]]*Port[[#This Row],[CNY -&gt; FCY]]</f>
        <v>51.689412121726356</v>
      </c>
      <c r="AA562" s="507">
        <f>Port[[#This Row],[ECL_Undrawn (CNY)]]*Port[[#This Row],[CNY -&gt; FCY]]</f>
        <v>0</v>
      </c>
      <c r="AB562" s="507">
        <f>Port[[#This Row],[ECL (CNY)]]*Port[[#This Row],[CNY -&gt; FCY]]</f>
        <v>51.689412121726356</v>
      </c>
      <c r="AC562" s="507">
        <f>Port[[#This Row],[ECL_Interest (CNY)]]*Port[[#This Row],[CNY -&gt; FCY]]</f>
        <v>0</v>
      </c>
      <c r="AD562" s="507">
        <f>Port[[#This Row],[EAD_Drawn (CNY)]]*Port[[#This Row],[CNY -&gt; THB]]</f>
        <v>38530552.283136003</v>
      </c>
      <c r="AE562" s="507">
        <f>Port[[#This Row],[EAD_Undrawn (CNY)]]*Port[[#This Row],[CNY -&gt; THB]]</f>
        <v>0</v>
      </c>
      <c r="AF562" s="507">
        <f>Port[[#This Row],[EAD (CNY)]]*Port[[#This Row],[CNY -&gt; THB]]</f>
        <v>38530552.283136003</v>
      </c>
      <c r="AG562" s="507">
        <f>Port[[#This Row],[EAD_Interest (CNY)]]*Port[[#This Row],[CNY -&gt; THB]]</f>
        <v>0</v>
      </c>
      <c r="AH562" s="507">
        <f>Port[[#This Row],[ECL_Drawn (CNY)]]*Port[[#This Row],[CNY -&gt; THB]]</f>
        <v>271.30738634451728</v>
      </c>
      <c r="AI562" s="507">
        <f>Port[[#This Row],[ECL_Undrawn (CNY)]]*Port[[#This Row],[CNY -&gt; THB]]</f>
        <v>0</v>
      </c>
      <c r="AJ562" s="507">
        <f>Port[[#This Row],[ECL (CNY)]]*Port[[#This Row],[CNY -&gt; THB]]</f>
        <v>271.30738634451728</v>
      </c>
      <c r="AK562" s="507">
        <f>Port[[#This Row],[ECL_Interest (CNY)]]*Port[[#This Row],[CNY -&gt; THB]]</f>
        <v>0</v>
      </c>
      <c r="AL562" s="507">
        <f>Port[[#This Row],[EAD (THB)]]*Port[[#This Row],[PD_avg]]</f>
        <v>502588.64570805442</v>
      </c>
      <c r="AM562" s="507">
        <f>Port[[#This Row],[EAD_Interest (THB)]]*Port[[#This Row],[PD_avg]]</f>
        <v>0</v>
      </c>
      <c r="AN562" s="507">
        <f>Port[[#This Row],[EAD (THB)]]*Port[[#This Row],[LGD_avg]]</f>
        <v>20799.561477600004</v>
      </c>
      <c r="AO562" s="507">
        <f>Port[[#This Row],[EAD_Interest (THB)]]*Port[[#This Row],[LGD_avg]]</f>
        <v>0</v>
      </c>
      <c r="AP562" s="507">
        <f>Port[[#This Row],[EAD_Drawn (THB)]]+Port[[#This Row],[EAD_Interest (THB)]]</f>
        <v>38530552.283136003</v>
      </c>
      <c r="AQ56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271.30738634451728</v>
      </c>
      <c r="AR562" s="522">
        <f>MAX(Port[[#This Row],[ECL (THB)]]+Port[[#This Row],[ECL_Interest (THB)]], Port[[#This Row],[ECL CBIRC (THB)]])</f>
        <v>271.30738634451728</v>
      </c>
    </row>
    <row r="563" spans="1:44">
      <c r="A563" s="2" t="s">
        <v>389</v>
      </c>
      <c r="B563" s="2" t="s">
        <v>382</v>
      </c>
      <c r="C563" s="2" t="s">
        <v>379</v>
      </c>
      <c r="D563" s="2" t="s">
        <v>30</v>
      </c>
      <c r="E563" s="2" t="s">
        <v>19</v>
      </c>
      <c r="F563" s="2" t="s">
        <v>380</v>
      </c>
      <c r="G563" s="2" t="s">
        <v>21</v>
      </c>
      <c r="H563">
        <v>1</v>
      </c>
      <c r="I563" s="2" t="s">
        <v>526</v>
      </c>
      <c r="J563" s="505">
        <v>1.3043899345507868E-2</v>
      </c>
      <c r="K563" s="505">
        <v>172.12853466817171</v>
      </c>
      <c r="L563" s="3">
        <v>1</v>
      </c>
      <c r="M563" s="3">
        <v>5.2488000000000001</v>
      </c>
      <c r="N563" s="507">
        <v>4403.03</v>
      </c>
      <c r="O563" s="507">
        <v>0</v>
      </c>
      <c r="P563" s="507">
        <v>4403.03</v>
      </c>
      <c r="Q563" s="507">
        <v>0</v>
      </c>
      <c r="R563" s="507">
        <v>9885.8030737466561</v>
      </c>
      <c r="S563" s="507">
        <v>0</v>
      </c>
      <c r="T563" s="507">
        <v>9885.8030737466561</v>
      </c>
      <c r="U563" s="507">
        <v>0</v>
      </c>
      <c r="V563" s="507">
        <f>Port[[#This Row],[EAD_Drawn (CNY)]]*Port[[#This Row],[CNY -&gt; FCY]]</f>
        <v>4403.03</v>
      </c>
      <c r="W563" s="507">
        <f>Port[[#This Row],[EAD_Undrawn (CNY)]]*Port[[#This Row],[CNY -&gt; FCY]]</f>
        <v>0</v>
      </c>
      <c r="X563" s="507">
        <f>Port[[#This Row],[EAD (CNY)]]*Port[[#This Row],[CNY -&gt; FCY]]</f>
        <v>4403.03</v>
      </c>
      <c r="Y563" s="507">
        <f>Port[[#This Row],[EAD_Interest (CNY)]]*Port[[#This Row],[CNY -&gt; FCY]]</f>
        <v>0</v>
      </c>
      <c r="Z563" s="507">
        <f>Port[[#This Row],[ECL_Drawn (CNY)]]*Port[[#This Row],[CNY -&gt; FCY]]</f>
        <v>9885.8030737466561</v>
      </c>
      <c r="AA563" s="507">
        <f>Port[[#This Row],[ECL_Undrawn (CNY)]]*Port[[#This Row],[CNY -&gt; FCY]]</f>
        <v>0</v>
      </c>
      <c r="AB563" s="507">
        <f>Port[[#This Row],[ECL (CNY)]]*Port[[#This Row],[CNY -&gt; FCY]]</f>
        <v>9885.8030737466561</v>
      </c>
      <c r="AC563" s="507">
        <f>Port[[#This Row],[ECL_Interest (CNY)]]*Port[[#This Row],[CNY -&gt; FCY]]</f>
        <v>0</v>
      </c>
      <c r="AD563" s="507">
        <f>Port[[#This Row],[EAD_Drawn (CNY)]]*Port[[#This Row],[CNY -&gt; THB]]</f>
        <v>23110.623864000001</v>
      </c>
      <c r="AE563" s="507">
        <f>Port[[#This Row],[EAD_Undrawn (CNY)]]*Port[[#This Row],[CNY -&gt; THB]]</f>
        <v>0</v>
      </c>
      <c r="AF563" s="507">
        <f>Port[[#This Row],[EAD (CNY)]]*Port[[#This Row],[CNY -&gt; THB]]</f>
        <v>23110.623864000001</v>
      </c>
      <c r="AG563" s="507">
        <f>Port[[#This Row],[EAD_Interest (CNY)]]*Port[[#This Row],[CNY -&gt; THB]]</f>
        <v>0</v>
      </c>
      <c r="AH563" s="507">
        <f>Port[[#This Row],[ECL_Drawn (CNY)]]*Port[[#This Row],[CNY -&gt; THB]]</f>
        <v>51888.603173481453</v>
      </c>
      <c r="AI563" s="507">
        <f>Port[[#This Row],[ECL_Undrawn (CNY)]]*Port[[#This Row],[CNY -&gt; THB]]</f>
        <v>0</v>
      </c>
      <c r="AJ563" s="507">
        <f>Port[[#This Row],[ECL (CNY)]]*Port[[#This Row],[CNY -&gt; THB]]</f>
        <v>51888.603173481453</v>
      </c>
      <c r="AK563" s="507">
        <f>Port[[#This Row],[ECL_Interest (CNY)]]*Port[[#This Row],[CNY -&gt; THB]]</f>
        <v>0</v>
      </c>
      <c r="AL563" s="507">
        <f>Port[[#This Row],[EAD (THB)]]*Port[[#This Row],[PD_avg]]</f>
        <v>301.45265149390815</v>
      </c>
      <c r="AM563" s="507">
        <f>Port[[#This Row],[EAD_Interest (THB)]]*Port[[#This Row],[PD_avg]]</f>
        <v>0</v>
      </c>
      <c r="AN563" s="507">
        <f>Port[[#This Row],[EAD (THB)]]*Port[[#This Row],[LGD_avg]]</f>
        <v>3977997.8209776008</v>
      </c>
      <c r="AO563" s="507">
        <f>Port[[#This Row],[EAD_Interest (THB)]]*Port[[#This Row],[LGD_avg]]</f>
        <v>0</v>
      </c>
      <c r="AP563" s="507">
        <f>Port[[#This Row],[EAD_Drawn (THB)]]+Port[[#This Row],[EAD_Interest (THB)]]</f>
        <v>23110.623864000001</v>
      </c>
      <c r="AQ56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51888.603173481453</v>
      </c>
      <c r="AR563" s="522">
        <f>MAX(Port[[#This Row],[ECL (THB)]]+Port[[#This Row],[ECL_Interest (THB)]], Port[[#This Row],[ECL CBIRC (THB)]])</f>
        <v>51888.603173481453</v>
      </c>
    </row>
    <row r="564" spans="1:44">
      <c r="A564" s="2" t="s">
        <v>390</v>
      </c>
      <c r="B564" s="2" t="s">
        <v>382</v>
      </c>
      <c r="C564" s="2" t="s">
        <v>379</v>
      </c>
      <c r="D564" s="2" t="s">
        <v>30</v>
      </c>
      <c r="E564" s="2" t="s">
        <v>19</v>
      </c>
      <c r="F564" s="2" t="s">
        <v>380</v>
      </c>
      <c r="G564" s="2" t="s">
        <v>21</v>
      </c>
      <c r="H564">
        <v>1</v>
      </c>
      <c r="I564" s="2" t="s">
        <v>526</v>
      </c>
      <c r="J564" s="505">
        <v>1.3043899345507868E-2</v>
      </c>
      <c r="K564" s="505">
        <v>0.1168540592210791</v>
      </c>
      <c r="L564" s="3">
        <v>1</v>
      </c>
      <c r="M564" s="3">
        <v>5.2488000000000001</v>
      </c>
      <c r="N564" s="507">
        <v>842096.78</v>
      </c>
      <c r="O564" s="507">
        <v>0</v>
      </c>
      <c r="P564" s="507">
        <v>842096.78</v>
      </c>
      <c r="Q564" s="507">
        <v>0</v>
      </c>
      <c r="R564" s="507">
        <v>1283.5513531416859</v>
      </c>
      <c r="S564" s="507">
        <v>0</v>
      </c>
      <c r="T564" s="507">
        <v>1283.5513531416859</v>
      </c>
      <c r="U564" s="507">
        <v>0</v>
      </c>
      <c r="V564" s="507">
        <f>Port[[#This Row],[EAD_Drawn (CNY)]]*Port[[#This Row],[CNY -&gt; FCY]]</f>
        <v>842096.78</v>
      </c>
      <c r="W564" s="507">
        <f>Port[[#This Row],[EAD_Undrawn (CNY)]]*Port[[#This Row],[CNY -&gt; FCY]]</f>
        <v>0</v>
      </c>
      <c r="X564" s="507">
        <f>Port[[#This Row],[EAD (CNY)]]*Port[[#This Row],[CNY -&gt; FCY]]</f>
        <v>842096.78</v>
      </c>
      <c r="Y564" s="507">
        <f>Port[[#This Row],[EAD_Interest (CNY)]]*Port[[#This Row],[CNY -&gt; FCY]]</f>
        <v>0</v>
      </c>
      <c r="Z564" s="507">
        <f>Port[[#This Row],[ECL_Drawn (CNY)]]*Port[[#This Row],[CNY -&gt; FCY]]</f>
        <v>1283.5513531416859</v>
      </c>
      <c r="AA564" s="507">
        <f>Port[[#This Row],[ECL_Undrawn (CNY)]]*Port[[#This Row],[CNY -&gt; FCY]]</f>
        <v>0</v>
      </c>
      <c r="AB564" s="507">
        <f>Port[[#This Row],[ECL (CNY)]]*Port[[#This Row],[CNY -&gt; FCY]]</f>
        <v>1283.5513531416859</v>
      </c>
      <c r="AC564" s="507">
        <f>Port[[#This Row],[ECL_Interest (CNY)]]*Port[[#This Row],[CNY -&gt; FCY]]</f>
        <v>0</v>
      </c>
      <c r="AD564" s="507">
        <f>Port[[#This Row],[EAD_Drawn (CNY)]]*Port[[#This Row],[CNY -&gt; THB]]</f>
        <v>4419997.5788639998</v>
      </c>
      <c r="AE564" s="507">
        <f>Port[[#This Row],[EAD_Undrawn (CNY)]]*Port[[#This Row],[CNY -&gt; THB]]</f>
        <v>0</v>
      </c>
      <c r="AF564" s="507">
        <f>Port[[#This Row],[EAD (CNY)]]*Port[[#This Row],[CNY -&gt; THB]]</f>
        <v>4419997.5788639998</v>
      </c>
      <c r="AG564" s="507">
        <f>Port[[#This Row],[EAD_Interest (CNY)]]*Port[[#This Row],[CNY -&gt; THB]]</f>
        <v>0</v>
      </c>
      <c r="AH564" s="507">
        <f>Port[[#This Row],[ECL_Drawn (CNY)]]*Port[[#This Row],[CNY -&gt; THB]]</f>
        <v>6737.1043423700812</v>
      </c>
      <c r="AI564" s="507">
        <f>Port[[#This Row],[ECL_Undrawn (CNY)]]*Port[[#This Row],[CNY -&gt; THB]]</f>
        <v>0</v>
      </c>
      <c r="AJ564" s="507">
        <f>Port[[#This Row],[ECL (CNY)]]*Port[[#This Row],[CNY -&gt; THB]]</f>
        <v>6737.1043423700812</v>
      </c>
      <c r="AK564" s="507">
        <f>Port[[#This Row],[ECL_Interest (CNY)]]*Port[[#This Row],[CNY -&gt; THB]]</f>
        <v>0</v>
      </c>
      <c r="AL564" s="507">
        <f>Port[[#This Row],[EAD (THB)]]*Port[[#This Row],[PD_avg]]</f>
        <v>57654.003526090492</v>
      </c>
      <c r="AM564" s="507">
        <f>Port[[#This Row],[EAD_Interest (THB)]]*Port[[#This Row],[PD_avg]]</f>
        <v>0</v>
      </c>
      <c r="AN564" s="507">
        <f>Port[[#This Row],[EAD (THB)]]*Port[[#This Row],[LGD_avg]]</f>
        <v>516494.65883760003</v>
      </c>
      <c r="AO564" s="507">
        <f>Port[[#This Row],[EAD_Interest (THB)]]*Port[[#This Row],[LGD_avg]]</f>
        <v>0</v>
      </c>
      <c r="AP564" s="507">
        <f>Port[[#This Row],[EAD_Drawn (THB)]]+Port[[#This Row],[EAD_Interest (THB)]]</f>
        <v>4419997.5788639998</v>
      </c>
      <c r="AQ56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6737.1043423700812</v>
      </c>
      <c r="AR564" s="522">
        <f>MAX(Port[[#This Row],[ECL (THB)]]+Port[[#This Row],[ECL_Interest (THB)]], Port[[#This Row],[ECL CBIRC (THB)]])</f>
        <v>6737.1043423700812</v>
      </c>
    </row>
    <row r="565" spans="1:44">
      <c r="A565" s="2" t="s">
        <v>391</v>
      </c>
      <c r="B565" s="2" t="s">
        <v>382</v>
      </c>
      <c r="C565" s="2" t="s">
        <v>379</v>
      </c>
      <c r="D565" s="2" t="s">
        <v>30</v>
      </c>
      <c r="E565" s="2" t="s">
        <v>19</v>
      </c>
      <c r="F565" s="2" t="s">
        <v>380</v>
      </c>
      <c r="G565" s="2" t="s">
        <v>21</v>
      </c>
      <c r="H565">
        <v>1</v>
      </c>
      <c r="I565" s="2" t="s">
        <v>526</v>
      </c>
      <c r="J565" s="505">
        <v>1.3043899345507868E-2</v>
      </c>
      <c r="K565" s="505">
        <v>12.824973350504862</v>
      </c>
      <c r="L565" s="3">
        <v>1</v>
      </c>
      <c r="M565" s="3">
        <v>5.2488000000000001</v>
      </c>
      <c r="N565" s="507">
        <v>109336.03</v>
      </c>
      <c r="O565" s="507">
        <v>0</v>
      </c>
      <c r="P565" s="507">
        <v>109336.03</v>
      </c>
      <c r="Q565" s="507">
        <v>0</v>
      </c>
      <c r="R565" s="507">
        <v>18290.568775607306</v>
      </c>
      <c r="S565" s="507">
        <v>0</v>
      </c>
      <c r="T565" s="507">
        <v>18290.568775607306</v>
      </c>
      <c r="U565" s="507">
        <v>0</v>
      </c>
      <c r="V565" s="507">
        <f>Port[[#This Row],[EAD_Drawn (CNY)]]*Port[[#This Row],[CNY -&gt; FCY]]</f>
        <v>109336.03</v>
      </c>
      <c r="W565" s="507">
        <f>Port[[#This Row],[EAD_Undrawn (CNY)]]*Port[[#This Row],[CNY -&gt; FCY]]</f>
        <v>0</v>
      </c>
      <c r="X565" s="507">
        <f>Port[[#This Row],[EAD (CNY)]]*Port[[#This Row],[CNY -&gt; FCY]]</f>
        <v>109336.03</v>
      </c>
      <c r="Y565" s="507">
        <f>Port[[#This Row],[EAD_Interest (CNY)]]*Port[[#This Row],[CNY -&gt; FCY]]</f>
        <v>0</v>
      </c>
      <c r="Z565" s="507">
        <f>Port[[#This Row],[ECL_Drawn (CNY)]]*Port[[#This Row],[CNY -&gt; FCY]]</f>
        <v>18290.568775607306</v>
      </c>
      <c r="AA565" s="507">
        <f>Port[[#This Row],[ECL_Undrawn (CNY)]]*Port[[#This Row],[CNY -&gt; FCY]]</f>
        <v>0</v>
      </c>
      <c r="AB565" s="507">
        <f>Port[[#This Row],[ECL (CNY)]]*Port[[#This Row],[CNY -&gt; FCY]]</f>
        <v>18290.568775607306</v>
      </c>
      <c r="AC565" s="507">
        <f>Port[[#This Row],[ECL_Interest (CNY)]]*Port[[#This Row],[CNY -&gt; FCY]]</f>
        <v>0</v>
      </c>
      <c r="AD565" s="507">
        <f>Port[[#This Row],[EAD_Drawn (CNY)]]*Port[[#This Row],[CNY -&gt; THB]]</f>
        <v>573882.95426400006</v>
      </c>
      <c r="AE565" s="507">
        <f>Port[[#This Row],[EAD_Undrawn (CNY)]]*Port[[#This Row],[CNY -&gt; THB]]</f>
        <v>0</v>
      </c>
      <c r="AF565" s="507">
        <f>Port[[#This Row],[EAD (CNY)]]*Port[[#This Row],[CNY -&gt; THB]]</f>
        <v>573882.95426400006</v>
      </c>
      <c r="AG565" s="507">
        <f>Port[[#This Row],[EAD_Interest (CNY)]]*Port[[#This Row],[CNY -&gt; THB]]</f>
        <v>0</v>
      </c>
      <c r="AH565" s="507">
        <f>Port[[#This Row],[ECL_Drawn (CNY)]]*Port[[#This Row],[CNY -&gt; THB]]</f>
        <v>96003.537389407633</v>
      </c>
      <c r="AI565" s="507">
        <f>Port[[#This Row],[ECL_Undrawn (CNY)]]*Port[[#This Row],[CNY -&gt; THB]]</f>
        <v>0</v>
      </c>
      <c r="AJ565" s="507">
        <f>Port[[#This Row],[ECL (CNY)]]*Port[[#This Row],[CNY -&gt; THB]]</f>
        <v>96003.537389407633</v>
      </c>
      <c r="AK565" s="507">
        <f>Port[[#This Row],[ECL_Interest (CNY)]]*Port[[#This Row],[CNY -&gt; THB]]</f>
        <v>0</v>
      </c>
      <c r="AL565" s="507">
        <f>Port[[#This Row],[EAD (THB)]]*Port[[#This Row],[PD_avg]]</f>
        <v>7485.671491522312</v>
      </c>
      <c r="AM565" s="507">
        <f>Port[[#This Row],[EAD_Interest (THB)]]*Port[[#This Row],[PD_avg]]</f>
        <v>0</v>
      </c>
      <c r="AN565" s="507">
        <f>Port[[#This Row],[EAD (THB)]]*Port[[#This Row],[LGD_avg]]</f>
        <v>7360033.5947448015</v>
      </c>
      <c r="AO565" s="507">
        <f>Port[[#This Row],[EAD_Interest (THB)]]*Port[[#This Row],[LGD_avg]]</f>
        <v>0</v>
      </c>
      <c r="AP565" s="507">
        <f>Port[[#This Row],[EAD_Drawn (THB)]]+Port[[#This Row],[EAD_Interest (THB)]]</f>
        <v>573882.95426400006</v>
      </c>
      <c r="AQ56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96003.537389407633</v>
      </c>
      <c r="AR565" s="522">
        <f>MAX(Port[[#This Row],[ECL (THB)]]+Port[[#This Row],[ECL_Interest (THB)]], Port[[#This Row],[ECL CBIRC (THB)]])</f>
        <v>96003.537389407633</v>
      </c>
    </row>
    <row r="566" spans="1:44">
      <c r="A566" s="2" t="s">
        <v>392</v>
      </c>
      <c r="B566" s="2" t="s">
        <v>382</v>
      </c>
      <c r="C566" s="2" t="s">
        <v>379</v>
      </c>
      <c r="D566" s="2" t="s">
        <v>30</v>
      </c>
      <c r="E566" s="2" t="s">
        <v>19</v>
      </c>
      <c r="F566" s="2" t="s">
        <v>380</v>
      </c>
      <c r="G566" s="2" t="s">
        <v>21</v>
      </c>
      <c r="H566">
        <v>1</v>
      </c>
      <c r="I566" s="2" t="s">
        <v>526</v>
      </c>
      <c r="J566" s="505">
        <v>1.3043899345507868E-2</v>
      </c>
      <c r="K566" s="505">
        <v>7.5173338029675699E-2</v>
      </c>
      <c r="L566" s="3">
        <v>1</v>
      </c>
      <c r="M566" s="3">
        <v>5.2488000000000001</v>
      </c>
      <c r="N566" s="507">
        <v>1558035.19</v>
      </c>
      <c r="O566" s="507">
        <v>0</v>
      </c>
      <c r="P566" s="507">
        <v>1558035.19</v>
      </c>
      <c r="Q566" s="507">
        <v>0</v>
      </c>
      <c r="R566" s="507">
        <v>1527.7367881375105</v>
      </c>
      <c r="S566" s="507">
        <v>0</v>
      </c>
      <c r="T566" s="507">
        <v>1527.7367881375105</v>
      </c>
      <c r="U566" s="507">
        <v>0</v>
      </c>
      <c r="V566" s="507">
        <f>Port[[#This Row],[EAD_Drawn (CNY)]]*Port[[#This Row],[CNY -&gt; FCY]]</f>
        <v>1558035.19</v>
      </c>
      <c r="W566" s="507">
        <f>Port[[#This Row],[EAD_Undrawn (CNY)]]*Port[[#This Row],[CNY -&gt; FCY]]</f>
        <v>0</v>
      </c>
      <c r="X566" s="507">
        <f>Port[[#This Row],[EAD (CNY)]]*Port[[#This Row],[CNY -&gt; FCY]]</f>
        <v>1558035.19</v>
      </c>
      <c r="Y566" s="507">
        <f>Port[[#This Row],[EAD_Interest (CNY)]]*Port[[#This Row],[CNY -&gt; FCY]]</f>
        <v>0</v>
      </c>
      <c r="Z566" s="507">
        <f>Port[[#This Row],[ECL_Drawn (CNY)]]*Port[[#This Row],[CNY -&gt; FCY]]</f>
        <v>1527.7367881375105</v>
      </c>
      <c r="AA566" s="507">
        <f>Port[[#This Row],[ECL_Undrawn (CNY)]]*Port[[#This Row],[CNY -&gt; FCY]]</f>
        <v>0</v>
      </c>
      <c r="AB566" s="507">
        <f>Port[[#This Row],[ECL (CNY)]]*Port[[#This Row],[CNY -&gt; FCY]]</f>
        <v>1527.7367881375105</v>
      </c>
      <c r="AC566" s="507">
        <f>Port[[#This Row],[ECL_Interest (CNY)]]*Port[[#This Row],[CNY -&gt; FCY]]</f>
        <v>0</v>
      </c>
      <c r="AD566" s="507">
        <f>Port[[#This Row],[EAD_Drawn (CNY)]]*Port[[#This Row],[CNY -&gt; THB]]</f>
        <v>8177815.1052719997</v>
      </c>
      <c r="AE566" s="507">
        <f>Port[[#This Row],[EAD_Undrawn (CNY)]]*Port[[#This Row],[CNY -&gt; THB]]</f>
        <v>0</v>
      </c>
      <c r="AF566" s="507">
        <f>Port[[#This Row],[EAD (CNY)]]*Port[[#This Row],[CNY -&gt; THB]]</f>
        <v>8177815.1052719997</v>
      </c>
      <c r="AG566" s="507">
        <f>Port[[#This Row],[EAD_Interest (CNY)]]*Port[[#This Row],[CNY -&gt; THB]]</f>
        <v>0</v>
      </c>
      <c r="AH566" s="507">
        <f>Port[[#This Row],[ECL_Drawn (CNY)]]*Port[[#This Row],[CNY -&gt; THB]]</f>
        <v>8018.7848535761659</v>
      </c>
      <c r="AI566" s="507">
        <f>Port[[#This Row],[ECL_Undrawn (CNY)]]*Port[[#This Row],[CNY -&gt; THB]]</f>
        <v>0</v>
      </c>
      <c r="AJ566" s="507">
        <f>Port[[#This Row],[ECL (CNY)]]*Port[[#This Row],[CNY -&gt; THB]]</f>
        <v>8018.7848535761659</v>
      </c>
      <c r="AK566" s="507">
        <f>Port[[#This Row],[ECL_Interest (CNY)]]*Port[[#This Row],[CNY -&gt; THB]]</f>
        <v>0</v>
      </c>
      <c r="AL566" s="507">
        <f>Port[[#This Row],[EAD (THB)]]*Port[[#This Row],[PD_avg]]</f>
        <v>106670.5970993418</v>
      </c>
      <c r="AM566" s="507">
        <f>Port[[#This Row],[EAD_Interest (THB)]]*Port[[#This Row],[PD_avg]]</f>
        <v>0</v>
      </c>
      <c r="AN566" s="507">
        <f>Port[[#This Row],[EAD (THB)]]*Port[[#This Row],[LGD_avg]]</f>
        <v>614753.65925280005</v>
      </c>
      <c r="AO566" s="507">
        <f>Port[[#This Row],[EAD_Interest (THB)]]*Port[[#This Row],[LGD_avg]]</f>
        <v>0</v>
      </c>
      <c r="AP566" s="507">
        <f>Port[[#This Row],[EAD_Drawn (THB)]]+Port[[#This Row],[EAD_Interest (THB)]]</f>
        <v>8177815.1052719997</v>
      </c>
      <c r="AQ56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8018.7848535761659</v>
      </c>
      <c r="AR566" s="522">
        <f>MAX(Port[[#This Row],[ECL (THB)]]+Port[[#This Row],[ECL_Interest (THB)]], Port[[#This Row],[ECL CBIRC (THB)]])</f>
        <v>8018.7848535761659</v>
      </c>
    </row>
    <row r="567" spans="1:44">
      <c r="A567" s="2" t="s">
        <v>393</v>
      </c>
      <c r="B567" s="2" t="s">
        <v>382</v>
      </c>
      <c r="C567" s="2" t="s">
        <v>379</v>
      </c>
      <c r="D567" s="2" t="s">
        <v>30</v>
      </c>
      <c r="E567" s="2" t="s">
        <v>19</v>
      </c>
      <c r="F567" s="2" t="s">
        <v>380</v>
      </c>
      <c r="G567" s="2" t="s">
        <v>21</v>
      </c>
      <c r="H567">
        <v>1</v>
      </c>
      <c r="I567" s="2" t="s">
        <v>526</v>
      </c>
      <c r="J567" s="505">
        <v>1.3043899345507868E-2</v>
      </c>
      <c r="K567" s="505">
        <v>0.91335279599841224</v>
      </c>
      <c r="L567" s="3">
        <v>1</v>
      </c>
      <c r="M567" s="3">
        <v>5.2488000000000001</v>
      </c>
      <c r="N567" s="507">
        <v>130136.34</v>
      </c>
      <c r="O567" s="507">
        <v>0</v>
      </c>
      <c r="P567" s="507">
        <v>130136.34</v>
      </c>
      <c r="Q567" s="507">
        <v>0</v>
      </c>
      <c r="R567" s="507">
        <v>1550.4029633278101</v>
      </c>
      <c r="S567" s="507">
        <v>0</v>
      </c>
      <c r="T567" s="507">
        <v>1550.4029633278101</v>
      </c>
      <c r="U567" s="507">
        <v>0</v>
      </c>
      <c r="V567" s="507">
        <f>Port[[#This Row],[EAD_Drawn (CNY)]]*Port[[#This Row],[CNY -&gt; FCY]]</f>
        <v>130136.34</v>
      </c>
      <c r="W567" s="507">
        <f>Port[[#This Row],[EAD_Undrawn (CNY)]]*Port[[#This Row],[CNY -&gt; FCY]]</f>
        <v>0</v>
      </c>
      <c r="X567" s="507">
        <f>Port[[#This Row],[EAD (CNY)]]*Port[[#This Row],[CNY -&gt; FCY]]</f>
        <v>130136.34</v>
      </c>
      <c r="Y567" s="507">
        <f>Port[[#This Row],[EAD_Interest (CNY)]]*Port[[#This Row],[CNY -&gt; FCY]]</f>
        <v>0</v>
      </c>
      <c r="Z567" s="507">
        <f>Port[[#This Row],[ECL_Drawn (CNY)]]*Port[[#This Row],[CNY -&gt; FCY]]</f>
        <v>1550.4029633278101</v>
      </c>
      <c r="AA567" s="507">
        <f>Port[[#This Row],[ECL_Undrawn (CNY)]]*Port[[#This Row],[CNY -&gt; FCY]]</f>
        <v>0</v>
      </c>
      <c r="AB567" s="507">
        <f>Port[[#This Row],[ECL (CNY)]]*Port[[#This Row],[CNY -&gt; FCY]]</f>
        <v>1550.4029633278101</v>
      </c>
      <c r="AC567" s="507">
        <f>Port[[#This Row],[ECL_Interest (CNY)]]*Port[[#This Row],[CNY -&gt; FCY]]</f>
        <v>0</v>
      </c>
      <c r="AD567" s="507">
        <f>Port[[#This Row],[EAD_Drawn (CNY)]]*Port[[#This Row],[CNY -&gt; THB]]</f>
        <v>683059.621392</v>
      </c>
      <c r="AE567" s="507">
        <f>Port[[#This Row],[EAD_Undrawn (CNY)]]*Port[[#This Row],[CNY -&gt; THB]]</f>
        <v>0</v>
      </c>
      <c r="AF567" s="507">
        <f>Port[[#This Row],[EAD (CNY)]]*Port[[#This Row],[CNY -&gt; THB]]</f>
        <v>683059.621392</v>
      </c>
      <c r="AG567" s="507">
        <f>Port[[#This Row],[EAD_Interest (CNY)]]*Port[[#This Row],[CNY -&gt; THB]]</f>
        <v>0</v>
      </c>
      <c r="AH567" s="507">
        <f>Port[[#This Row],[ECL_Drawn (CNY)]]*Port[[#This Row],[CNY -&gt; THB]]</f>
        <v>8137.7550739150101</v>
      </c>
      <c r="AI567" s="507">
        <f>Port[[#This Row],[ECL_Undrawn (CNY)]]*Port[[#This Row],[CNY -&gt; THB]]</f>
        <v>0</v>
      </c>
      <c r="AJ567" s="507">
        <f>Port[[#This Row],[ECL (CNY)]]*Port[[#This Row],[CNY -&gt; THB]]</f>
        <v>8137.7550739150101</v>
      </c>
      <c r="AK567" s="507">
        <f>Port[[#This Row],[ECL_Interest (CNY)]]*Port[[#This Row],[CNY -&gt; THB]]</f>
        <v>0</v>
      </c>
      <c r="AL567" s="507">
        <f>Port[[#This Row],[EAD (THB)]]*Port[[#This Row],[PD_avg]]</f>
        <v>8909.7609484179611</v>
      </c>
      <c r="AM567" s="507">
        <f>Port[[#This Row],[EAD_Interest (THB)]]*Port[[#This Row],[PD_avg]]</f>
        <v>0</v>
      </c>
      <c r="AN567" s="507">
        <f>Port[[#This Row],[EAD (THB)]]*Port[[#This Row],[LGD_avg]]</f>
        <v>623874.41503200005</v>
      </c>
      <c r="AO567" s="507">
        <f>Port[[#This Row],[EAD_Interest (THB)]]*Port[[#This Row],[LGD_avg]]</f>
        <v>0</v>
      </c>
      <c r="AP567" s="507">
        <f>Port[[#This Row],[EAD_Drawn (THB)]]+Port[[#This Row],[EAD_Interest (THB)]]</f>
        <v>683059.621392</v>
      </c>
      <c r="AQ56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8137.7550739150101</v>
      </c>
      <c r="AR567" s="522">
        <f>MAX(Port[[#This Row],[ECL (THB)]]+Port[[#This Row],[ECL_Interest (THB)]], Port[[#This Row],[ECL CBIRC (THB)]])</f>
        <v>8137.7550739150101</v>
      </c>
    </row>
    <row r="568" spans="1:44">
      <c r="A568" s="2" t="s">
        <v>394</v>
      </c>
      <c r="B568" s="2" t="s">
        <v>382</v>
      </c>
      <c r="C568" s="2" t="s">
        <v>379</v>
      </c>
      <c r="D568" s="2" t="s">
        <v>30</v>
      </c>
      <c r="E568" s="2" t="s">
        <v>19</v>
      </c>
      <c r="F568" s="2" t="s">
        <v>380</v>
      </c>
      <c r="G568" s="2" t="s">
        <v>21</v>
      </c>
      <c r="H568">
        <v>1</v>
      </c>
      <c r="I568" s="2" t="s">
        <v>526</v>
      </c>
      <c r="J568" s="505">
        <v>1.3043899345507868E-2</v>
      </c>
      <c r="K568" s="505">
        <v>1.6505566488550139</v>
      </c>
      <c r="L568" s="3">
        <v>1</v>
      </c>
      <c r="M568" s="3">
        <v>5.2488000000000001</v>
      </c>
      <c r="N568" s="507">
        <v>132067.1</v>
      </c>
      <c r="O568" s="507">
        <v>0</v>
      </c>
      <c r="P568" s="507">
        <v>132067.1</v>
      </c>
      <c r="Q568" s="507">
        <v>0</v>
      </c>
      <c r="R568" s="507">
        <v>2843.3643550280367</v>
      </c>
      <c r="S568" s="507">
        <v>0</v>
      </c>
      <c r="T568" s="507">
        <v>2843.3643550280367</v>
      </c>
      <c r="U568" s="507">
        <v>0</v>
      </c>
      <c r="V568" s="507">
        <f>Port[[#This Row],[EAD_Drawn (CNY)]]*Port[[#This Row],[CNY -&gt; FCY]]</f>
        <v>132067.1</v>
      </c>
      <c r="W568" s="507">
        <f>Port[[#This Row],[EAD_Undrawn (CNY)]]*Port[[#This Row],[CNY -&gt; FCY]]</f>
        <v>0</v>
      </c>
      <c r="X568" s="507">
        <f>Port[[#This Row],[EAD (CNY)]]*Port[[#This Row],[CNY -&gt; FCY]]</f>
        <v>132067.1</v>
      </c>
      <c r="Y568" s="507">
        <f>Port[[#This Row],[EAD_Interest (CNY)]]*Port[[#This Row],[CNY -&gt; FCY]]</f>
        <v>0</v>
      </c>
      <c r="Z568" s="507">
        <f>Port[[#This Row],[ECL_Drawn (CNY)]]*Port[[#This Row],[CNY -&gt; FCY]]</f>
        <v>2843.3643550280367</v>
      </c>
      <c r="AA568" s="507">
        <f>Port[[#This Row],[ECL_Undrawn (CNY)]]*Port[[#This Row],[CNY -&gt; FCY]]</f>
        <v>0</v>
      </c>
      <c r="AB568" s="507">
        <f>Port[[#This Row],[ECL (CNY)]]*Port[[#This Row],[CNY -&gt; FCY]]</f>
        <v>2843.3643550280367</v>
      </c>
      <c r="AC568" s="507">
        <f>Port[[#This Row],[ECL_Interest (CNY)]]*Port[[#This Row],[CNY -&gt; FCY]]</f>
        <v>0</v>
      </c>
      <c r="AD568" s="507">
        <f>Port[[#This Row],[EAD_Drawn (CNY)]]*Port[[#This Row],[CNY -&gt; THB]]</f>
        <v>693193.79448000004</v>
      </c>
      <c r="AE568" s="507">
        <f>Port[[#This Row],[EAD_Undrawn (CNY)]]*Port[[#This Row],[CNY -&gt; THB]]</f>
        <v>0</v>
      </c>
      <c r="AF568" s="507">
        <f>Port[[#This Row],[EAD (CNY)]]*Port[[#This Row],[CNY -&gt; THB]]</f>
        <v>693193.79448000004</v>
      </c>
      <c r="AG568" s="507">
        <f>Port[[#This Row],[EAD_Interest (CNY)]]*Port[[#This Row],[CNY -&gt; THB]]</f>
        <v>0</v>
      </c>
      <c r="AH568" s="507">
        <f>Port[[#This Row],[ECL_Drawn (CNY)]]*Port[[#This Row],[CNY -&gt; THB]]</f>
        <v>14924.250826671159</v>
      </c>
      <c r="AI568" s="507">
        <f>Port[[#This Row],[ECL_Undrawn (CNY)]]*Port[[#This Row],[CNY -&gt; THB]]</f>
        <v>0</v>
      </c>
      <c r="AJ568" s="507">
        <f>Port[[#This Row],[ECL (CNY)]]*Port[[#This Row],[CNY -&gt; THB]]</f>
        <v>14924.250826671159</v>
      </c>
      <c r="AK568" s="507">
        <f>Port[[#This Row],[ECL_Interest (CNY)]]*Port[[#This Row],[CNY -&gt; THB]]</f>
        <v>0</v>
      </c>
      <c r="AL568" s="507">
        <f>Port[[#This Row],[EAD (THB)]]*Port[[#This Row],[PD_avg]]</f>
        <v>9041.9500821277888</v>
      </c>
      <c r="AM568" s="507">
        <f>Port[[#This Row],[EAD_Interest (THB)]]*Port[[#This Row],[PD_avg]]</f>
        <v>0</v>
      </c>
      <c r="AN568" s="507">
        <f>Port[[#This Row],[EAD (THB)]]*Port[[#This Row],[LGD_avg]]</f>
        <v>1144155.6264240001</v>
      </c>
      <c r="AO568" s="507">
        <f>Port[[#This Row],[EAD_Interest (THB)]]*Port[[#This Row],[LGD_avg]]</f>
        <v>0</v>
      </c>
      <c r="AP568" s="507">
        <f>Port[[#This Row],[EAD_Drawn (THB)]]+Port[[#This Row],[EAD_Interest (THB)]]</f>
        <v>693193.79448000004</v>
      </c>
      <c r="AQ56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14924.250826671159</v>
      </c>
      <c r="AR568" s="522">
        <f>MAX(Port[[#This Row],[ECL (THB)]]+Port[[#This Row],[ECL_Interest (THB)]], Port[[#This Row],[ECL CBIRC (THB)]])</f>
        <v>14924.250826671159</v>
      </c>
    </row>
    <row r="569" spans="1:44">
      <c r="A569" s="2" t="s">
        <v>395</v>
      </c>
      <c r="B569" s="2" t="s">
        <v>382</v>
      </c>
      <c r="C569" s="2" t="s">
        <v>379</v>
      </c>
      <c r="D569" s="2" t="s">
        <v>30</v>
      </c>
      <c r="E569" s="2" t="s">
        <v>19</v>
      </c>
      <c r="F569" s="2" t="s">
        <v>380</v>
      </c>
      <c r="G569" s="2" t="s">
        <v>21</v>
      </c>
      <c r="H569">
        <v>1</v>
      </c>
      <c r="I569" s="2" t="s">
        <v>526</v>
      </c>
      <c r="J569" s="505">
        <v>1.3043899345507868E-2</v>
      </c>
      <c r="K569" s="505">
        <v>7.0533624863596787</v>
      </c>
      <c r="L569" s="3">
        <v>1</v>
      </c>
      <c r="M569" s="3">
        <v>5.2488000000000001</v>
      </c>
      <c r="N569" s="507">
        <v>242204.7</v>
      </c>
      <c r="O569" s="507">
        <v>0</v>
      </c>
      <c r="P569" s="507">
        <v>242204.7</v>
      </c>
      <c r="Q569" s="507">
        <v>0</v>
      </c>
      <c r="R569" s="507">
        <v>22283.64386311893</v>
      </c>
      <c r="S569" s="507">
        <v>0</v>
      </c>
      <c r="T569" s="507">
        <v>22283.64386311893</v>
      </c>
      <c r="U569" s="507">
        <v>0</v>
      </c>
      <c r="V569" s="507">
        <f>Port[[#This Row],[EAD_Drawn (CNY)]]*Port[[#This Row],[CNY -&gt; FCY]]</f>
        <v>242204.7</v>
      </c>
      <c r="W569" s="507">
        <f>Port[[#This Row],[EAD_Undrawn (CNY)]]*Port[[#This Row],[CNY -&gt; FCY]]</f>
        <v>0</v>
      </c>
      <c r="X569" s="507">
        <f>Port[[#This Row],[EAD (CNY)]]*Port[[#This Row],[CNY -&gt; FCY]]</f>
        <v>242204.7</v>
      </c>
      <c r="Y569" s="507">
        <f>Port[[#This Row],[EAD_Interest (CNY)]]*Port[[#This Row],[CNY -&gt; FCY]]</f>
        <v>0</v>
      </c>
      <c r="Z569" s="507">
        <f>Port[[#This Row],[ECL_Drawn (CNY)]]*Port[[#This Row],[CNY -&gt; FCY]]</f>
        <v>22283.64386311893</v>
      </c>
      <c r="AA569" s="507">
        <f>Port[[#This Row],[ECL_Undrawn (CNY)]]*Port[[#This Row],[CNY -&gt; FCY]]</f>
        <v>0</v>
      </c>
      <c r="AB569" s="507">
        <f>Port[[#This Row],[ECL (CNY)]]*Port[[#This Row],[CNY -&gt; FCY]]</f>
        <v>22283.64386311893</v>
      </c>
      <c r="AC569" s="507">
        <f>Port[[#This Row],[ECL_Interest (CNY)]]*Port[[#This Row],[CNY -&gt; FCY]]</f>
        <v>0</v>
      </c>
      <c r="AD569" s="507">
        <f>Port[[#This Row],[EAD_Drawn (CNY)]]*Port[[#This Row],[CNY -&gt; THB]]</f>
        <v>1271284.02936</v>
      </c>
      <c r="AE569" s="507">
        <f>Port[[#This Row],[EAD_Undrawn (CNY)]]*Port[[#This Row],[CNY -&gt; THB]]</f>
        <v>0</v>
      </c>
      <c r="AF569" s="507">
        <f>Port[[#This Row],[EAD (CNY)]]*Port[[#This Row],[CNY -&gt; THB]]</f>
        <v>1271284.02936</v>
      </c>
      <c r="AG569" s="507">
        <f>Port[[#This Row],[EAD_Interest (CNY)]]*Port[[#This Row],[CNY -&gt; THB]]</f>
        <v>0</v>
      </c>
      <c r="AH569" s="507">
        <f>Port[[#This Row],[ECL_Drawn (CNY)]]*Port[[#This Row],[CNY -&gt; THB]]</f>
        <v>116962.38990873864</v>
      </c>
      <c r="AI569" s="507">
        <f>Port[[#This Row],[ECL_Undrawn (CNY)]]*Port[[#This Row],[CNY -&gt; THB]]</f>
        <v>0</v>
      </c>
      <c r="AJ569" s="507">
        <f>Port[[#This Row],[ECL (CNY)]]*Port[[#This Row],[CNY -&gt; THB]]</f>
        <v>116962.38990873864</v>
      </c>
      <c r="AK569" s="507">
        <f>Port[[#This Row],[ECL_Interest (CNY)]]*Port[[#This Row],[CNY -&gt; THB]]</f>
        <v>0</v>
      </c>
      <c r="AL569" s="507">
        <f>Port[[#This Row],[EAD (THB)]]*Port[[#This Row],[PD_avg]]</f>
        <v>16582.50091852351</v>
      </c>
      <c r="AM569" s="507">
        <f>Port[[#This Row],[EAD_Interest (THB)]]*Port[[#This Row],[PD_avg]]</f>
        <v>0</v>
      </c>
      <c r="AN569" s="507">
        <f>Port[[#This Row],[EAD (THB)]]*Port[[#This Row],[LGD_avg]]</f>
        <v>8966827.082196001</v>
      </c>
      <c r="AO569" s="507">
        <f>Port[[#This Row],[EAD_Interest (THB)]]*Port[[#This Row],[LGD_avg]]</f>
        <v>0</v>
      </c>
      <c r="AP569" s="507">
        <f>Port[[#This Row],[EAD_Drawn (THB)]]+Port[[#This Row],[EAD_Interest (THB)]]</f>
        <v>1271284.02936</v>
      </c>
      <c r="AQ56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116962.38990873864</v>
      </c>
      <c r="AR569" s="522">
        <f>MAX(Port[[#This Row],[ECL (THB)]]+Port[[#This Row],[ECL_Interest (THB)]], Port[[#This Row],[ECL CBIRC (THB)]])</f>
        <v>116962.38990873864</v>
      </c>
    </row>
    <row r="570" spans="1:44">
      <c r="A570" s="2" t="s">
        <v>396</v>
      </c>
      <c r="B570" s="2" t="s">
        <v>382</v>
      </c>
      <c r="C570" s="2" t="s">
        <v>379</v>
      </c>
      <c r="D570" s="2" t="s">
        <v>30</v>
      </c>
      <c r="E570" s="2" t="s">
        <v>19</v>
      </c>
      <c r="F570" s="2" t="s">
        <v>380</v>
      </c>
      <c r="G570" s="2" t="s">
        <v>21</v>
      </c>
      <c r="H570">
        <v>1</v>
      </c>
      <c r="I570" s="2" t="s">
        <v>526</v>
      </c>
      <c r="J570" s="505">
        <v>1.3043899345507868E-2</v>
      </c>
      <c r="K570" s="505">
        <v>3.6275293998833245E-2</v>
      </c>
      <c r="L570" s="3">
        <v>1</v>
      </c>
      <c r="M570" s="3">
        <v>5.2488000000000001</v>
      </c>
      <c r="N570" s="507">
        <v>1898175.05</v>
      </c>
      <c r="O570" s="507">
        <v>0</v>
      </c>
      <c r="P570" s="507">
        <v>1898175.05</v>
      </c>
      <c r="Q570" s="507">
        <v>0</v>
      </c>
      <c r="R570" s="507">
        <v>898.16192499992815</v>
      </c>
      <c r="S570" s="507">
        <v>0</v>
      </c>
      <c r="T570" s="507">
        <v>898.16192499992815</v>
      </c>
      <c r="U570" s="507">
        <v>0</v>
      </c>
      <c r="V570" s="507">
        <f>Port[[#This Row],[EAD_Drawn (CNY)]]*Port[[#This Row],[CNY -&gt; FCY]]</f>
        <v>1898175.05</v>
      </c>
      <c r="W570" s="507">
        <f>Port[[#This Row],[EAD_Undrawn (CNY)]]*Port[[#This Row],[CNY -&gt; FCY]]</f>
        <v>0</v>
      </c>
      <c r="X570" s="507">
        <f>Port[[#This Row],[EAD (CNY)]]*Port[[#This Row],[CNY -&gt; FCY]]</f>
        <v>1898175.05</v>
      </c>
      <c r="Y570" s="507">
        <f>Port[[#This Row],[EAD_Interest (CNY)]]*Port[[#This Row],[CNY -&gt; FCY]]</f>
        <v>0</v>
      </c>
      <c r="Z570" s="507">
        <f>Port[[#This Row],[ECL_Drawn (CNY)]]*Port[[#This Row],[CNY -&gt; FCY]]</f>
        <v>898.16192499992815</v>
      </c>
      <c r="AA570" s="507">
        <f>Port[[#This Row],[ECL_Undrawn (CNY)]]*Port[[#This Row],[CNY -&gt; FCY]]</f>
        <v>0</v>
      </c>
      <c r="AB570" s="507">
        <f>Port[[#This Row],[ECL (CNY)]]*Port[[#This Row],[CNY -&gt; FCY]]</f>
        <v>898.16192499992815</v>
      </c>
      <c r="AC570" s="507">
        <f>Port[[#This Row],[ECL_Interest (CNY)]]*Port[[#This Row],[CNY -&gt; FCY]]</f>
        <v>0</v>
      </c>
      <c r="AD570" s="507">
        <f>Port[[#This Row],[EAD_Drawn (CNY)]]*Port[[#This Row],[CNY -&gt; THB]]</f>
        <v>9963141.2024400011</v>
      </c>
      <c r="AE570" s="507">
        <f>Port[[#This Row],[EAD_Undrawn (CNY)]]*Port[[#This Row],[CNY -&gt; THB]]</f>
        <v>0</v>
      </c>
      <c r="AF570" s="507">
        <f>Port[[#This Row],[EAD (CNY)]]*Port[[#This Row],[CNY -&gt; THB]]</f>
        <v>9963141.2024400011</v>
      </c>
      <c r="AG570" s="507">
        <f>Port[[#This Row],[EAD_Interest (CNY)]]*Port[[#This Row],[CNY -&gt; THB]]</f>
        <v>0</v>
      </c>
      <c r="AH570" s="507">
        <f>Port[[#This Row],[ECL_Drawn (CNY)]]*Port[[#This Row],[CNY -&gt; THB]]</f>
        <v>4714.2723119396233</v>
      </c>
      <c r="AI570" s="507">
        <f>Port[[#This Row],[ECL_Undrawn (CNY)]]*Port[[#This Row],[CNY -&gt; THB]]</f>
        <v>0</v>
      </c>
      <c r="AJ570" s="507">
        <f>Port[[#This Row],[ECL (CNY)]]*Port[[#This Row],[CNY -&gt; THB]]</f>
        <v>4714.2723119396233</v>
      </c>
      <c r="AK570" s="507">
        <f>Port[[#This Row],[ECL_Interest (CNY)]]*Port[[#This Row],[CNY -&gt; THB]]</f>
        <v>0</v>
      </c>
      <c r="AL570" s="507">
        <f>Port[[#This Row],[EAD (THB)]]*Port[[#This Row],[PD_avg]]</f>
        <v>129958.2110097096</v>
      </c>
      <c r="AM570" s="507">
        <f>Port[[#This Row],[EAD_Interest (THB)]]*Port[[#This Row],[PD_avg]]</f>
        <v>0</v>
      </c>
      <c r="AN570" s="507">
        <f>Port[[#This Row],[EAD (THB)]]*Port[[#This Row],[LGD_avg]]</f>
        <v>361415.87627040001</v>
      </c>
      <c r="AO570" s="507">
        <f>Port[[#This Row],[EAD_Interest (THB)]]*Port[[#This Row],[LGD_avg]]</f>
        <v>0</v>
      </c>
      <c r="AP570" s="507">
        <f>Port[[#This Row],[EAD_Drawn (THB)]]+Port[[#This Row],[EAD_Interest (THB)]]</f>
        <v>9963141.2024400011</v>
      </c>
      <c r="AQ57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4714.2723119396233</v>
      </c>
      <c r="AR570" s="522">
        <f>MAX(Port[[#This Row],[ECL (THB)]]+Port[[#This Row],[ECL_Interest (THB)]], Port[[#This Row],[ECL CBIRC (THB)]])</f>
        <v>4714.2723119396233</v>
      </c>
    </row>
    <row r="571" spans="1:44">
      <c r="A571" s="2" t="s">
        <v>397</v>
      </c>
      <c r="B571" s="2" t="s">
        <v>382</v>
      </c>
      <c r="C571" s="2" t="s">
        <v>379</v>
      </c>
      <c r="D571" s="2" t="s">
        <v>30</v>
      </c>
      <c r="E571" s="2" t="s">
        <v>19</v>
      </c>
      <c r="F571" s="2" t="s">
        <v>380</v>
      </c>
      <c r="G571" s="2" t="s">
        <v>21</v>
      </c>
      <c r="H571">
        <v>1</v>
      </c>
      <c r="I571" s="2" t="s">
        <v>526</v>
      </c>
      <c r="J571" s="505">
        <v>1.3043899345507868E-2</v>
      </c>
      <c r="K571" s="505">
        <v>7.1606487432232244</v>
      </c>
      <c r="L571" s="3">
        <v>1</v>
      </c>
      <c r="M571" s="3">
        <v>5.2488000000000001</v>
      </c>
      <c r="N571" s="507">
        <v>76507.62</v>
      </c>
      <c r="O571" s="507">
        <v>0</v>
      </c>
      <c r="P571" s="507">
        <v>76507.62</v>
      </c>
      <c r="Q571" s="507">
        <v>0</v>
      </c>
      <c r="R571" s="507">
        <v>7146.0245105129861</v>
      </c>
      <c r="S571" s="507">
        <v>0</v>
      </c>
      <c r="T571" s="507">
        <v>7146.0245105129861</v>
      </c>
      <c r="U571" s="507">
        <v>0</v>
      </c>
      <c r="V571" s="507">
        <f>Port[[#This Row],[EAD_Drawn (CNY)]]*Port[[#This Row],[CNY -&gt; FCY]]</f>
        <v>76507.62</v>
      </c>
      <c r="W571" s="507">
        <f>Port[[#This Row],[EAD_Undrawn (CNY)]]*Port[[#This Row],[CNY -&gt; FCY]]</f>
        <v>0</v>
      </c>
      <c r="X571" s="507">
        <f>Port[[#This Row],[EAD (CNY)]]*Port[[#This Row],[CNY -&gt; FCY]]</f>
        <v>76507.62</v>
      </c>
      <c r="Y571" s="507">
        <f>Port[[#This Row],[EAD_Interest (CNY)]]*Port[[#This Row],[CNY -&gt; FCY]]</f>
        <v>0</v>
      </c>
      <c r="Z571" s="507">
        <f>Port[[#This Row],[ECL_Drawn (CNY)]]*Port[[#This Row],[CNY -&gt; FCY]]</f>
        <v>7146.0245105129861</v>
      </c>
      <c r="AA571" s="507">
        <f>Port[[#This Row],[ECL_Undrawn (CNY)]]*Port[[#This Row],[CNY -&gt; FCY]]</f>
        <v>0</v>
      </c>
      <c r="AB571" s="507">
        <f>Port[[#This Row],[ECL (CNY)]]*Port[[#This Row],[CNY -&gt; FCY]]</f>
        <v>7146.0245105129861</v>
      </c>
      <c r="AC571" s="507">
        <f>Port[[#This Row],[ECL_Interest (CNY)]]*Port[[#This Row],[CNY -&gt; FCY]]</f>
        <v>0</v>
      </c>
      <c r="AD571" s="507">
        <f>Port[[#This Row],[EAD_Drawn (CNY)]]*Port[[#This Row],[CNY -&gt; THB]]</f>
        <v>401573.19585600001</v>
      </c>
      <c r="AE571" s="507">
        <f>Port[[#This Row],[EAD_Undrawn (CNY)]]*Port[[#This Row],[CNY -&gt; THB]]</f>
        <v>0</v>
      </c>
      <c r="AF571" s="507">
        <f>Port[[#This Row],[EAD (CNY)]]*Port[[#This Row],[CNY -&gt; THB]]</f>
        <v>401573.19585600001</v>
      </c>
      <c r="AG571" s="507">
        <f>Port[[#This Row],[EAD_Interest (CNY)]]*Port[[#This Row],[CNY -&gt; THB]]</f>
        <v>0</v>
      </c>
      <c r="AH571" s="507">
        <f>Port[[#This Row],[ECL_Drawn (CNY)]]*Port[[#This Row],[CNY -&gt; THB]]</f>
        <v>37508.053450780564</v>
      </c>
      <c r="AI571" s="507">
        <f>Port[[#This Row],[ECL_Undrawn (CNY)]]*Port[[#This Row],[CNY -&gt; THB]]</f>
        <v>0</v>
      </c>
      <c r="AJ571" s="507">
        <f>Port[[#This Row],[ECL (CNY)]]*Port[[#This Row],[CNY -&gt; THB]]</f>
        <v>37508.053450780564</v>
      </c>
      <c r="AK571" s="507">
        <f>Port[[#This Row],[ECL_Interest (CNY)]]*Port[[#This Row],[CNY -&gt; THB]]</f>
        <v>0</v>
      </c>
      <c r="AL571" s="507">
        <f>Port[[#This Row],[EAD (THB)]]*Port[[#This Row],[PD_avg]]</f>
        <v>5238.0803465995814</v>
      </c>
      <c r="AM571" s="507">
        <f>Port[[#This Row],[EAD_Interest (THB)]]*Port[[#This Row],[PD_avg]]</f>
        <v>0</v>
      </c>
      <c r="AN571" s="507">
        <f>Port[[#This Row],[EAD (THB)]]*Port[[#This Row],[LGD_avg]]</f>
        <v>2875524.6002184004</v>
      </c>
      <c r="AO571" s="507">
        <f>Port[[#This Row],[EAD_Interest (THB)]]*Port[[#This Row],[LGD_avg]]</f>
        <v>0</v>
      </c>
      <c r="AP571" s="507">
        <f>Port[[#This Row],[EAD_Drawn (THB)]]+Port[[#This Row],[EAD_Interest (THB)]]</f>
        <v>401573.19585600001</v>
      </c>
      <c r="AQ57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37508.053450780564</v>
      </c>
      <c r="AR571" s="522">
        <f>MAX(Port[[#This Row],[ECL (THB)]]+Port[[#This Row],[ECL_Interest (THB)]], Port[[#This Row],[ECL CBIRC (THB)]])</f>
        <v>37508.053450780564</v>
      </c>
    </row>
    <row r="572" spans="1:44">
      <c r="A572" s="2" t="s">
        <v>398</v>
      </c>
      <c r="B572" s="2" t="s">
        <v>382</v>
      </c>
      <c r="C572" s="2" t="s">
        <v>379</v>
      </c>
      <c r="D572" s="2" t="s">
        <v>30</v>
      </c>
      <c r="E572" s="2" t="s">
        <v>19</v>
      </c>
      <c r="F572" s="2" t="s">
        <v>380</v>
      </c>
      <c r="G572" s="2" t="s">
        <v>21</v>
      </c>
      <c r="H572">
        <v>1</v>
      </c>
      <c r="I572" s="2" t="s">
        <v>526</v>
      </c>
      <c r="J572" s="505">
        <v>1.3043899345507868E-2</v>
      </c>
      <c r="K572" s="505">
        <v>4.7994244604505649</v>
      </c>
      <c r="L572" s="3">
        <v>1</v>
      </c>
      <c r="M572" s="3">
        <v>5.2488000000000001</v>
      </c>
      <c r="N572" s="507">
        <v>608715.77</v>
      </c>
      <c r="O572" s="507">
        <v>0</v>
      </c>
      <c r="P572" s="507">
        <v>608715.77</v>
      </c>
      <c r="Q572" s="507">
        <v>0</v>
      </c>
      <c r="R572" s="507">
        <v>38107.560923039222</v>
      </c>
      <c r="S572" s="507">
        <v>0</v>
      </c>
      <c r="T572" s="507">
        <v>38107.560923039222</v>
      </c>
      <c r="U572" s="507">
        <v>0</v>
      </c>
      <c r="V572" s="507">
        <f>Port[[#This Row],[EAD_Drawn (CNY)]]*Port[[#This Row],[CNY -&gt; FCY]]</f>
        <v>608715.77</v>
      </c>
      <c r="W572" s="507">
        <f>Port[[#This Row],[EAD_Undrawn (CNY)]]*Port[[#This Row],[CNY -&gt; FCY]]</f>
        <v>0</v>
      </c>
      <c r="X572" s="507">
        <f>Port[[#This Row],[EAD (CNY)]]*Port[[#This Row],[CNY -&gt; FCY]]</f>
        <v>608715.77</v>
      </c>
      <c r="Y572" s="507">
        <f>Port[[#This Row],[EAD_Interest (CNY)]]*Port[[#This Row],[CNY -&gt; FCY]]</f>
        <v>0</v>
      </c>
      <c r="Z572" s="507">
        <f>Port[[#This Row],[ECL_Drawn (CNY)]]*Port[[#This Row],[CNY -&gt; FCY]]</f>
        <v>38107.560923039222</v>
      </c>
      <c r="AA572" s="507">
        <f>Port[[#This Row],[ECL_Undrawn (CNY)]]*Port[[#This Row],[CNY -&gt; FCY]]</f>
        <v>0</v>
      </c>
      <c r="AB572" s="507">
        <f>Port[[#This Row],[ECL (CNY)]]*Port[[#This Row],[CNY -&gt; FCY]]</f>
        <v>38107.560923039222</v>
      </c>
      <c r="AC572" s="507">
        <f>Port[[#This Row],[ECL_Interest (CNY)]]*Port[[#This Row],[CNY -&gt; FCY]]</f>
        <v>0</v>
      </c>
      <c r="AD572" s="507">
        <f>Port[[#This Row],[EAD_Drawn (CNY)]]*Port[[#This Row],[CNY -&gt; THB]]</f>
        <v>3195027.3335760003</v>
      </c>
      <c r="AE572" s="507">
        <f>Port[[#This Row],[EAD_Undrawn (CNY)]]*Port[[#This Row],[CNY -&gt; THB]]</f>
        <v>0</v>
      </c>
      <c r="AF572" s="507">
        <f>Port[[#This Row],[EAD (CNY)]]*Port[[#This Row],[CNY -&gt; THB]]</f>
        <v>3195027.3335760003</v>
      </c>
      <c r="AG572" s="507">
        <f>Port[[#This Row],[EAD_Interest (CNY)]]*Port[[#This Row],[CNY -&gt; THB]]</f>
        <v>0</v>
      </c>
      <c r="AH572" s="507">
        <f>Port[[#This Row],[ECL_Drawn (CNY)]]*Port[[#This Row],[CNY -&gt; THB]]</f>
        <v>200018.96577284829</v>
      </c>
      <c r="AI572" s="507">
        <f>Port[[#This Row],[ECL_Undrawn (CNY)]]*Port[[#This Row],[CNY -&gt; THB]]</f>
        <v>0</v>
      </c>
      <c r="AJ572" s="507">
        <f>Port[[#This Row],[ECL (CNY)]]*Port[[#This Row],[CNY -&gt; THB]]</f>
        <v>200018.96577284829</v>
      </c>
      <c r="AK572" s="507">
        <f>Port[[#This Row],[ECL_Interest (CNY)]]*Port[[#This Row],[CNY -&gt; THB]]</f>
        <v>0</v>
      </c>
      <c r="AL572" s="507">
        <f>Port[[#This Row],[EAD (THB)]]*Port[[#This Row],[PD_avg]]</f>
        <v>41675.61494531174</v>
      </c>
      <c r="AM572" s="507">
        <f>Port[[#This Row],[EAD_Interest (THB)]]*Port[[#This Row],[PD_avg]]</f>
        <v>0</v>
      </c>
      <c r="AN572" s="507">
        <f>Port[[#This Row],[EAD (THB)]]*Port[[#This Row],[LGD_avg]]</f>
        <v>15334292.336572802</v>
      </c>
      <c r="AO572" s="507">
        <f>Port[[#This Row],[EAD_Interest (THB)]]*Port[[#This Row],[LGD_avg]]</f>
        <v>0</v>
      </c>
      <c r="AP572" s="507">
        <f>Port[[#This Row],[EAD_Drawn (THB)]]+Port[[#This Row],[EAD_Interest (THB)]]</f>
        <v>3195027.3335760003</v>
      </c>
      <c r="AQ57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200018.96577284829</v>
      </c>
      <c r="AR572" s="522">
        <f>MAX(Port[[#This Row],[ECL (THB)]]+Port[[#This Row],[ECL_Interest (THB)]], Port[[#This Row],[ECL CBIRC (THB)]])</f>
        <v>200018.96577284829</v>
      </c>
    </row>
    <row r="573" spans="1:44">
      <c r="A573" s="2" t="s">
        <v>399</v>
      </c>
      <c r="B573" s="2" t="s">
        <v>382</v>
      </c>
      <c r="C573" s="2" t="s">
        <v>379</v>
      </c>
      <c r="D573" s="2" t="s">
        <v>30</v>
      </c>
      <c r="E573" s="2" t="s">
        <v>19</v>
      </c>
      <c r="F573" s="2" t="s">
        <v>380</v>
      </c>
      <c r="G573" s="2" t="s">
        <v>21</v>
      </c>
      <c r="H573">
        <v>1</v>
      </c>
      <c r="I573" s="2" t="s">
        <v>526</v>
      </c>
      <c r="J573" s="505">
        <v>1.3043899345507868E-2</v>
      </c>
      <c r="K573" s="505">
        <v>1.7071822682790134</v>
      </c>
      <c r="L573" s="3">
        <v>1</v>
      </c>
      <c r="M573" s="3">
        <v>5.2488000000000001</v>
      </c>
      <c r="N573" s="507">
        <v>3246094.84</v>
      </c>
      <c r="O573" s="507">
        <v>0</v>
      </c>
      <c r="P573" s="507">
        <v>3246094.84</v>
      </c>
      <c r="Q573" s="507">
        <v>0</v>
      </c>
      <c r="R573" s="507">
        <v>72285.058105749762</v>
      </c>
      <c r="S573" s="507">
        <v>0</v>
      </c>
      <c r="T573" s="507">
        <v>72285.058105749762</v>
      </c>
      <c r="U573" s="507">
        <v>0</v>
      </c>
      <c r="V573" s="507">
        <f>Port[[#This Row],[EAD_Drawn (CNY)]]*Port[[#This Row],[CNY -&gt; FCY]]</f>
        <v>3246094.84</v>
      </c>
      <c r="W573" s="507">
        <f>Port[[#This Row],[EAD_Undrawn (CNY)]]*Port[[#This Row],[CNY -&gt; FCY]]</f>
        <v>0</v>
      </c>
      <c r="X573" s="507">
        <f>Port[[#This Row],[EAD (CNY)]]*Port[[#This Row],[CNY -&gt; FCY]]</f>
        <v>3246094.84</v>
      </c>
      <c r="Y573" s="507">
        <f>Port[[#This Row],[EAD_Interest (CNY)]]*Port[[#This Row],[CNY -&gt; FCY]]</f>
        <v>0</v>
      </c>
      <c r="Z573" s="507">
        <f>Port[[#This Row],[ECL_Drawn (CNY)]]*Port[[#This Row],[CNY -&gt; FCY]]</f>
        <v>72285.058105749762</v>
      </c>
      <c r="AA573" s="507">
        <f>Port[[#This Row],[ECL_Undrawn (CNY)]]*Port[[#This Row],[CNY -&gt; FCY]]</f>
        <v>0</v>
      </c>
      <c r="AB573" s="507">
        <f>Port[[#This Row],[ECL (CNY)]]*Port[[#This Row],[CNY -&gt; FCY]]</f>
        <v>72285.058105749762</v>
      </c>
      <c r="AC573" s="507">
        <f>Port[[#This Row],[ECL_Interest (CNY)]]*Port[[#This Row],[CNY -&gt; FCY]]</f>
        <v>0</v>
      </c>
      <c r="AD573" s="507">
        <f>Port[[#This Row],[EAD_Drawn (CNY)]]*Port[[#This Row],[CNY -&gt; THB]]</f>
        <v>17038102.596191999</v>
      </c>
      <c r="AE573" s="507">
        <f>Port[[#This Row],[EAD_Undrawn (CNY)]]*Port[[#This Row],[CNY -&gt; THB]]</f>
        <v>0</v>
      </c>
      <c r="AF573" s="507">
        <f>Port[[#This Row],[EAD (CNY)]]*Port[[#This Row],[CNY -&gt; THB]]</f>
        <v>17038102.596191999</v>
      </c>
      <c r="AG573" s="507">
        <f>Port[[#This Row],[EAD_Interest (CNY)]]*Port[[#This Row],[CNY -&gt; THB]]</f>
        <v>0</v>
      </c>
      <c r="AH573" s="507">
        <f>Port[[#This Row],[ECL_Drawn (CNY)]]*Port[[#This Row],[CNY -&gt; THB]]</f>
        <v>379409.81298545934</v>
      </c>
      <c r="AI573" s="507">
        <f>Port[[#This Row],[ECL_Undrawn (CNY)]]*Port[[#This Row],[CNY -&gt; THB]]</f>
        <v>0</v>
      </c>
      <c r="AJ573" s="507">
        <f>Port[[#This Row],[ECL (CNY)]]*Port[[#This Row],[CNY -&gt; THB]]</f>
        <v>379409.81298545934</v>
      </c>
      <c r="AK573" s="507">
        <f>Port[[#This Row],[ECL_Interest (CNY)]]*Port[[#This Row],[CNY -&gt; THB]]</f>
        <v>0</v>
      </c>
      <c r="AL573" s="507">
        <f>Port[[#This Row],[EAD (THB)]]*Port[[#This Row],[PD_avg]]</f>
        <v>222243.29530316472</v>
      </c>
      <c r="AM573" s="507">
        <f>Port[[#This Row],[EAD_Interest (THB)]]*Port[[#This Row],[PD_avg]]</f>
        <v>0</v>
      </c>
      <c r="AN573" s="507">
        <f>Port[[#This Row],[EAD (THB)]]*Port[[#This Row],[LGD_avg]]</f>
        <v>29087146.637337603</v>
      </c>
      <c r="AO573" s="507">
        <f>Port[[#This Row],[EAD_Interest (THB)]]*Port[[#This Row],[LGD_avg]]</f>
        <v>0</v>
      </c>
      <c r="AP573" s="507">
        <f>Port[[#This Row],[EAD_Drawn (THB)]]+Port[[#This Row],[EAD_Interest (THB)]]</f>
        <v>17038102.596191999</v>
      </c>
      <c r="AQ57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379409.81298545934</v>
      </c>
      <c r="AR573" s="522">
        <f>MAX(Port[[#This Row],[ECL (THB)]]+Port[[#This Row],[ECL_Interest (THB)]], Port[[#This Row],[ECL CBIRC (THB)]])</f>
        <v>379409.81298545934</v>
      </c>
    </row>
    <row r="574" spans="1:44">
      <c r="A574" s="2" t="s">
        <v>400</v>
      </c>
      <c r="B574" s="2" t="s">
        <v>382</v>
      </c>
      <c r="C574" s="2" t="s">
        <v>379</v>
      </c>
      <c r="D574" s="2" t="s">
        <v>30</v>
      </c>
      <c r="E574" s="2" t="s">
        <v>19</v>
      </c>
      <c r="F574" s="2" t="s">
        <v>380</v>
      </c>
      <c r="G574" s="2" t="s">
        <v>21</v>
      </c>
      <c r="H574">
        <v>1</v>
      </c>
      <c r="I574" s="2" t="s">
        <v>526</v>
      </c>
      <c r="J574" s="505">
        <v>1.3043899345507868E-2</v>
      </c>
      <c r="K574" s="505">
        <v>1.5212918314673647</v>
      </c>
      <c r="L574" s="3">
        <v>1</v>
      </c>
      <c r="M574" s="3">
        <v>5.2488000000000001</v>
      </c>
      <c r="N574" s="507">
        <v>6157417.2800000003</v>
      </c>
      <c r="O574" s="507">
        <v>0</v>
      </c>
      <c r="P574" s="507">
        <v>6157417.2800000003</v>
      </c>
      <c r="Q574" s="507">
        <v>0</v>
      </c>
      <c r="R574" s="507">
        <v>122185.18714824546</v>
      </c>
      <c r="S574" s="507">
        <v>0</v>
      </c>
      <c r="T574" s="507">
        <v>122185.18714824546</v>
      </c>
      <c r="U574" s="507">
        <v>0</v>
      </c>
      <c r="V574" s="507">
        <f>Port[[#This Row],[EAD_Drawn (CNY)]]*Port[[#This Row],[CNY -&gt; FCY]]</f>
        <v>6157417.2800000003</v>
      </c>
      <c r="W574" s="507">
        <f>Port[[#This Row],[EAD_Undrawn (CNY)]]*Port[[#This Row],[CNY -&gt; FCY]]</f>
        <v>0</v>
      </c>
      <c r="X574" s="507">
        <f>Port[[#This Row],[EAD (CNY)]]*Port[[#This Row],[CNY -&gt; FCY]]</f>
        <v>6157417.2800000003</v>
      </c>
      <c r="Y574" s="507">
        <f>Port[[#This Row],[EAD_Interest (CNY)]]*Port[[#This Row],[CNY -&gt; FCY]]</f>
        <v>0</v>
      </c>
      <c r="Z574" s="507">
        <f>Port[[#This Row],[ECL_Drawn (CNY)]]*Port[[#This Row],[CNY -&gt; FCY]]</f>
        <v>122185.18714824546</v>
      </c>
      <c r="AA574" s="507">
        <f>Port[[#This Row],[ECL_Undrawn (CNY)]]*Port[[#This Row],[CNY -&gt; FCY]]</f>
        <v>0</v>
      </c>
      <c r="AB574" s="507">
        <f>Port[[#This Row],[ECL (CNY)]]*Port[[#This Row],[CNY -&gt; FCY]]</f>
        <v>122185.18714824546</v>
      </c>
      <c r="AC574" s="507">
        <f>Port[[#This Row],[ECL_Interest (CNY)]]*Port[[#This Row],[CNY -&gt; FCY]]</f>
        <v>0</v>
      </c>
      <c r="AD574" s="507">
        <f>Port[[#This Row],[EAD_Drawn (CNY)]]*Port[[#This Row],[CNY -&gt; THB]]</f>
        <v>32319051.819264002</v>
      </c>
      <c r="AE574" s="507">
        <f>Port[[#This Row],[EAD_Undrawn (CNY)]]*Port[[#This Row],[CNY -&gt; THB]]</f>
        <v>0</v>
      </c>
      <c r="AF574" s="507">
        <f>Port[[#This Row],[EAD (CNY)]]*Port[[#This Row],[CNY -&gt; THB]]</f>
        <v>32319051.819264002</v>
      </c>
      <c r="AG574" s="507">
        <f>Port[[#This Row],[EAD_Interest (CNY)]]*Port[[#This Row],[CNY -&gt; THB]]</f>
        <v>0</v>
      </c>
      <c r="AH574" s="507">
        <f>Port[[#This Row],[ECL_Drawn (CNY)]]*Port[[#This Row],[CNY -&gt; THB]]</f>
        <v>641325.6103037108</v>
      </c>
      <c r="AI574" s="507">
        <f>Port[[#This Row],[ECL_Undrawn (CNY)]]*Port[[#This Row],[CNY -&gt; THB]]</f>
        <v>0</v>
      </c>
      <c r="AJ574" s="507">
        <f>Port[[#This Row],[ECL (CNY)]]*Port[[#This Row],[CNY -&gt; THB]]</f>
        <v>641325.6103037108</v>
      </c>
      <c r="AK574" s="507">
        <f>Port[[#This Row],[ECL_Interest (CNY)]]*Port[[#This Row],[CNY -&gt; THB]]</f>
        <v>0</v>
      </c>
      <c r="AL574" s="507">
        <f>Port[[#This Row],[EAD (THB)]]*Port[[#This Row],[PD_avg]]</f>
        <v>421566.45887273259</v>
      </c>
      <c r="AM574" s="507">
        <f>Port[[#This Row],[EAD_Interest (THB)]]*Port[[#This Row],[PD_avg]]</f>
        <v>0</v>
      </c>
      <c r="AN574" s="507">
        <f>Port[[#This Row],[EAD (THB)]]*Port[[#This Row],[LGD_avg]]</f>
        <v>49166709.5334168</v>
      </c>
      <c r="AO574" s="507">
        <f>Port[[#This Row],[EAD_Interest (THB)]]*Port[[#This Row],[LGD_avg]]</f>
        <v>0</v>
      </c>
      <c r="AP574" s="507">
        <f>Port[[#This Row],[EAD_Drawn (THB)]]+Port[[#This Row],[EAD_Interest (THB)]]</f>
        <v>32319051.819264002</v>
      </c>
      <c r="AQ57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641325.6103037108</v>
      </c>
      <c r="AR574" s="522">
        <f>MAX(Port[[#This Row],[ECL (THB)]]+Port[[#This Row],[ECL_Interest (THB)]], Port[[#This Row],[ECL CBIRC (THB)]])</f>
        <v>641325.6103037108</v>
      </c>
    </row>
    <row r="575" spans="1:44">
      <c r="A575" s="2" t="s">
        <v>401</v>
      </c>
      <c r="B575" s="2" t="s">
        <v>382</v>
      </c>
      <c r="C575" s="2" t="s">
        <v>379</v>
      </c>
      <c r="D575" s="2" t="s">
        <v>30</v>
      </c>
      <c r="E575" s="2" t="s">
        <v>19</v>
      </c>
      <c r="F575" s="2" t="s">
        <v>380</v>
      </c>
      <c r="G575" s="2" t="s">
        <v>21</v>
      </c>
      <c r="H575">
        <v>1</v>
      </c>
      <c r="I575" s="2" t="s">
        <v>526</v>
      </c>
      <c r="J575" s="505">
        <v>1.3043899345507868E-2</v>
      </c>
      <c r="K575" s="505">
        <v>2.1077212716699438E-3</v>
      </c>
      <c r="L575" s="3">
        <v>1</v>
      </c>
      <c r="M575" s="3">
        <v>5.2488000000000001</v>
      </c>
      <c r="N575" s="507">
        <v>10408031.789999999</v>
      </c>
      <c r="O575" s="507">
        <v>0</v>
      </c>
      <c r="P575" s="507">
        <v>10408031.789999999</v>
      </c>
      <c r="Q575" s="507">
        <v>0</v>
      </c>
      <c r="R575" s="507">
        <v>286.14702003925555</v>
      </c>
      <c r="S575" s="507">
        <v>0</v>
      </c>
      <c r="T575" s="507">
        <v>286.14702003925555</v>
      </c>
      <c r="U575" s="507">
        <v>0</v>
      </c>
      <c r="V575" s="507">
        <f>Port[[#This Row],[EAD_Drawn (CNY)]]*Port[[#This Row],[CNY -&gt; FCY]]</f>
        <v>10408031.789999999</v>
      </c>
      <c r="W575" s="507">
        <f>Port[[#This Row],[EAD_Undrawn (CNY)]]*Port[[#This Row],[CNY -&gt; FCY]]</f>
        <v>0</v>
      </c>
      <c r="X575" s="507">
        <f>Port[[#This Row],[EAD (CNY)]]*Port[[#This Row],[CNY -&gt; FCY]]</f>
        <v>10408031.789999999</v>
      </c>
      <c r="Y575" s="507">
        <f>Port[[#This Row],[EAD_Interest (CNY)]]*Port[[#This Row],[CNY -&gt; FCY]]</f>
        <v>0</v>
      </c>
      <c r="Z575" s="507">
        <f>Port[[#This Row],[ECL_Drawn (CNY)]]*Port[[#This Row],[CNY -&gt; FCY]]</f>
        <v>286.14702003925555</v>
      </c>
      <c r="AA575" s="507">
        <f>Port[[#This Row],[ECL_Undrawn (CNY)]]*Port[[#This Row],[CNY -&gt; FCY]]</f>
        <v>0</v>
      </c>
      <c r="AB575" s="507">
        <f>Port[[#This Row],[ECL (CNY)]]*Port[[#This Row],[CNY -&gt; FCY]]</f>
        <v>286.14702003925555</v>
      </c>
      <c r="AC575" s="507">
        <f>Port[[#This Row],[ECL_Interest (CNY)]]*Port[[#This Row],[CNY -&gt; FCY]]</f>
        <v>0</v>
      </c>
      <c r="AD575" s="507">
        <f>Port[[#This Row],[EAD_Drawn (CNY)]]*Port[[#This Row],[CNY -&gt; THB]]</f>
        <v>54629677.259351999</v>
      </c>
      <c r="AE575" s="507">
        <f>Port[[#This Row],[EAD_Undrawn (CNY)]]*Port[[#This Row],[CNY -&gt; THB]]</f>
        <v>0</v>
      </c>
      <c r="AF575" s="507">
        <f>Port[[#This Row],[EAD (CNY)]]*Port[[#This Row],[CNY -&gt; THB]]</f>
        <v>54629677.259351999</v>
      </c>
      <c r="AG575" s="507">
        <f>Port[[#This Row],[EAD_Interest (CNY)]]*Port[[#This Row],[CNY -&gt; THB]]</f>
        <v>0</v>
      </c>
      <c r="AH575" s="507">
        <f>Port[[#This Row],[ECL_Drawn (CNY)]]*Port[[#This Row],[CNY -&gt; THB]]</f>
        <v>1501.9284787820445</v>
      </c>
      <c r="AI575" s="507">
        <f>Port[[#This Row],[ECL_Undrawn (CNY)]]*Port[[#This Row],[CNY -&gt; THB]]</f>
        <v>0</v>
      </c>
      <c r="AJ575" s="507">
        <f>Port[[#This Row],[ECL (CNY)]]*Port[[#This Row],[CNY -&gt; THB]]</f>
        <v>1501.9284787820445</v>
      </c>
      <c r="AK575" s="507">
        <f>Port[[#This Row],[ECL_Interest (CNY)]]*Port[[#This Row],[CNY -&gt; THB]]</f>
        <v>0</v>
      </c>
      <c r="AL575" s="507">
        <f>Port[[#This Row],[EAD (THB)]]*Port[[#This Row],[PD_avg]]</f>
        <v>712584.01144856762</v>
      </c>
      <c r="AM575" s="507">
        <f>Port[[#This Row],[EAD_Interest (THB)]]*Port[[#This Row],[PD_avg]]</f>
        <v>0</v>
      </c>
      <c r="AN575" s="507">
        <f>Port[[#This Row],[EAD (THB)]]*Port[[#This Row],[LGD_avg]]</f>
        <v>115144.132824</v>
      </c>
      <c r="AO575" s="507">
        <f>Port[[#This Row],[EAD_Interest (THB)]]*Port[[#This Row],[LGD_avg]]</f>
        <v>0</v>
      </c>
      <c r="AP575" s="507">
        <f>Port[[#This Row],[EAD_Drawn (THB)]]+Port[[#This Row],[EAD_Interest (THB)]]</f>
        <v>54629677.259351999</v>
      </c>
      <c r="AQ57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1501.9284787820445</v>
      </c>
      <c r="AR575" s="522">
        <f>MAX(Port[[#This Row],[ECL (THB)]]+Port[[#This Row],[ECL_Interest (THB)]], Port[[#This Row],[ECL CBIRC (THB)]])</f>
        <v>1501.9284787820445</v>
      </c>
    </row>
    <row r="576" spans="1:44">
      <c r="A576" s="2" t="s">
        <v>402</v>
      </c>
      <c r="B576" s="2" t="s">
        <v>382</v>
      </c>
      <c r="C576" s="2" t="s">
        <v>379</v>
      </c>
      <c r="D576" s="2" t="s">
        <v>30</v>
      </c>
      <c r="E576" s="2" t="s">
        <v>19</v>
      </c>
      <c r="F576" s="2" t="s">
        <v>380</v>
      </c>
      <c r="G576" s="2" t="s">
        <v>21</v>
      </c>
      <c r="H576">
        <v>1</v>
      </c>
      <c r="I576" s="2" t="s">
        <v>526</v>
      </c>
      <c r="J576" s="505">
        <v>1.3043899345507868E-2</v>
      </c>
      <c r="K576" s="505">
        <v>9.8134992430676082E-2</v>
      </c>
      <c r="L576" s="3">
        <v>1</v>
      </c>
      <c r="M576" s="3">
        <v>5.2488000000000001</v>
      </c>
      <c r="N576" s="507">
        <v>24374.7</v>
      </c>
      <c r="O576" s="507">
        <v>0</v>
      </c>
      <c r="P576" s="507">
        <v>24374.7</v>
      </c>
      <c r="Q576" s="507">
        <v>0</v>
      </c>
      <c r="R576" s="507">
        <v>31.201150717347623</v>
      </c>
      <c r="S576" s="507">
        <v>0</v>
      </c>
      <c r="T576" s="507">
        <v>31.201150717347623</v>
      </c>
      <c r="U576" s="507">
        <v>0</v>
      </c>
      <c r="V576" s="507">
        <f>Port[[#This Row],[EAD_Drawn (CNY)]]*Port[[#This Row],[CNY -&gt; FCY]]</f>
        <v>24374.7</v>
      </c>
      <c r="W576" s="507">
        <f>Port[[#This Row],[EAD_Undrawn (CNY)]]*Port[[#This Row],[CNY -&gt; FCY]]</f>
        <v>0</v>
      </c>
      <c r="X576" s="507">
        <f>Port[[#This Row],[EAD (CNY)]]*Port[[#This Row],[CNY -&gt; FCY]]</f>
        <v>24374.7</v>
      </c>
      <c r="Y576" s="507">
        <f>Port[[#This Row],[EAD_Interest (CNY)]]*Port[[#This Row],[CNY -&gt; FCY]]</f>
        <v>0</v>
      </c>
      <c r="Z576" s="507">
        <f>Port[[#This Row],[ECL_Drawn (CNY)]]*Port[[#This Row],[CNY -&gt; FCY]]</f>
        <v>31.201150717347623</v>
      </c>
      <c r="AA576" s="507">
        <f>Port[[#This Row],[ECL_Undrawn (CNY)]]*Port[[#This Row],[CNY -&gt; FCY]]</f>
        <v>0</v>
      </c>
      <c r="AB576" s="507">
        <f>Port[[#This Row],[ECL (CNY)]]*Port[[#This Row],[CNY -&gt; FCY]]</f>
        <v>31.201150717347623</v>
      </c>
      <c r="AC576" s="507">
        <f>Port[[#This Row],[ECL_Interest (CNY)]]*Port[[#This Row],[CNY -&gt; FCY]]</f>
        <v>0</v>
      </c>
      <c r="AD576" s="507">
        <f>Port[[#This Row],[EAD_Drawn (CNY)]]*Port[[#This Row],[CNY -&gt; THB]]</f>
        <v>127937.92536000001</v>
      </c>
      <c r="AE576" s="507">
        <f>Port[[#This Row],[EAD_Undrawn (CNY)]]*Port[[#This Row],[CNY -&gt; THB]]</f>
        <v>0</v>
      </c>
      <c r="AF576" s="507">
        <f>Port[[#This Row],[EAD (CNY)]]*Port[[#This Row],[CNY -&gt; THB]]</f>
        <v>127937.92536000001</v>
      </c>
      <c r="AG576" s="507">
        <f>Port[[#This Row],[EAD_Interest (CNY)]]*Port[[#This Row],[CNY -&gt; THB]]</f>
        <v>0</v>
      </c>
      <c r="AH576" s="507">
        <f>Port[[#This Row],[ECL_Drawn (CNY)]]*Port[[#This Row],[CNY -&gt; THB]]</f>
        <v>163.7685998852142</v>
      </c>
      <c r="AI576" s="507">
        <f>Port[[#This Row],[ECL_Undrawn (CNY)]]*Port[[#This Row],[CNY -&gt; THB]]</f>
        <v>0</v>
      </c>
      <c r="AJ576" s="507">
        <f>Port[[#This Row],[ECL (CNY)]]*Port[[#This Row],[CNY -&gt; THB]]</f>
        <v>163.7685998852142</v>
      </c>
      <c r="AK576" s="507">
        <f>Port[[#This Row],[ECL_Interest (CNY)]]*Port[[#This Row],[CNY -&gt; THB]]</f>
        <v>0</v>
      </c>
      <c r="AL576" s="507">
        <f>Port[[#This Row],[EAD (THB)]]*Port[[#This Row],[PD_avg]]</f>
        <v>1668.8094208689386</v>
      </c>
      <c r="AM576" s="507">
        <f>Port[[#This Row],[EAD_Interest (THB)]]*Port[[#This Row],[PD_avg]]</f>
        <v>0</v>
      </c>
      <c r="AN576" s="507">
        <f>Port[[#This Row],[EAD (THB)]]*Port[[#This Row],[LGD_avg]]</f>
        <v>12555.187336800003</v>
      </c>
      <c r="AO576" s="507">
        <f>Port[[#This Row],[EAD_Interest (THB)]]*Port[[#This Row],[LGD_avg]]</f>
        <v>0</v>
      </c>
      <c r="AP576" s="507">
        <f>Port[[#This Row],[EAD_Drawn (THB)]]+Port[[#This Row],[EAD_Interest (THB)]]</f>
        <v>127937.92536000001</v>
      </c>
      <c r="AQ57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163.7685998852142</v>
      </c>
      <c r="AR576" s="522">
        <f>MAX(Port[[#This Row],[ECL (THB)]]+Port[[#This Row],[ECL_Interest (THB)]], Port[[#This Row],[ECL CBIRC (THB)]])</f>
        <v>163.7685998852142</v>
      </c>
    </row>
    <row r="577" spans="1:44">
      <c r="A577" s="2" t="s">
        <v>403</v>
      </c>
      <c r="B577" s="2" t="s">
        <v>382</v>
      </c>
      <c r="C577" s="2" t="s">
        <v>379</v>
      </c>
      <c r="D577" s="2" t="s">
        <v>30</v>
      </c>
      <c r="E577" s="2" t="s">
        <v>19</v>
      </c>
      <c r="F577" s="2" t="s">
        <v>380</v>
      </c>
      <c r="G577" s="2" t="s">
        <v>21</v>
      </c>
      <c r="H577">
        <v>1</v>
      </c>
      <c r="I577" s="2" t="s">
        <v>526</v>
      </c>
      <c r="J577" s="505">
        <v>1.3043899345507868E-2</v>
      </c>
      <c r="K577" s="505">
        <v>7.8378889980020992</v>
      </c>
      <c r="L577" s="3">
        <v>1</v>
      </c>
      <c r="M577" s="3">
        <v>5.2488000000000001</v>
      </c>
      <c r="N577" s="507">
        <v>2657.79</v>
      </c>
      <c r="O577" s="507">
        <v>0</v>
      </c>
      <c r="P577" s="507">
        <v>2657.79</v>
      </c>
      <c r="Q577" s="507">
        <v>0</v>
      </c>
      <c r="R577" s="507">
        <v>271.72350659167137</v>
      </c>
      <c r="S577" s="507">
        <v>0</v>
      </c>
      <c r="T577" s="507">
        <v>271.72350659167137</v>
      </c>
      <c r="U577" s="507">
        <v>0</v>
      </c>
      <c r="V577" s="507">
        <f>Port[[#This Row],[EAD_Drawn (CNY)]]*Port[[#This Row],[CNY -&gt; FCY]]</f>
        <v>2657.79</v>
      </c>
      <c r="W577" s="507">
        <f>Port[[#This Row],[EAD_Undrawn (CNY)]]*Port[[#This Row],[CNY -&gt; FCY]]</f>
        <v>0</v>
      </c>
      <c r="X577" s="507">
        <f>Port[[#This Row],[EAD (CNY)]]*Port[[#This Row],[CNY -&gt; FCY]]</f>
        <v>2657.79</v>
      </c>
      <c r="Y577" s="507">
        <f>Port[[#This Row],[EAD_Interest (CNY)]]*Port[[#This Row],[CNY -&gt; FCY]]</f>
        <v>0</v>
      </c>
      <c r="Z577" s="507">
        <f>Port[[#This Row],[ECL_Drawn (CNY)]]*Port[[#This Row],[CNY -&gt; FCY]]</f>
        <v>271.72350659167137</v>
      </c>
      <c r="AA577" s="507">
        <f>Port[[#This Row],[ECL_Undrawn (CNY)]]*Port[[#This Row],[CNY -&gt; FCY]]</f>
        <v>0</v>
      </c>
      <c r="AB577" s="507">
        <f>Port[[#This Row],[ECL (CNY)]]*Port[[#This Row],[CNY -&gt; FCY]]</f>
        <v>271.72350659167137</v>
      </c>
      <c r="AC577" s="507">
        <f>Port[[#This Row],[ECL_Interest (CNY)]]*Port[[#This Row],[CNY -&gt; FCY]]</f>
        <v>0</v>
      </c>
      <c r="AD577" s="507">
        <f>Port[[#This Row],[EAD_Drawn (CNY)]]*Port[[#This Row],[CNY -&gt; THB]]</f>
        <v>13950.208152000001</v>
      </c>
      <c r="AE577" s="507">
        <f>Port[[#This Row],[EAD_Undrawn (CNY)]]*Port[[#This Row],[CNY -&gt; THB]]</f>
        <v>0</v>
      </c>
      <c r="AF577" s="507">
        <f>Port[[#This Row],[EAD (CNY)]]*Port[[#This Row],[CNY -&gt; THB]]</f>
        <v>13950.208152000001</v>
      </c>
      <c r="AG577" s="507">
        <f>Port[[#This Row],[EAD_Interest (CNY)]]*Port[[#This Row],[CNY -&gt; THB]]</f>
        <v>0</v>
      </c>
      <c r="AH577" s="507">
        <f>Port[[#This Row],[ECL_Drawn (CNY)]]*Port[[#This Row],[CNY -&gt; THB]]</f>
        <v>1426.2223413983647</v>
      </c>
      <c r="AI577" s="507">
        <f>Port[[#This Row],[ECL_Undrawn (CNY)]]*Port[[#This Row],[CNY -&gt; THB]]</f>
        <v>0</v>
      </c>
      <c r="AJ577" s="507">
        <f>Port[[#This Row],[ECL (CNY)]]*Port[[#This Row],[CNY -&gt; THB]]</f>
        <v>1426.2223413983647</v>
      </c>
      <c r="AK577" s="507">
        <f>Port[[#This Row],[ECL_Interest (CNY)]]*Port[[#This Row],[CNY -&gt; THB]]</f>
        <v>0</v>
      </c>
      <c r="AL577" s="507">
        <f>Port[[#This Row],[EAD (THB)]]*Port[[#This Row],[PD_avg]]</f>
        <v>181.96511098357135</v>
      </c>
      <c r="AM577" s="507">
        <f>Port[[#This Row],[EAD_Interest (THB)]]*Port[[#This Row],[PD_avg]]</f>
        <v>0</v>
      </c>
      <c r="AN577" s="507">
        <f>Port[[#This Row],[EAD (THB)]]*Port[[#This Row],[LGD_avg]]</f>
        <v>109340.18299440001</v>
      </c>
      <c r="AO577" s="507">
        <f>Port[[#This Row],[EAD_Interest (THB)]]*Port[[#This Row],[LGD_avg]]</f>
        <v>0</v>
      </c>
      <c r="AP577" s="507">
        <f>Port[[#This Row],[EAD_Drawn (THB)]]+Port[[#This Row],[EAD_Interest (THB)]]</f>
        <v>13950.208152000001</v>
      </c>
      <c r="AQ57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1426.2223413983647</v>
      </c>
      <c r="AR577" s="522">
        <f>MAX(Port[[#This Row],[ECL (THB)]]+Port[[#This Row],[ECL_Interest (THB)]], Port[[#This Row],[ECL CBIRC (THB)]])</f>
        <v>1426.2223413983647</v>
      </c>
    </row>
    <row r="578" spans="1:44">
      <c r="A578" s="2" t="s">
        <v>404</v>
      </c>
      <c r="B578" s="2" t="s">
        <v>382</v>
      </c>
      <c r="C578" s="2" t="s">
        <v>379</v>
      </c>
      <c r="D578" s="2" t="s">
        <v>30</v>
      </c>
      <c r="E578" s="2" t="s">
        <v>19</v>
      </c>
      <c r="F578" s="2" t="s">
        <v>380</v>
      </c>
      <c r="G578" s="2" t="s">
        <v>21</v>
      </c>
      <c r="H578">
        <v>1</v>
      </c>
      <c r="I578" s="2" t="s">
        <v>526</v>
      </c>
      <c r="J578" s="505">
        <v>1.3043899345507868E-2</v>
      </c>
      <c r="K578" s="505">
        <v>0.64551999540310734</v>
      </c>
      <c r="L578" s="3">
        <v>1</v>
      </c>
      <c r="M578" s="3">
        <v>5.2488000000000001</v>
      </c>
      <c r="N578" s="507">
        <v>23146.07</v>
      </c>
      <c r="O578" s="507">
        <v>0</v>
      </c>
      <c r="P578" s="507">
        <v>23146.07</v>
      </c>
      <c r="Q578" s="507">
        <v>0</v>
      </c>
      <c r="R578" s="507">
        <v>194.89217413996877</v>
      </c>
      <c r="S578" s="507">
        <v>0</v>
      </c>
      <c r="T578" s="507">
        <v>194.89217413996877</v>
      </c>
      <c r="U578" s="507">
        <v>0</v>
      </c>
      <c r="V578" s="507">
        <f>Port[[#This Row],[EAD_Drawn (CNY)]]*Port[[#This Row],[CNY -&gt; FCY]]</f>
        <v>23146.07</v>
      </c>
      <c r="W578" s="507">
        <f>Port[[#This Row],[EAD_Undrawn (CNY)]]*Port[[#This Row],[CNY -&gt; FCY]]</f>
        <v>0</v>
      </c>
      <c r="X578" s="507">
        <f>Port[[#This Row],[EAD (CNY)]]*Port[[#This Row],[CNY -&gt; FCY]]</f>
        <v>23146.07</v>
      </c>
      <c r="Y578" s="507">
        <f>Port[[#This Row],[EAD_Interest (CNY)]]*Port[[#This Row],[CNY -&gt; FCY]]</f>
        <v>0</v>
      </c>
      <c r="Z578" s="507">
        <f>Port[[#This Row],[ECL_Drawn (CNY)]]*Port[[#This Row],[CNY -&gt; FCY]]</f>
        <v>194.89217413996877</v>
      </c>
      <c r="AA578" s="507">
        <f>Port[[#This Row],[ECL_Undrawn (CNY)]]*Port[[#This Row],[CNY -&gt; FCY]]</f>
        <v>0</v>
      </c>
      <c r="AB578" s="507">
        <f>Port[[#This Row],[ECL (CNY)]]*Port[[#This Row],[CNY -&gt; FCY]]</f>
        <v>194.89217413996877</v>
      </c>
      <c r="AC578" s="507">
        <f>Port[[#This Row],[ECL_Interest (CNY)]]*Port[[#This Row],[CNY -&gt; FCY]]</f>
        <v>0</v>
      </c>
      <c r="AD578" s="507">
        <f>Port[[#This Row],[EAD_Drawn (CNY)]]*Port[[#This Row],[CNY -&gt; THB]]</f>
        <v>121489.092216</v>
      </c>
      <c r="AE578" s="507">
        <f>Port[[#This Row],[EAD_Undrawn (CNY)]]*Port[[#This Row],[CNY -&gt; THB]]</f>
        <v>0</v>
      </c>
      <c r="AF578" s="507">
        <f>Port[[#This Row],[EAD (CNY)]]*Port[[#This Row],[CNY -&gt; THB]]</f>
        <v>121489.092216</v>
      </c>
      <c r="AG578" s="507">
        <f>Port[[#This Row],[EAD_Interest (CNY)]]*Port[[#This Row],[CNY -&gt; THB]]</f>
        <v>0</v>
      </c>
      <c r="AH578" s="507">
        <f>Port[[#This Row],[ECL_Drawn (CNY)]]*Port[[#This Row],[CNY -&gt; THB]]</f>
        <v>1022.9500436258681</v>
      </c>
      <c r="AI578" s="507">
        <f>Port[[#This Row],[ECL_Undrawn (CNY)]]*Port[[#This Row],[CNY -&gt; THB]]</f>
        <v>0</v>
      </c>
      <c r="AJ578" s="507">
        <f>Port[[#This Row],[ECL (CNY)]]*Port[[#This Row],[CNY -&gt; THB]]</f>
        <v>1022.9500436258681</v>
      </c>
      <c r="AK578" s="507">
        <f>Port[[#This Row],[ECL_Interest (CNY)]]*Port[[#This Row],[CNY -&gt; THB]]</f>
        <v>0</v>
      </c>
      <c r="AL578" s="507">
        <f>Port[[#This Row],[EAD (THB)]]*Port[[#This Row],[PD_avg]]</f>
        <v>1584.6914904426276</v>
      </c>
      <c r="AM578" s="507">
        <f>Port[[#This Row],[EAD_Interest (THB)]]*Port[[#This Row],[PD_avg]]</f>
        <v>0</v>
      </c>
      <c r="AN578" s="507">
        <f>Port[[#This Row],[EAD (THB)]]*Port[[#This Row],[LGD_avg]]</f>
        <v>78423.638248800009</v>
      </c>
      <c r="AO578" s="507">
        <f>Port[[#This Row],[EAD_Interest (THB)]]*Port[[#This Row],[LGD_avg]]</f>
        <v>0</v>
      </c>
      <c r="AP578" s="507">
        <f>Port[[#This Row],[EAD_Drawn (THB)]]+Port[[#This Row],[EAD_Interest (THB)]]</f>
        <v>121489.092216</v>
      </c>
      <c r="AQ57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1022.9500436258681</v>
      </c>
      <c r="AR578" s="522">
        <f>MAX(Port[[#This Row],[ECL (THB)]]+Port[[#This Row],[ECL_Interest (THB)]], Port[[#This Row],[ECL CBIRC (THB)]])</f>
        <v>1022.9500436258681</v>
      </c>
    </row>
    <row r="579" spans="1:44">
      <c r="A579" s="2" t="s">
        <v>405</v>
      </c>
      <c r="B579" s="2" t="s">
        <v>382</v>
      </c>
      <c r="C579" s="2" t="s">
        <v>379</v>
      </c>
      <c r="D579" s="2" t="s">
        <v>30</v>
      </c>
      <c r="E579" s="2" t="s">
        <v>19</v>
      </c>
      <c r="F579" s="2" t="s">
        <v>380</v>
      </c>
      <c r="G579" s="2" t="s">
        <v>21</v>
      </c>
      <c r="H579">
        <v>1</v>
      </c>
      <c r="I579" s="2" t="s">
        <v>526</v>
      </c>
      <c r="J579" s="505">
        <v>1.3043899345507868E-2</v>
      </c>
      <c r="K579" s="505">
        <v>0.73078543423171194</v>
      </c>
      <c r="L579" s="3">
        <v>1</v>
      </c>
      <c r="M579" s="3">
        <v>5.2488000000000001</v>
      </c>
      <c r="N579" s="507">
        <v>16601.39</v>
      </c>
      <c r="O579" s="507">
        <v>0</v>
      </c>
      <c r="P579" s="507">
        <v>16601.39</v>
      </c>
      <c r="Q579" s="507">
        <v>0</v>
      </c>
      <c r="R579" s="507">
        <v>158.24929123026612</v>
      </c>
      <c r="S579" s="507">
        <v>0</v>
      </c>
      <c r="T579" s="507">
        <v>158.24929123026612</v>
      </c>
      <c r="U579" s="507">
        <v>0</v>
      </c>
      <c r="V579" s="507">
        <f>Port[[#This Row],[EAD_Drawn (CNY)]]*Port[[#This Row],[CNY -&gt; FCY]]</f>
        <v>16601.39</v>
      </c>
      <c r="W579" s="507">
        <f>Port[[#This Row],[EAD_Undrawn (CNY)]]*Port[[#This Row],[CNY -&gt; FCY]]</f>
        <v>0</v>
      </c>
      <c r="X579" s="507">
        <f>Port[[#This Row],[EAD (CNY)]]*Port[[#This Row],[CNY -&gt; FCY]]</f>
        <v>16601.39</v>
      </c>
      <c r="Y579" s="507">
        <f>Port[[#This Row],[EAD_Interest (CNY)]]*Port[[#This Row],[CNY -&gt; FCY]]</f>
        <v>0</v>
      </c>
      <c r="Z579" s="507">
        <f>Port[[#This Row],[ECL_Drawn (CNY)]]*Port[[#This Row],[CNY -&gt; FCY]]</f>
        <v>158.24929123026612</v>
      </c>
      <c r="AA579" s="507">
        <f>Port[[#This Row],[ECL_Undrawn (CNY)]]*Port[[#This Row],[CNY -&gt; FCY]]</f>
        <v>0</v>
      </c>
      <c r="AB579" s="507">
        <f>Port[[#This Row],[ECL (CNY)]]*Port[[#This Row],[CNY -&gt; FCY]]</f>
        <v>158.24929123026612</v>
      </c>
      <c r="AC579" s="507">
        <f>Port[[#This Row],[ECL_Interest (CNY)]]*Port[[#This Row],[CNY -&gt; FCY]]</f>
        <v>0</v>
      </c>
      <c r="AD579" s="507">
        <f>Port[[#This Row],[EAD_Drawn (CNY)]]*Port[[#This Row],[CNY -&gt; THB]]</f>
        <v>87137.375832000005</v>
      </c>
      <c r="AE579" s="507">
        <f>Port[[#This Row],[EAD_Undrawn (CNY)]]*Port[[#This Row],[CNY -&gt; THB]]</f>
        <v>0</v>
      </c>
      <c r="AF579" s="507">
        <f>Port[[#This Row],[EAD (CNY)]]*Port[[#This Row],[CNY -&gt; THB]]</f>
        <v>87137.375832000005</v>
      </c>
      <c r="AG579" s="507">
        <f>Port[[#This Row],[EAD_Interest (CNY)]]*Port[[#This Row],[CNY -&gt; THB]]</f>
        <v>0</v>
      </c>
      <c r="AH579" s="507">
        <f>Port[[#This Row],[ECL_Drawn (CNY)]]*Port[[#This Row],[CNY -&gt; THB]]</f>
        <v>830.61887980942083</v>
      </c>
      <c r="AI579" s="507">
        <f>Port[[#This Row],[ECL_Undrawn (CNY)]]*Port[[#This Row],[CNY -&gt; THB]]</f>
        <v>0</v>
      </c>
      <c r="AJ579" s="507">
        <f>Port[[#This Row],[ECL (CNY)]]*Port[[#This Row],[CNY -&gt; THB]]</f>
        <v>830.61887980942083</v>
      </c>
      <c r="AK579" s="507">
        <f>Port[[#This Row],[ECL_Interest (CNY)]]*Port[[#This Row],[CNY -&gt; THB]]</f>
        <v>0</v>
      </c>
      <c r="AL579" s="507">
        <f>Port[[#This Row],[EAD (THB)]]*Port[[#This Row],[PD_avg]]</f>
        <v>1136.6111595842981</v>
      </c>
      <c r="AM579" s="507">
        <f>Port[[#This Row],[EAD_Interest (THB)]]*Port[[#This Row],[PD_avg]]</f>
        <v>0</v>
      </c>
      <c r="AN579" s="507">
        <f>Port[[#This Row],[EAD (THB)]]*Port[[#This Row],[LGD_avg]]</f>
        <v>63678.725035200005</v>
      </c>
      <c r="AO579" s="507">
        <f>Port[[#This Row],[EAD_Interest (THB)]]*Port[[#This Row],[LGD_avg]]</f>
        <v>0</v>
      </c>
      <c r="AP579" s="507">
        <f>Port[[#This Row],[EAD_Drawn (THB)]]+Port[[#This Row],[EAD_Interest (THB)]]</f>
        <v>87137.375832000005</v>
      </c>
      <c r="AQ57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830.61887980942083</v>
      </c>
      <c r="AR579" s="522">
        <f>MAX(Port[[#This Row],[ECL (THB)]]+Port[[#This Row],[ECL_Interest (THB)]], Port[[#This Row],[ECL CBIRC (THB)]])</f>
        <v>830.61887980942083</v>
      </c>
    </row>
    <row r="580" spans="1:44">
      <c r="A580" s="2" t="s">
        <v>406</v>
      </c>
      <c r="B580" s="2" t="s">
        <v>382</v>
      </c>
      <c r="C580" s="2" t="s">
        <v>379</v>
      </c>
      <c r="D580" s="2" t="s">
        <v>30</v>
      </c>
      <c r="E580" s="2" t="s">
        <v>19</v>
      </c>
      <c r="F580" s="2" t="s">
        <v>380</v>
      </c>
      <c r="G580" s="2" t="s">
        <v>21</v>
      </c>
      <c r="H580">
        <v>1</v>
      </c>
      <c r="I580" s="2" t="s">
        <v>526</v>
      </c>
      <c r="J580" s="505">
        <v>1.3043899345507868E-2</v>
      </c>
      <c r="K580" s="505">
        <v>1.3643718944871168</v>
      </c>
      <c r="L580" s="3">
        <v>1</v>
      </c>
      <c r="M580" s="3">
        <v>5.2488000000000001</v>
      </c>
      <c r="N580" s="507">
        <v>13480.06</v>
      </c>
      <c r="O580" s="507">
        <v>0</v>
      </c>
      <c r="P580" s="507">
        <v>13480.06</v>
      </c>
      <c r="Q580" s="507">
        <v>0</v>
      </c>
      <c r="R580" s="507">
        <v>239.90098364120183</v>
      </c>
      <c r="S580" s="507">
        <v>0</v>
      </c>
      <c r="T580" s="507">
        <v>239.90098364120183</v>
      </c>
      <c r="U580" s="507">
        <v>0</v>
      </c>
      <c r="V580" s="507">
        <f>Port[[#This Row],[EAD_Drawn (CNY)]]*Port[[#This Row],[CNY -&gt; FCY]]</f>
        <v>13480.06</v>
      </c>
      <c r="W580" s="507">
        <f>Port[[#This Row],[EAD_Undrawn (CNY)]]*Port[[#This Row],[CNY -&gt; FCY]]</f>
        <v>0</v>
      </c>
      <c r="X580" s="507">
        <f>Port[[#This Row],[EAD (CNY)]]*Port[[#This Row],[CNY -&gt; FCY]]</f>
        <v>13480.06</v>
      </c>
      <c r="Y580" s="507">
        <f>Port[[#This Row],[EAD_Interest (CNY)]]*Port[[#This Row],[CNY -&gt; FCY]]</f>
        <v>0</v>
      </c>
      <c r="Z580" s="507">
        <f>Port[[#This Row],[ECL_Drawn (CNY)]]*Port[[#This Row],[CNY -&gt; FCY]]</f>
        <v>239.90098364120183</v>
      </c>
      <c r="AA580" s="507">
        <f>Port[[#This Row],[ECL_Undrawn (CNY)]]*Port[[#This Row],[CNY -&gt; FCY]]</f>
        <v>0</v>
      </c>
      <c r="AB580" s="507">
        <f>Port[[#This Row],[ECL (CNY)]]*Port[[#This Row],[CNY -&gt; FCY]]</f>
        <v>239.90098364120183</v>
      </c>
      <c r="AC580" s="507">
        <f>Port[[#This Row],[ECL_Interest (CNY)]]*Port[[#This Row],[CNY -&gt; FCY]]</f>
        <v>0</v>
      </c>
      <c r="AD580" s="507">
        <f>Port[[#This Row],[EAD_Drawn (CNY)]]*Port[[#This Row],[CNY -&gt; THB]]</f>
        <v>70754.138928</v>
      </c>
      <c r="AE580" s="507">
        <f>Port[[#This Row],[EAD_Undrawn (CNY)]]*Port[[#This Row],[CNY -&gt; THB]]</f>
        <v>0</v>
      </c>
      <c r="AF580" s="507">
        <f>Port[[#This Row],[EAD (CNY)]]*Port[[#This Row],[CNY -&gt; THB]]</f>
        <v>70754.138928</v>
      </c>
      <c r="AG580" s="507">
        <f>Port[[#This Row],[EAD_Interest (CNY)]]*Port[[#This Row],[CNY -&gt; THB]]</f>
        <v>0</v>
      </c>
      <c r="AH580" s="507">
        <f>Port[[#This Row],[ECL_Drawn (CNY)]]*Port[[#This Row],[CNY -&gt; THB]]</f>
        <v>1259.1922829359403</v>
      </c>
      <c r="AI580" s="507">
        <f>Port[[#This Row],[ECL_Undrawn (CNY)]]*Port[[#This Row],[CNY -&gt; THB]]</f>
        <v>0</v>
      </c>
      <c r="AJ580" s="507">
        <f>Port[[#This Row],[ECL (CNY)]]*Port[[#This Row],[CNY -&gt; THB]]</f>
        <v>1259.1922829359403</v>
      </c>
      <c r="AK580" s="507">
        <f>Port[[#This Row],[ECL_Interest (CNY)]]*Port[[#This Row],[CNY -&gt; THB]]</f>
        <v>0</v>
      </c>
      <c r="AL580" s="507">
        <f>Port[[#This Row],[EAD (THB)]]*Port[[#This Row],[PD_avg]]</f>
        <v>922.90986645491193</v>
      </c>
      <c r="AM580" s="507">
        <f>Port[[#This Row],[EAD_Interest (THB)]]*Port[[#This Row],[PD_avg]]</f>
        <v>0</v>
      </c>
      <c r="AN580" s="507">
        <f>Port[[#This Row],[EAD (THB)]]*Port[[#This Row],[LGD_avg]]</f>
        <v>96534.958572000018</v>
      </c>
      <c r="AO580" s="507">
        <f>Port[[#This Row],[EAD_Interest (THB)]]*Port[[#This Row],[LGD_avg]]</f>
        <v>0</v>
      </c>
      <c r="AP580" s="507">
        <f>Port[[#This Row],[EAD_Drawn (THB)]]+Port[[#This Row],[EAD_Interest (THB)]]</f>
        <v>70754.138928</v>
      </c>
      <c r="AQ58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1259.1922829359403</v>
      </c>
      <c r="AR580" s="522">
        <f>MAX(Port[[#This Row],[ECL (THB)]]+Port[[#This Row],[ECL_Interest (THB)]], Port[[#This Row],[ECL CBIRC (THB)]])</f>
        <v>1259.1922829359403</v>
      </c>
    </row>
    <row r="581" spans="1:44">
      <c r="A581" s="2" t="s">
        <v>407</v>
      </c>
      <c r="B581" s="2" t="s">
        <v>382</v>
      </c>
      <c r="C581" s="2" t="s">
        <v>379</v>
      </c>
      <c r="D581" s="2" t="s">
        <v>30</v>
      </c>
      <c r="E581" s="2" t="s">
        <v>19</v>
      </c>
      <c r="F581" s="2" t="s">
        <v>380</v>
      </c>
      <c r="G581" s="2" t="s">
        <v>21</v>
      </c>
      <c r="H581">
        <v>1</v>
      </c>
      <c r="I581" s="2" t="s">
        <v>526</v>
      </c>
      <c r="J581" s="505">
        <v>1.3043899345507868E-2</v>
      </c>
      <c r="K581" s="505">
        <v>12.561112826548117</v>
      </c>
      <c r="L581" s="3">
        <v>1</v>
      </c>
      <c r="M581" s="3">
        <v>5.2488000000000001</v>
      </c>
      <c r="N581" s="507">
        <v>20435.349999999999</v>
      </c>
      <c r="O581" s="507">
        <v>0</v>
      </c>
      <c r="P581" s="507">
        <v>20435.349999999999</v>
      </c>
      <c r="Q581" s="507">
        <v>0</v>
      </c>
      <c r="R581" s="507">
        <v>3348.2481363522325</v>
      </c>
      <c r="S581" s="507">
        <v>0</v>
      </c>
      <c r="T581" s="507">
        <v>3348.2481363522325</v>
      </c>
      <c r="U581" s="507">
        <v>0</v>
      </c>
      <c r="V581" s="507">
        <f>Port[[#This Row],[EAD_Drawn (CNY)]]*Port[[#This Row],[CNY -&gt; FCY]]</f>
        <v>20435.349999999999</v>
      </c>
      <c r="W581" s="507">
        <f>Port[[#This Row],[EAD_Undrawn (CNY)]]*Port[[#This Row],[CNY -&gt; FCY]]</f>
        <v>0</v>
      </c>
      <c r="X581" s="507">
        <f>Port[[#This Row],[EAD (CNY)]]*Port[[#This Row],[CNY -&gt; FCY]]</f>
        <v>20435.349999999999</v>
      </c>
      <c r="Y581" s="507">
        <f>Port[[#This Row],[EAD_Interest (CNY)]]*Port[[#This Row],[CNY -&gt; FCY]]</f>
        <v>0</v>
      </c>
      <c r="Z581" s="507">
        <f>Port[[#This Row],[ECL_Drawn (CNY)]]*Port[[#This Row],[CNY -&gt; FCY]]</f>
        <v>3348.2481363522325</v>
      </c>
      <c r="AA581" s="507">
        <f>Port[[#This Row],[ECL_Undrawn (CNY)]]*Port[[#This Row],[CNY -&gt; FCY]]</f>
        <v>0</v>
      </c>
      <c r="AB581" s="507">
        <f>Port[[#This Row],[ECL (CNY)]]*Port[[#This Row],[CNY -&gt; FCY]]</f>
        <v>3348.2481363522325</v>
      </c>
      <c r="AC581" s="507">
        <f>Port[[#This Row],[ECL_Interest (CNY)]]*Port[[#This Row],[CNY -&gt; FCY]]</f>
        <v>0</v>
      </c>
      <c r="AD581" s="507">
        <f>Port[[#This Row],[EAD_Drawn (CNY)]]*Port[[#This Row],[CNY -&gt; THB]]</f>
        <v>107261.06508</v>
      </c>
      <c r="AE581" s="507">
        <f>Port[[#This Row],[EAD_Undrawn (CNY)]]*Port[[#This Row],[CNY -&gt; THB]]</f>
        <v>0</v>
      </c>
      <c r="AF581" s="507">
        <f>Port[[#This Row],[EAD (CNY)]]*Port[[#This Row],[CNY -&gt; THB]]</f>
        <v>107261.06508</v>
      </c>
      <c r="AG581" s="507">
        <f>Port[[#This Row],[EAD_Interest (CNY)]]*Port[[#This Row],[CNY -&gt; THB]]</f>
        <v>0</v>
      </c>
      <c r="AH581" s="507">
        <f>Port[[#This Row],[ECL_Drawn (CNY)]]*Port[[#This Row],[CNY -&gt; THB]]</f>
        <v>17574.284818085598</v>
      </c>
      <c r="AI581" s="507">
        <f>Port[[#This Row],[ECL_Undrawn (CNY)]]*Port[[#This Row],[CNY -&gt; THB]]</f>
        <v>0</v>
      </c>
      <c r="AJ581" s="507">
        <f>Port[[#This Row],[ECL (CNY)]]*Port[[#This Row],[CNY -&gt; THB]]</f>
        <v>17574.284818085598</v>
      </c>
      <c r="AK581" s="507">
        <f>Port[[#This Row],[ECL_Interest (CNY)]]*Port[[#This Row],[CNY -&gt; THB]]</f>
        <v>0</v>
      </c>
      <c r="AL581" s="507">
        <f>Port[[#This Row],[EAD (THB)]]*Port[[#This Row],[PD_avg]]</f>
        <v>1399.1025365954888</v>
      </c>
      <c r="AM581" s="507">
        <f>Port[[#This Row],[EAD_Interest (THB)]]*Port[[#This Row],[PD_avg]]</f>
        <v>0</v>
      </c>
      <c r="AN581" s="507">
        <f>Port[[#This Row],[EAD (THB)]]*Port[[#This Row],[LGD_avg]]</f>
        <v>1347318.3403656003</v>
      </c>
      <c r="AO581" s="507">
        <f>Port[[#This Row],[EAD_Interest (THB)]]*Port[[#This Row],[LGD_avg]]</f>
        <v>0</v>
      </c>
      <c r="AP581" s="507">
        <f>Port[[#This Row],[EAD_Drawn (THB)]]+Port[[#This Row],[EAD_Interest (THB)]]</f>
        <v>107261.06508</v>
      </c>
      <c r="AQ58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17574.284818085598</v>
      </c>
      <c r="AR581" s="522">
        <f>MAX(Port[[#This Row],[ECL (THB)]]+Port[[#This Row],[ECL_Interest (THB)]], Port[[#This Row],[ECL CBIRC (THB)]])</f>
        <v>17574.284818085598</v>
      </c>
    </row>
    <row r="582" spans="1:44">
      <c r="A582" s="2" t="s">
        <v>408</v>
      </c>
      <c r="B582" s="2" t="s">
        <v>382</v>
      </c>
      <c r="C582" s="2" t="s">
        <v>379</v>
      </c>
      <c r="D582" s="2" t="s">
        <v>30</v>
      </c>
      <c r="E582" s="2" t="s">
        <v>19</v>
      </c>
      <c r="F582" s="2" t="s">
        <v>380</v>
      </c>
      <c r="G582" s="2" t="s">
        <v>21</v>
      </c>
      <c r="H582">
        <v>1</v>
      </c>
      <c r="I582" s="2" t="s">
        <v>526</v>
      </c>
      <c r="J582" s="505">
        <v>1.3043899345507868E-2</v>
      </c>
      <c r="K582" s="505">
        <v>9.4910370684704523E-2</v>
      </c>
      <c r="L582" s="3">
        <v>1</v>
      </c>
      <c r="M582" s="3">
        <v>5.2488000000000001</v>
      </c>
      <c r="N582" s="507">
        <v>285211.93</v>
      </c>
      <c r="O582" s="507">
        <v>0</v>
      </c>
      <c r="P582" s="507">
        <v>285211.93</v>
      </c>
      <c r="Q582" s="507">
        <v>0</v>
      </c>
      <c r="R582" s="507">
        <v>353.0927464061794</v>
      </c>
      <c r="S582" s="507">
        <v>0</v>
      </c>
      <c r="T582" s="507">
        <v>353.0927464061794</v>
      </c>
      <c r="U582" s="507">
        <v>0</v>
      </c>
      <c r="V582" s="507">
        <f>Port[[#This Row],[EAD_Drawn (CNY)]]*Port[[#This Row],[CNY -&gt; FCY]]</f>
        <v>285211.93</v>
      </c>
      <c r="W582" s="507">
        <f>Port[[#This Row],[EAD_Undrawn (CNY)]]*Port[[#This Row],[CNY -&gt; FCY]]</f>
        <v>0</v>
      </c>
      <c r="X582" s="507">
        <f>Port[[#This Row],[EAD (CNY)]]*Port[[#This Row],[CNY -&gt; FCY]]</f>
        <v>285211.93</v>
      </c>
      <c r="Y582" s="507">
        <f>Port[[#This Row],[EAD_Interest (CNY)]]*Port[[#This Row],[CNY -&gt; FCY]]</f>
        <v>0</v>
      </c>
      <c r="Z582" s="507">
        <f>Port[[#This Row],[ECL_Drawn (CNY)]]*Port[[#This Row],[CNY -&gt; FCY]]</f>
        <v>353.0927464061794</v>
      </c>
      <c r="AA582" s="507">
        <f>Port[[#This Row],[ECL_Undrawn (CNY)]]*Port[[#This Row],[CNY -&gt; FCY]]</f>
        <v>0</v>
      </c>
      <c r="AB582" s="507">
        <f>Port[[#This Row],[ECL (CNY)]]*Port[[#This Row],[CNY -&gt; FCY]]</f>
        <v>353.0927464061794</v>
      </c>
      <c r="AC582" s="507">
        <f>Port[[#This Row],[ECL_Interest (CNY)]]*Port[[#This Row],[CNY -&gt; FCY]]</f>
        <v>0</v>
      </c>
      <c r="AD582" s="507">
        <f>Port[[#This Row],[EAD_Drawn (CNY)]]*Port[[#This Row],[CNY -&gt; THB]]</f>
        <v>1497020.378184</v>
      </c>
      <c r="AE582" s="507">
        <f>Port[[#This Row],[EAD_Undrawn (CNY)]]*Port[[#This Row],[CNY -&gt; THB]]</f>
        <v>0</v>
      </c>
      <c r="AF582" s="507">
        <f>Port[[#This Row],[EAD (CNY)]]*Port[[#This Row],[CNY -&gt; THB]]</f>
        <v>1497020.378184</v>
      </c>
      <c r="AG582" s="507">
        <f>Port[[#This Row],[EAD_Interest (CNY)]]*Port[[#This Row],[CNY -&gt; THB]]</f>
        <v>0</v>
      </c>
      <c r="AH582" s="507">
        <f>Port[[#This Row],[ECL_Drawn (CNY)]]*Port[[#This Row],[CNY -&gt; THB]]</f>
        <v>1853.3132073367544</v>
      </c>
      <c r="AI582" s="507">
        <f>Port[[#This Row],[ECL_Undrawn (CNY)]]*Port[[#This Row],[CNY -&gt; THB]]</f>
        <v>0</v>
      </c>
      <c r="AJ582" s="507">
        <f>Port[[#This Row],[ECL (CNY)]]*Port[[#This Row],[CNY -&gt; THB]]</f>
        <v>1853.3132073367544</v>
      </c>
      <c r="AK582" s="507">
        <f>Port[[#This Row],[ECL_Interest (CNY)]]*Port[[#This Row],[CNY -&gt; THB]]</f>
        <v>0</v>
      </c>
      <c r="AL582" s="507">
        <f>Port[[#This Row],[EAD (THB)]]*Port[[#This Row],[PD_avg]]</f>
        <v>19526.98313120622</v>
      </c>
      <c r="AM582" s="507">
        <f>Port[[#This Row],[EAD_Interest (THB)]]*Port[[#This Row],[PD_avg]]</f>
        <v>0</v>
      </c>
      <c r="AN582" s="507">
        <f>Port[[#This Row],[EAD (THB)]]*Port[[#This Row],[LGD_avg]]</f>
        <v>142082.759016</v>
      </c>
      <c r="AO582" s="507">
        <f>Port[[#This Row],[EAD_Interest (THB)]]*Port[[#This Row],[LGD_avg]]</f>
        <v>0</v>
      </c>
      <c r="AP582" s="507">
        <f>Port[[#This Row],[EAD_Drawn (THB)]]+Port[[#This Row],[EAD_Interest (THB)]]</f>
        <v>1497020.378184</v>
      </c>
      <c r="AQ58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1853.3132073367544</v>
      </c>
      <c r="AR582" s="522">
        <f>MAX(Port[[#This Row],[ECL (THB)]]+Port[[#This Row],[ECL_Interest (THB)]], Port[[#This Row],[ECL CBIRC (THB)]])</f>
        <v>1853.3132073367544</v>
      </c>
    </row>
    <row r="583" spans="1:44">
      <c r="A583" s="2" t="s">
        <v>409</v>
      </c>
      <c r="B583" s="2" t="s">
        <v>382</v>
      </c>
      <c r="C583" s="2" t="s">
        <v>379</v>
      </c>
      <c r="D583" s="2" t="s">
        <v>30</v>
      </c>
      <c r="E583" s="2" t="s">
        <v>19</v>
      </c>
      <c r="F583" s="2" t="s">
        <v>380</v>
      </c>
      <c r="G583" s="2" t="s">
        <v>21</v>
      </c>
      <c r="H583">
        <v>1</v>
      </c>
      <c r="I583" s="2" t="s">
        <v>526</v>
      </c>
      <c r="J583" s="505">
        <v>1.3043899345507868E-2</v>
      </c>
      <c r="K583" s="505">
        <v>2.9771285321488303</v>
      </c>
      <c r="L583" s="3">
        <v>1</v>
      </c>
      <c r="M583" s="3">
        <v>5.2488000000000001</v>
      </c>
      <c r="N583" s="507">
        <v>30077.3</v>
      </c>
      <c r="O583" s="507">
        <v>0</v>
      </c>
      <c r="P583" s="507">
        <v>30077.3</v>
      </c>
      <c r="Q583" s="507">
        <v>0</v>
      </c>
      <c r="R583" s="507">
        <v>1168.0027664673646</v>
      </c>
      <c r="S583" s="507">
        <v>0</v>
      </c>
      <c r="T583" s="507">
        <v>1168.0027664673646</v>
      </c>
      <c r="U583" s="507">
        <v>0</v>
      </c>
      <c r="V583" s="507">
        <f>Port[[#This Row],[EAD_Drawn (CNY)]]*Port[[#This Row],[CNY -&gt; FCY]]</f>
        <v>30077.3</v>
      </c>
      <c r="W583" s="507">
        <f>Port[[#This Row],[EAD_Undrawn (CNY)]]*Port[[#This Row],[CNY -&gt; FCY]]</f>
        <v>0</v>
      </c>
      <c r="X583" s="507">
        <f>Port[[#This Row],[EAD (CNY)]]*Port[[#This Row],[CNY -&gt; FCY]]</f>
        <v>30077.3</v>
      </c>
      <c r="Y583" s="507">
        <f>Port[[#This Row],[EAD_Interest (CNY)]]*Port[[#This Row],[CNY -&gt; FCY]]</f>
        <v>0</v>
      </c>
      <c r="Z583" s="507">
        <f>Port[[#This Row],[ECL_Drawn (CNY)]]*Port[[#This Row],[CNY -&gt; FCY]]</f>
        <v>1168.0027664673646</v>
      </c>
      <c r="AA583" s="507">
        <f>Port[[#This Row],[ECL_Undrawn (CNY)]]*Port[[#This Row],[CNY -&gt; FCY]]</f>
        <v>0</v>
      </c>
      <c r="AB583" s="507">
        <f>Port[[#This Row],[ECL (CNY)]]*Port[[#This Row],[CNY -&gt; FCY]]</f>
        <v>1168.0027664673646</v>
      </c>
      <c r="AC583" s="507">
        <f>Port[[#This Row],[ECL_Interest (CNY)]]*Port[[#This Row],[CNY -&gt; FCY]]</f>
        <v>0</v>
      </c>
      <c r="AD583" s="507">
        <f>Port[[#This Row],[EAD_Drawn (CNY)]]*Port[[#This Row],[CNY -&gt; THB]]</f>
        <v>157869.73224000001</v>
      </c>
      <c r="AE583" s="507">
        <f>Port[[#This Row],[EAD_Undrawn (CNY)]]*Port[[#This Row],[CNY -&gt; THB]]</f>
        <v>0</v>
      </c>
      <c r="AF583" s="507">
        <f>Port[[#This Row],[EAD (CNY)]]*Port[[#This Row],[CNY -&gt; THB]]</f>
        <v>157869.73224000001</v>
      </c>
      <c r="AG583" s="507">
        <f>Port[[#This Row],[EAD_Interest (CNY)]]*Port[[#This Row],[CNY -&gt; THB]]</f>
        <v>0</v>
      </c>
      <c r="AH583" s="507">
        <f>Port[[#This Row],[ECL_Drawn (CNY)]]*Port[[#This Row],[CNY -&gt; THB]]</f>
        <v>6130.6129206339037</v>
      </c>
      <c r="AI583" s="507">
        <f>Port[[#This Row],[ECL_Undrawn (CNY)]]*Port[[#This Row],[CNY -&gt; THB]]</f>
        <v>0</v>
      </c>
      <c r="AJ583" s="507">
        <f>Port[[#This Row],[ECL (CNY)]]*Port[[#This Row],[CNY -&gt; THB]]</f>
        <v>6130.6129206339037</v>
      </c>
      <c r="AK583" s="507">
        <f>Port[[#This Row],[ECL_Interest (CNY)]]*Port[[#This Row],[CNY -&gt; THB]]</f>
        <v>0</v>
      </c>
      <c r="AL583" s="507">
        <f>Port[[#This Row],[EAD (THB)]]*Port[[#This Row],[PD_avg]]</f>
        <v>2059.2368970408384</v>
      </c>
      <c r="AM583" s="507">
        <f>Port[[#This Row],[EAD_Interest (THB)]]*Port[[#This Row],[PD_avg]]</f>
        <v>0</v>
      </c>
      <c r="AN583" s="507">
        <f>Port[[#This Row],[EAD (THB)]]*Port[[#This Row],[LGD_avg]]</f>
        <v>469998.48421440012</v>
      </c>
      <c r="AO583" s="507">
        <f>Port[[#This Row],[EAD_Interest (THB)]]*Port[[#This Row],[LGD_avg]]</f>
        <v>0</v>
      </c>
      <c r="AP583" s="507">
        <f>Port[[#This Row],[EAD_Drawn (THB)]]+Port[[#This Row],[EAD_Interest (THB)]]</f>
        <v>157869.73224000001</v>
      </c>
      <c r="AQ58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6130.6129206339037</v>
      </c>
      <c r="AR583" s="522">
        <f>MAX(Port[[#This Row],[ECL (THB)]]+Port[[#This Row],[ECL_Interest (THB)]], Port[[#This Row],[ECL CBIRC (THB)]])</f>
        <v>6130.6129206339037</v>
      </c>
    </row>
    <row r="584" spans="1:44">
      <c r="A584" s="2" t="s">
        <v>410</v>
      </c>
      <c r="B584" s="2" t="s">
        <v>382</v>
      </c>
      <c r="C584" s="2" t="s">
        <v>379</v>
      </c>
      <c r="D584" s="2" t="s">
        <v>30</v>
      </c>
      <c r="E584" s="2" t="s">
        <v>19</v>
      </c>
      <c r="F584" s="2" t="s">
        <v>380</v>
      </c>
      <c r="G584" s="2" t="s">
        <v>21</v>
      </c>
      <c r="H584">
        <v>1</v>
      </c>
      <c r="I584" s="2" t="s">
        <v>526</v>
      </c>
      <c r="J584" s="505">
        <v>1.3043899345507868E-2</v>
      </c>
      <c r="K584" s="505">
        <v>0.10575492907463536</v>
      </c>
      <c r="L584" s="3">
        <v>1</v>
      </c>
      <c r="M584" s="3">
        <v>5.2488000000000001</v>
      </c>
      <c r="N584" s="507">
        <v>99493.32</v>
      </c>
      <c r="O584" s="507">
        <v>0</v>
      </c>
      <c r="P584" s="507">
        <v>99493.32</v>
      </c>
      <c r="Q584" s="507">
        <v>0</v>
      </c>
      <c r="R584" s="507">
        <v>137.24672191859338</v>
      </c>
      <c r="S584" s="507">
        <v>0</v>
      </c>
      <c r="T584" s="507">
        <v>137.24672191859338</v>
      </c>
      <c r="U584" s="507">
        <v>0</v>
      </c>
      <c r="V584" s="507">
        <f>Port[[#This Row],[EAD_Drawn (CNY)]]*Port[[#This Row],[CNY -&gt; FCY]]</f>
        <v>99493.32</v>
      </c>
      <c r="W584" s="507">
        <f>Port[[#This Row],[EAD_Undrawn (CNY)]]*Port[[#This Row],[CNY -&gt; FCY]]</f>
        <v>0</v>
      </c>
      <c r="X584" s="507">
        <f>Port[[#This Row],[EAD (CNY)]]*Port[[#This Row],[CNY -&gt; FCY]]</f>
        <v>99493.32</v>
      </c>
      <c r="Y584" s="507">
        <f>Port[[#This Row],[EAD_Interest (CNY)]]*Port[[#This Row],[CNY -&gt; FCY]]</f>
        <v>0</v>
      </c>
      <c r="Z584" s="507">
        <f>Port[[#This Row],[ECL_Drawn (CNY)]]*Port[[#This Row],[CNY -&gt; FCY]]</f>
        <v>137.24672191859338</v>
      </c>
      <c r="AA584" s="507">
        <f>Port[[#This Row],[ECL_Undrawn (CNY)]]*Port[[#This Row],[CNY -&gt; FCY]]</f>
        <v>0</v>
      </c>
      <c r="AB584" s="507">
        <f>Port[[#This Row],[ECL (CNY)]]*Port[[#This Row],[CNY -&gt; FCY]]</f>
        <v>137.24672191859338</v>
      </c>
      <c r="AC584" s="507">
        <f>Port[[#This Row],[ECL_Interest (CNY)]]*Port[[#This Row],[CNY -&gt; FCY]]</f>
        <v>0</v>
      </c>
      <c r="AD584" s="507">
        <f>Port[[#This Row],[EAD_Drawn (CNY)]]*Port[[#This Row],[CNY -&gt; THB]]</f>
        <v>522220.53801600006</v>
      </c>
      <c r="AE584" s="507">
        <f>Port[[#This Row],[EAD_Undrawn (CNY)]]*Port[[#This Row],[CNY -&gt; THB]]</f>
        <v>0</v>
      </c>
      <c r="AF584" s="507">
        <f>Port[[#This Row],[EAD (CNY)]]*Port[[#This Row],[CNY -&gt; THB]]</f>
        <v>522220.53801600006</v>
      </c>
      <c r="AG584" s="507">
        <f>Port[[#This Row],[EAD_Interest (CNY)]]*Port[[#This Row],[CNY -&gt; THB]]</f>
        <v>0</v>
      </c>
      <c r="AH584" s="507">
        <f>Port[[#This Row],[ECL_Drawn (CNY)]]*Port[[#This Row],[CNY -&gt; THB]]</f>
        <v>720.380594006313</v>
      </c>
      <c r="AI584" s="507">
        <f>Port[[#This Row],[ECL_Undrawn (CNY)]]*Port[[#This Row],[CNY -&gt; THB]]</f>
        <v>0</v>
      </c>
      <c r="AJ584" s="507">
        <f>Port[[#This Row],[ECL (CNY)]]*Port[[#This Row],[CNY -&gt; THB]]</f>
        <v>720.380594006313</v>
      </c>
      <c r="AK584" s="507">
        <f>Port[[#This Row],[ECL_Interest (CNY)]]*Port[[#This Row],[CNY -&gt; THB]]</f>
        <v>0</v>
      </c>
      <c r="AL584" s="507">
        <f>Port[[#This Row],[EAD (THB)]]*Port[[#This Row],[PD_avg]]</f>
        <v>6811.7921340376697</v>
      </c>
      <c r="AM584" s="507">
        <f>Port[[#This Row],[EAD_Interest (THB)]]*Port[[#This Row],[PD_avg]]</f>
        <v>0</v>
      </c>
      <c r="AN584" s="507">
        <f>Port[[#This Row],[EAD (THB)]]*Port[[#This Row],[LGD_avg]]</f>
        <v>55227.39595920001</v>
      </c>
      <c r="AO584" s="507">
        <f>Port[[#This Row],[EAD_Interest (THB)]]*Port[[#This Row],[LGD_avg]]</f>
        <v>0</v>
      </c>
      <c r="AP584" s="507">
        <f>Port[[#This Row],[EAD_Drawn (THB)]]+Port[[#This Row],[EAD_Interest (THB)]]</f>
        <v>522220.53801600006</v>
      </c>
      <c r="AQ58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720.380594006313</v>
      </c>
      <c r="AR584" s="522">
        <f>MAX(Port[[#This Row],[ECL (THB)]]+Port[[#This Row],[ECL_Interest (THB)]], Port[[#This Row],[ECL CBIRC (THB)]])</f>
        <v>720.380594006313</v>
      </c>
    </row>
    <row r="585" spans="1:44">
      <c r="A585" s="2" t="s">
        <v>411</v>
      </c>
      <c r="B585" s="2" t="s">
        <v>382</v>
      </c>
      <c r="C585" s="2" t="s">
        <v>379</v>
      </c>
      <c r="D585" s="2" t="s">
        <v>30</v>
      </c>
      <c r="E585" s="2" t="s">
        <v>19</v>
      </c>
      <c r="F585" s="2" t="s">
        <v>380</v>
      </c>
      <c r="G585" s="2" t="s">
        <v>21</v>
      </c>
      <c r="H585">
        <v>1</v>
      </c>
      <c r="I585" s="2" t="s">
        <v>526</v>
      </c>
      <c r="J585" s="505">
        <v>1.3043899345507868E-2</v>
      </c>
      <c r="K585" s="505">
        <v>7.6641689640159418</v>
      </c>
      <c r="L585" s="3">
        <v>1</v>
      </c>
      <c r="M585" s="3">
        <v>5.2488000000000001</v>
      </c>
      <c r="N585" s="507">
        <v>11691.01</v>
      </c>
      <c r="O585" s="507">
        <v>0</v>
      </c>
      <c r="P585" s="507">
        <v>11691.01</v>
      </c>
      <c r="Q585" s="507">
        <v>0</v>
      </c>
      <c r="R585" s="507">
        <v>1168.7578517126774</v>
      </c>
      <c r="S585" s="507">
        <v>0</v>
      </c>
      <c r="T585" s="507">
        <v>1168.7578517126774</v>
      </c>
      <c r="U585" s="507">
        <v>0</v>
      </c>
      <c r="V585" s="507">
        <f>Port[[#This Row],[EAD_Drawn (CNY)]]*Port[[#This Row],[CNY -&gt; FCY]]</f>
        <v>11691.01</v>
      </c>
      <c r="W585" s="507">
        <f>Port[[#This Row],[EAD_Undrawn (CNY)]]*Port[[#This Row],[CNY -&gt; FCY]]</f>
        <v>0</v>
      </c>
      <c r="X585" s="507">
        <f>Port[[#This Row],[EAD (CNY)]]*Port[[#This Row],[CNY -&gt; FCY]]</f>
        <v>11691.01</v>
      </c>
      <c r="Y585" s="507">
        <f>Port[[#This Row],[EAD_Interest (CNY)]]*Port[[#This Row],[CNY -&gt; FCY]]</f>
        <v>0</v>
      </c>
      <c r="Z585" s="507">
        <f>Port[[#This Row],[ECL_Drawn (CNY)]]*Port[[#This Row],[CNY -&gt; FCY]]</f>
        <v>1168.7578517126774</v>
      </c>
      <c r="AA585" s="507">
        <f>Port[[#This Row],[ECL_Undrawn (CNY)]]*Port[[#This Row],[CNY -&gt; FCY]]</f>
        <v>0</v>
      </c>
      <c r="AB585" s="507">
        <f>Port[[#This Row],[ECL (CNY)]]*Port[[#This Row],[CNY -&gt; FCY]]</f>
        <v>1168.7578517126774</v>
      </c>
      <c r="AC585" s="507">
        <f>Port[[#This Row],[ECL_Interest (CNY)]]*Port[[#This Row],[CNY -&gt; FCY]]</f>
        <v>0</v>
      </c>
      <c r="AD585" s="507">
        <f>Port[[#This Row],[EAD_Drawn (CNY)]]*Port[[#This Row],[CNY -&gt; THB]]</f>
        <v>61363.773288000004</v>
      </c>
      <c r="AE585" s="507">
        <f>Port[[#This Row],[EAD_Undrawn (CNY)]]*Port[[#This Row],[CNY -&gt; THB]]</f>
        <v>0</v>
      </c>
      <c r="AF585" s="507">
        <f>Port[[#This Row],[EAD (CNY)]]*Port[[#This Row],[CNY -&gt; THB]]</f>
        <v>61363.773288000004</v>
      </c>
      <c r="AG585" s="507">
        <f>Port[[#This Row],[EAD_Interest (CNY)]]*Port[[#This Row],[CNY -&gt; THB]]</f>
        <v>0</v>
      </c>
      <c r="AH585" s="507">
        <f>Port[[#This Row],[ECL_Drawn (CNY)]]*Port[[#This Row],[CNY -&gt; THB]]</f>
        <v>6134.5762120695017</v>
      </c>
      <c r="AI585" s="507">
        <f>Port[[#This Row],[ECL_Undrawn (CNY)]]*Port[[#This Row],[CNY -&gt; THB]]</f>
        <v>0</v>
      </c>
      <c r="AJ585" s="507">
        <f>Port[[#This Row],[ECL (CNY)]]*Port[[#This Row],[CNY -&gt; THB]]</f>
        <v>6134.5762120695017</v>
      </c>
      <c r="AK585" s="507">
        <f>Port[[#This Row],[ECL_Interest (CNY)]]*Port[[#This Row],[CNY -&gt; THB]]</f>
        <v>0</v>
      </c>
      <c r="AL585" s="507">
        <f>Port[[#This Row],[EAD (THB)]]*Port[[#This Row],[PD_avg]]</f>
        <v>800.42288222923651</v>
      </c>
      <c r="AM585" s="507">
        <f>Port[[#This Row],[EAD_Interest (THB)]]*Port[[#This Row],[PD_avg]]</f>
        <v>0</v>
      </c>
      <c r="AN585" s="507">
        <f>Port[[#This Row],[EAD (THB)]]*Port[[#This Row],[LGD_avg]]</f>
        <v>470302.32674880011</v>
      </c>
      <c r="AO585" s="507">
        <f>Port[[#This Row],[EAD_Interest (THB)]]*Port[[#This Row],[LGD_avg]]</f>
        <v>0</v>
      </c>
      <c r="AP585" s="507">
        <f>Port[[#This Row],[EAD_Drawn (THB)]]+Port[[#This Row],[EAD_Interest (THB)]]</f>
        <v>61363.773288000004</v>
      </c>
      <c r="AQ58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6134.5762120695017</v>
      </c>
      <c r="AR585" s="522">
        <f>MAX(Port[[#This Row],[ECL (THB)]]+Port[[#This Row],[ECL_Interest (THB)]], Port[[#This Row],[ECL CBIRC (THB)]])</f>
        <v>6134.5762120695017</v>
      </c>
    </row>
    <row r="586" spans="1:44">
      <c r="A586" s="2" t="s">
        <v>412</v>
      </c>
      <c r="B586" s="2" t="s">
        <v>382</v>
      </c>
      <c r="C586" s="2" t="s">
        <v>379</v>
      </c>
      <c r="D586" s="2" t="s">
        <v>30</v>
      </c>
      <c r="E586" s="2" t="s">
        <v>19</v>
      </c>
      <c r="F586" s="2" t="s">
        <v>380</v>
      </c>
      <c r="G586" s="2" t="s">
        <v>21</v>
      </c>
      <c r="H586">
        <v>1</v>
      </c>
      <c r="I586" s="2" t="s">
        <v>526</v>
      </c>
      <c r="J586" s="505">
        <v>1.3043899345507868E-2</v>
      </c>
      <c r="K586" s="505">
        <v>64.747044556299244</v>
      </c>
      <c r="L586" s="3">
        <v>1</v>
      </c>
      <c r="M586" s="3">
        <v>5.2488000000000001</v>
      </c>
      <c r="N586" s="507">
        <v>99557.64</v>
      </c>
      <c r="O586" s="507">
        <v>0</v>
      </c>
      <c r="P586" s="507">
        <v>99557.64</v>
      </c>
      <c r="Q586" s="507">
        <v>0</v>
      </c>
      <c r="R586" s="507">
        <v>84081.796333739214</v>
      </c>
      <c r="S586" s="507">
        <v>0</v>
      </c>
      <c r="T586" s="507">
        <v>84081.796333739214</v>
      </c>
      <c r="U586" s="507">
        <v>0</v>
      </c>
      <c r="V586" s="507">
        <f>Port[[#This Row],[EAD_Drawn (CNY)]]*Port[[#This Row],[CNY -&gt; FCY]]</f>
        <v>99557.64</v>
      </c>
      <c r="W586" s="507">
        <f>Port[[#This Row],[EAD_Undrawn (CNY)]]*Port[[#This Row],[CNY -&gt; FCY]]</f>
        <v>0</v>
      </c>
      <c r="X586" s="507">
        <f>Port[[#This Row],[EAD (CNY)]]*Port[[#This Row],[CNY -&gt; FCY]]</f>
        <v>99557.64</v>
      </c>
      <c r="Y586" s="507">
        <f>Port[[#This Row],[EAD_Interest (CNY)]]*Port[[#This Row],[CNY -&gt; FCY]]</f>
        <v>0</v>
      </c>
      <c r="Z586" s="507">
        <f>Port[[#This Row],[ECL_Drawn (CNY)]]*Port[[#This Row],[CNY -&gt; FCY]]</f>
        <v>84081.796333739214</v>
      </c>
      <c r="AA586" s="507">
        <f>Port[[#This Row],[ECL_Undrawn (CNY)]]*Port[[#This Row],[CNY -&gt; FCY]]</f>
        <v>0</v>
      </c>
      <c r="AB586" s="507">
        <f>Port[[#This Row],[ECL (CNY)]]*Port[[#This Row],[CNY -&gt; FCY]]</f>
        <v>84081.796333739214</v>
      </c>
      <c r="AC586" s="507">
        <f>Port[[#This Row],[ECL_Interest (CNY)]]*Port[[#This Row],[CNY -&gt; FCY]]</f>
        <v>0</v>
      </c>
      <c r="AD586" s="507">
        <f>Port[[#This Row],[EAD_Drawn (CNY)]]*Port[[#This Row],[CNY -&gt; THB]]</f>
        <v>522558.140832</v>
      </c>
      <c r="AE586" s="507">
        <f>Port[[#This Row],[EAD_Undrawn (CNY)]]*Port[[#This Row],[CNY -&gt; THB]]</f>
        <v>0</v>
      </c>
      <c r="AF586" s="507">
        <f>Port[[#This Row],[EAD (CNY)]]*Port[[#This Row],[CNY -&gt; THB]]</f>
        <v>522558.140832</v>
      </c>
      <c r="AG586" s="507">
        <f>Port[[#This Row],[EAD_Interest (CNY)]]*Port[[#This Row],[CNY -&gt; THB]]</f>
        <v>0</v>
      </c>
      <c r="AH586" s="507">
        <f>Port[[#This Row],[ECL_Drawn (CNY)]]*Port[[#This Row],[CNY -&gt; THB]]</f>
        <v>441328.53259653039</v>
      </c>
      <c r="AI586" s="507">
        <f>Port[[#This Row],[ECL_Undrawn (CNY)]]*Port[[#This Row],[CNY -&gt; THB]]</f>
        <v>0</v>
      </c>
      <c r="AJ586" s="507">
        <f>Port[[#This Row],[ECL (CNY)]]*Port[[#This Row],[CNY -&gt; THB]]</f>
        <v>441328.53259653039</v>
      </c>
      <c r="AK586" s="507">
        <f>Port[[#This Row],[ECL_Interest (CNY)]]*Port[[#This Row],[CNY -&gt; THB]]</f>
        <v>0</v>
      </c>
      <c r="AL586" s="507">
        <f>Port[[#This Row],[EAD (THB)]]*Port[[#This Row],[PD_avg]]</f>
        <v>6816.1957911883337</v>
      </c>
      <c r="AM586" s="507">
        <f>Port[[#This Row],[EAD_Interest (THB)]]*Port[[#This Row],[PD_avg]]</f>
        <v>0</v>
      </c>
      <c r="AN586" s="507">
        <f>Port[[#This Row],[EAD (THB)]]*Port[[#This Row],[LGD_avg]]</f>
        <v>33834095.227706403</v>
      </c>
      <c r="AO586" s="507">
        <f>Port[[#This Row],[EAD_Interest (THB)]]*Port[[#This Row],[LGD_avg]]</f>
        <v>0</v>
      </c>
      <c r="AP586" s="507">
        <f>Port[[#This Row],[EAD_Drawn (THB)]]+Port[[#This Row],[EAD_Interest (THB)]]</f>
        <v>522558.140832</v>
      </c>
      <c r="AQ58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441328.53259653039</v>
      </c>
      <c r="AR586" s="522">
        <f>MAX(Port[[#This Row],[ECL (THB)]]+Port[[#This Row],[ECL_Interest (THB)]], Port[[#This Row],[ECL CBIRC (THB)]])</f>
        <v>441328.53259653039</v>
      </c>
    </row>
    <row r="587" spans="1:44">
      <c r="A587" s="2" t="s">
        <v>413</v>
      </c>
      <c r="B587" s="2" t="s">
        <v>382</v>
      </c>
      <c r="C587" s="2" t="s">
        <v>379</v>
      </c>
      <c r="D587" s="2" t="s">
        <v>30</v>
      </c>
      <c r="E587" s="2" t="s">
        <v>19</v>
      </c>
      <c r="F587" s="2" t="s">
        <v>380</v>
      </c>
      <c r="G587" s="2" t="s">
        <v>21</v>
      </c>
      <c r="H587">
        <v>1</v>
      </c>
      <c r="I587" s="2" t="s">
        <v>526</v>
      </c>
      <c r="J587" s="505">
        <v>1.3043899345507868E-2</v>
      </c>
      <c r="K587" s="505">
        <v>0.30128510870284703</v>
      </c>
      <c r="L587" s="3">
        <v>1</v>
      </c>
      <c r="M587" s="3">
        <v>5.2488000000000001</v>
      </c>
      <c r="N587" s="507">
        <v>7162292.1699999999</v>
      </c>
      <c r="O587" s="507">
        <v>0</v>
      </c>
      <c r="P587" s="507">
        <v>7162292.1699999999</v>
      </c>
      <c r="Q587" s="507">
        <v>0</v>
      </c>
      <c r="R587" s="507">
        <v>28147.325720379184</v>
      </c>
      <c r="S587" s="507">
        <v>0</v>
      </c>
      <c r="T587" s="507">
        <v>28147.325720379184</v>
      </c>
      <c r="U587" s="507">
        <v>0</v>
      </c>
      <c r="V587" s="507">
        <f>Port[[#This Row],[EAD_Drawn (CNY)]]*Port[[#This Row],[CNY -&gt; FCY]]</f>
        <v>7162292.1699999999</v>
      </c>
      <c r="W587" s="507">
        <f>Port[[#This Row],[EAD_Undrawn (CNY)]]*Port[[#This Row],[CNY -&gt; FCY]]</f>
        <v>0</v>
      </c>
      <c r="X587" s="507">
        <f>Port[[#This Row],[EAD (CNY)]]*Port[[#This Row],[CNY -&gt; FCY]]</f>
        <v>7162292.1699999999</v>
      </c>
      <c r="Y587" s="507">
        <f>Port[[#This Row],[EAD_Interest (CNY)]]*Port[[#This Row],[CNY -&gt; FCY]]</f>
        <v>0</v>
      </c>
      <c r="Z587" s="507">
        <f>Port[[#This Row],[ECL_Drawn (CNY)]]*Port[[#This Row],[CNY -&gt; FCY]]</f>
        <v>28147.325720379184</v>
      </c>
      <c r="AA587" s="507">
        <f>Port[[#This Row],[ECL_Undrawn (CNY)]]*Port[[#This Row],[CNY -&gt; FCY]]</f>
        <v>0</v>
      </c>
      <c r="AB587" s="507">
        <f>Port[[#This Row],[ECL (CNY)]]*Port[[#This Row],[CNY -&gt; FCY]]</f>
        <v>28147.325720379184</v>
      </c>
      <c r="AC587" s="507">
        <f>Port[[#This Row],[ECL_Interest (CNY)]]*Port[[#This Row],[CNY -&gt; FCY]]</f>
        <v>0</v>
      </c>
      <c r="AD587" s="507">
        <f>Port[[#This Row],[EAD_Drawn (CNY)]]*Port[[#This Row],[CNY -&gt; THB]]</f>
        <v>37593439.141896002</v>
      </c>
      <c r="AE587" s="507">
        <f>Port[[#This Row],[EAD_Undrawn (CNY)]]*Port[[#This Row],[CNY -&gt; THB]]</f>
        <v>0</v>
      </c>
      <c r="AF587" s="507">
        <f>Port[[#This Row],[EAD (CNY)]]*Port[[#This Row],[CNY -&gt; THB]]</f>
        <v>37593439.141896002</v>
      </c>
      <c r="AG587" s="507">
        <f>Port[[#This Row],[EAD_Interest (CNY)]]*Port[[#This Row],[CNY -&gt; THB]]</f>
        <v>0</v>
      </c>
      <c r="AH587" s="507">
        <f>Port[[#This Row],[ECL_Drawn (CNY)]]*Port[[#This Row],[CNY -&gt; THB]]</f>
        <v>147739.68324112627</v>
      </c>
      <c r="AI587" s="507">
        <f>Port[[#This Row],[ECL_Undrawn (CNY)]]*Port[[#This Row],[CNY -&gt; THB]]</f>
        <v>0</v>
      </c>
      <c r="AJ587" s="507">
        <f>Port[[#This Row],[ECL (CNY)]]*Port[[#This Row],[CNY -&gt; THB]]</f>
        <v>147739.68324112627</v>
      </c>
      <c r="AK587" s="507">
        <f>Port[[#This Row],[ECL_Interest (CNY)]]*Port[[#This Row],[CNY -&gt; THB]]</f>
        <v>0</v>
      </c>
      <c r="AL587" s="507">
        <f>Port[[#This Row],[EAD (THB)]]*Port[[#This Row],[PD_avg]]</f>
        <v>490365.03621836711</v>
      </c>
      <c r="AM587" s="507">
        <f>Port[[#This Row],[EAD_Interest (THB)]]*Port[[#This Row],[PD_avg]]</f>
        <v>0</v>
      </c>
      <c r="AN587" s="507">
        <f>Port[[#This Row],[EAD (THB)]]*Port[[#This Row],[LGD_avg]]</f>
        <v>11326343.398380002</v>
      </c>
      <c r="AO587" s="507">
        <f>Port[[#This Row],[EAD_Interest (THB)]]*Port[[#This Row],[LGD_avg]]</f>
        <v>0</v>
      </c>
      <c r="AP587" s="507">
        <f>Port[[#This Row],[EAD_Drawn (THB)]]+Port[[#This Row],[EAD_Interest (THB)]]</f>
        <v>37593439.141896002</v>
      </c>
      <c r="AQ58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147739.68324112627</v>
      </c>
      <c r="AR587" s="522">
        <f>MAX(Port[[#This Row],[ECL (THB)]]+Port[[#This Row],[ECL_Interest (THB)]], Port[[#This Row],[ECL CBIRC (THB)]])</f>
        <v>147739.68324112627</v>
      </c>
    </row>
    <row r="588" spans="1:44">
      <c r="A588" s="2" t="s">
        <v>414</v>
      </c>
      <c r="B588" s="2" t="s">
        <v>382</v>
      </c>
      <c r="C588" s="2" t="s">
        <v>379</v>
      </c>
      <c r="D588" s="2" t="s">
        <v>30</v>
      </c>
      <c r="E588" s="2" t="s">
        <v>19</v>
      </c>
      <c r="F588" s="2" t="s">
        <v>380</v>
      </c>
      <c r="G588" s="2" t="s">
        <v>21</v>
      </c>
      <c r="H588">
        <v>1</v>
      </c>
      <c r="I588" s="2" t="s">
        <v>526</v>
      </c>
      <c r="J588" s="505">
        <v>1.3043899345507868E-2</v>
      </c>
      <c r="K588" s="505">
        <v>3.4927424558404971</v>
      </c>
      <c r="L588" s="3">
        <v>1</v>
      </c>
      <c r="M588" s="3">
        <v>5.2488000000000001</v>
      </c>
      <c r="N588" s="507">
        <v>2397657.75</v>
      </c>
      <c r="O588" s="507">
        <v>0</v>
      </c>
      <c r="P588" s="507">
        <v>2397657.75</v>
      </c>
      <c r="Q588" s="507">
        <v>0</v>
      </c>
      <c r="R588" s="507">
        <v>109234.84395771063</v>
      </c>
      <c r="S588" s="507">
        <v>0</v>
      </c>
      <c r="T588" s="507">
        <v>109234.84395771063</v>
      </c>
      <c r="U588" s="507">
        <v>0</v>
      </c>
      <c r="V588" s="507">
        <f>Port[[#This Row],[EAD_Drawn (CNY)]]*Port[[#This Row],[CNY -&gt; FCY]]</f>
        <v>2397657.75</v>
      </c>
      <c r="W588" s="507">
        <f>Port[[#This Row],[EAD_Undrawn (CNY)]]*Port[[#This Row],[CNY -&gt; FCY]]</f>
        <v>0</v>
      </c>
      <c r="X588" s="507">
        <f>Port[[#This Row],[EAD (CNY)]]*Port[[#This Row],[CNY -&gt; FCY]]</f>
        <v>2397657.75</v>
      </c>
      <c r="Y588" s="507">
        <f>Port[[#This Row],[EAD_Interest (CNY)]]*Port[[#This Row],[CNY -&gt; FCY]]</f>
        <v>0</v>
      </c>
      <c r="Z588" s="507">
        <f>Port[[#This Row],[ECL_Drawn (CNY)]]*Port[[#This Row],[CNY -&gt; FCY]]</f>
        <v>109234.84395771063</v>
      </c>
      <c r="AA588" s="507">
        <f>Port[[#This Row],[ECL_Undrawn (CNY)]]*Port[[#This Row],[CNY -&gt; FCY]]</f>
        <v>0</v>
      </c>
      <c r="AB588" s="507">
        <f>Port[[#This Row],[ECL (CNY)]]*Port[[#This Row],[CNY -&gt; FCY]]</f>
        <v>109234.84395771063</v>
      </c>
      <c r="AC588" s="507">
        <f>Port[[#This Row],[ECL_Interest (CNY)]]*Port[[#This Row],[CNY -&gt; FCY]]</f>
        <v>0</v>
      </c>
      <c r="AD588" s="507">
        <f>Port[[#This Row],[EAD_Drawn (CNY)]]*Port[[#This Row],[CNY -&gt; THB]]</f>
        <v>12584825.998200001</v>
      </c>
      <c r="AE588" s="507">
        <f>Port[[#This Row],[EAD_Undrawn (CNY)]]*Port[[#This Row],[CNY -&gt; THB]]</f>
        <v>0</v>
      </c>
      <c r="AF588" s="507">
        <f>Port[[#This Row],[EAD (CNY)]]*Port[[#This Row],[CNY -&gt; THB]]</f>
        <v>12584825.998200001</v>
      </c>
      <c r="AG588" s="507">
        <f>Port[[#This Row],[EAD_Interest (CNY)]]*Port[[#This Row],[CNY -&gt; THB]]</f>
        <v>0</v>
      </c>
      <c r="AH588" s="507">
        <f>Port[[#This Row],[ECL_Drawn (CNY)]]*Port[[#This Row],[CNY -&gt; THB]]</f>
        <v>573351.84896523156</v>
      </c>
      <c r="AI588" s="507">
        <f>Port[[#This Row],[ECL_Undrawn (CNY)]]*Port[[#This Row],[CNY -&gt; THB]]</f>
        <v>0</v>
      </c>
      <c r="AJ588" s="507">
        <f>Port[[#This Row],[ECL (CNY)]]*Port[[#This Row],[CNY -&gt; THB]]</f>
        <v>573351.84896523156</v>
      </c>
      <c r="AK588" s="507">
        <f>Port[[#This Row],[ECL_Interest (CNY)]]*Port[[#This Row],[CNY -&gt; THB]]</f>
        <v>0</v>
      </c>
      <c r="AL588" s="507">
        <f>Port[[#This Row],[EAD (THB)]]*Port[[#This Row],[PD_avg]]</f>
        <v>164155.20360125141</v>
      </c>
      <c r="AM588" s="507">
        <f>Port[[#This Row],[EAD_Interest (THB)]]*Port[[#This Row],[PD_avg]]</f>
        <v>0</v>
      </c>
      <c r="AN588" s="507">
        <f>Port[[#This Row],[EAD (THB)]]*Port[[#This Row],[LGD_avg]]</f>
        <v>43955556.063278407</v>
      </c>
      <c r="AO588" s="507">
        <f>Port[[#This Row],[EAD_Interest (THB)]]*Port[[#This Row],[LGD_avg]]</f>
        <v>0</v>
      </c>
      <c r="AP588" s="507">
        <f>Port[[#This Row],[EAD_Drawn (THB)]]+Port[[#This Row],[EAD_Interest (THB)]]</f>
        <v>12584825.998200001</v>
      </c>
      <c r="AQ58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573351.84896523156</v>
      </c>
      <c r="AR588" s="522">
        <f>MAX(Port[[#This Row],[ECL (THB)]]+Port[[#This Row],[ECL_Interest (THB)]], Port[[#This Row],[ECL CBIRC (THB)]])</f>
        <v>573351.84896523156</v>
      </c>
    </row>
    <row r="589" spans="1:44">
      <c r="A589" s="2" t="s">
        <v>415</v>
      </c>
      <c r="B589" s="2" t="s">
        <v>382</v>
      </c>
      <c r="C589" s="2" t="s">
        <v>379</v>
      </c>
      <c r="D589" s="2" t="s">
        <v>30</v>
      </c>
      <c r="E589" s="2" t="s">
        <v>19</v>
      </c>
      <c r="F589" s="2" t="s">
        <v>380</v>
      </c>
      <c r="G589" s="2" t="s">
        <v>21</v>
      </c>
      <c r="H589">
        <v>1</v>
      </c>
      <c r="I589" s="2" t="s">
        <v>526</v>
      </c>
      <c r="J589" s="505">
        <v>1.3043899345507868E-2</v>
      </c>
      <c r="K589" s="505">
        <v>1.8752362427170311E-2</v>
      </c>
      <c r="L589" s="3">
        <v>1</v>
      </c>
      <c r="M589" s="3">
        <v>5.2488000000000001</v>
      </c>
      <c r="N589" s="507">
        <v>9304890.0199999996</v>
      </c>
      <c r="O589" s="507">
        <v>0</v>
      </c>
      <c r="P589" s="507">
        <v>9304890.0199999996</v>
      </c>
      <c r="Q589" s="507">
        <v>0</v>
      </c>
      <c r="R589" s="507">
        <v>2276.0126484115385</v>
      </c>
      <c r="S589" s="507">
        <v>0</v>
      </c>
      <c r="T589" s="507">
        <v>2276.0126484115385</v>
      </c>
      <c r="U589" s="507">
        <v>0</v>
      </c>
      <c r="V589" s="507">
        <f>Port[[#This Row],[EAD_Drawn (CNY)]]*Port[[#This Row],[CNY -&gt; FCY]]</f>
        <v>9304890.0199999996</v>
      </c>
      <c r="W589" s="507">
        <f>Port[[#This Row],[EAD_Undrawn (CNY)]]*Port[[#This Row],[CNY -&gt; FCY]]</f>
        <v>0</v>
      </c>
      <c r="X589" s="507">
        <f>Port[[#This Row],[EAD (CNY)]]*Port[[#This Row],[CNY -&gt; FCY]]</f>
        <v>9304890.0199999996</v>
      </c>
      <c r="Y589" s="507">
        <f>Port[[#This Row],[EAD_Interest (CNY)]]*Port[[#This Row],[CNY -&gt; FCY]]</f>
        <v>0</v>
      </c>
      <c r="Z589" s="507">
        <f>Port[[#This Row],[ECL_Drawn (CNY)]]*Port[[#This Row],[CNY -&gt; FCY]]</f>
        <v>2276.0126484115385</v>
      </c>
      <c r="AA589" s="507">
        <f>Port[[#This Row],[ECL_Undrawn (CNY)]]*Port[[#This Row],[CNY -&gt; FCY]]</f>
        <v>0</v>
      </c>
      <c r="AB589" s="507">
        <f>Port[[#This Row],[ECL (CNY)]]*Port[[#This Row],[CNY -&gt; FCY]]</f>
        <v>2276.0126484115385</v>
      </c>
      <c r="AC589" s="507">
        <f>Port[[#This Row],[ECL_Interest (CNY)]]*Port[[#This Row],[CNY -&gt; FCY]]</f>
        <v>0</v>
      </c>
      <c r="AD589" s="507">
        <f>Port[[#This Row],[EAD_Drawn (CNY)]]*Port[[#This Row],[CNY -&gt; THB]]</f>
        <v>48839506.736975998</v>
      </c>
      <c r="AE589" s="507">
        <f>Port[[#This Row],[EAD_Undrawn (CNY)]]*Port[[#This Row],[CNY -&gt; THB]]</f>
        <v>0</v>
      </c>
      <c r="AF589" s="507">
        <f>Port[[#This Row],[EAD (CNY)]]*Port[[#This Row],[CNY -&gt; THB]]</f>
        <v>48839506.736975998</v>
      </c>
      <c r="AG589" s="507">
        <f>Port[[#This Row],[EAD_Interest (CNY)]]*Port[[#This Row],[CNY -&gt; THB]]</f>
        <v>0</v>
      </c>
      <c r="AH589" s="507">
        <f>Port[[#This Row],[ECL_Drawn (CNY)]]*Port[[#This Row],[CNY -&gt; THB]]</f>
        <v>11946.335188982484</v>
      </c>
      <c r="AI589" s="507">
        <f>Port[[#This Row],[ECL_Undrawn (CNY)]]*Port[[#This Row],[CNY -&gt; THB]]</f>
        <v>0</v>
      </c>
      <c r="AJ589" s="507">
        <f>Port[[#This Row],[ECL (CNY)]]*Port[[#This Row],[CNY -&gt; THB]]</f>
        <v>11946.335188982484</v>
      </c>
      <c r="AK589" s="507">
        <f>Port[[#This Row],[ECL_Interest (CNY)]]*Port[[#This Row],[CNY -&gt; THB]]</f>
        <v>0</v>
      </c>
      <c r="AL589" s="507">
        <f>Port[[#This Row],[EAD (THB)]]*Port[[#This Row],[PD_avg]]</f>
        <v>637057.60996136838</v>
      </c>
      <c r="AM589" s="507">
        <f>Port[[#This Row],[EAD_Interest (THB)]]*Port[[#This Row],[PD_avg]]</f>
        <v>0</v>
      </c>
      <c r="AN589" s="507">
        <f>Port[[#This Row],[EAD (THB)]]*Port[[#This Row],[LGD_avg]]</f>
        <v>915856.13109599997</v>
      </c>
      <c r="AO589" s="507">
        <f>Port[[#This Row],[EAD_Interest (THB)]]*Port[[#This Row],[LGD_avg]]</f>
        <v>0</v>
      </c>
      <c r="AP589" s="507">
        <f>Port[[#This Row],[EAD_Drawn (THB)]]+Port[[#This Row],[EAD_Interest (THB)]]</f>
        <v>48839506.736975998</v>
      </c>
      <c r="AQ58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11946.335188982484</v>
      </c>
      <c r="AR589" s="522">
        <f>MAX(Port[[#This Row],[ECL (THB)]]+Port[[#This Row],[ECL_Interest (THB)]], Port[[#This Row],[ECL CBIRC (THB)]])</f>
        <v>11946.335188982484</v>
      </c>
    </row>
    <row r="590" spans="1:44">
      <c r="A590" s="2" t="s">
        <v>416</v>
      </c>
      <c r="B590" s="2" t="s">
        <v>382</v>
      </c>
      <c r="C590" s="2" t="s">
        <v>379</v>
      </c>
      <c r="D590" s="2" t="s">
        <v>30</v>
      </c>
      <c r="E590" s="2" t="s">
        <v>19</v>
      </c>
      <c r="F590" s="2" t="s">
        <v>380</v>
      </c>
      <c r="G590" s="2" t="s">
        <v>21</v>
      </c>
      <c r="H590">
        <v>1</v>
      </c>
      <c r="I590" s="2" t="s">
        <v>526</v>
      </c>
      <c r="J590" s="505">
        <v>1.3043899345507868E-2</v>
      </c>
      <c r="K590" s="505">
        <v>0.43485285205050866</v>
      </c>
      <c r="L590" s="3">
        <v>1</v>
      </c>
      <c r="M590" s="3">
        <v>5.2488000000000001</v>
      </c>
      <c r="N590" s="507">
        <v>193876.3</v>
      </c>
      <c r="O590" s="507">
        <v>0</v>
      </c>
      <c r="P590" s="507">
        <v>193876.3</v>
      </c>
      <c r="Q590" s="507">
        <v>0</v>
      </c>
      <c r="R590" s="507">
        <v>1099.7006571830989</v>
      </c>
      <c r="S590" s="507">
        <v>0</v>
      </c>
      <c r="T590" s="507">
        <v>1099.7006571830989</v>
      </c>
      <c r="U590" s="507">
        <v>0</v>
      </c>
      <c r="V590" s="507">
        <f>Port[[#This Row],[EAD_Drawn (CNY)]]*Port[[#This Row],[CNY -&gt; FCY]]</f>
        <v>193876.3</v>
      </c>
      <c r="W590" s="507">
        <f>Port[[#This Row],[EAD_Undrawn (CNY)]]*Port[[#This Row],[CNY -&gt; FCY]]</f>
        <v>0</v>
      </c>
      <c r="X590" s="507">
        <f>Port[[#This Row],[EAD (CNY)]]*Port[[#This Row],[CNY -&gt; FCY]]</f>
        <v>193876.3</v>
      </c>
      <c r="Y590" s="507">
        <f>Port[[#This Row],[EAD_Interest (CNY)]]*Port[[#This Row],[CNY -&gt; FCY]]</f>
        <v>0</v>
      </c>
      <c r="Z590" s="507">
        <f>Port[[#This Row],[ECL_Drawn (CNY)]]*Port[[#This Row],[CNY -&gt; FCY]]</f>
        <v>1099.7006571830989</v>
      </c>
      <c r="AA590" s="507">
        <f>Port[[#This Row],[ECL_Undrawn (CNY)]]*Port[[#This Row],[CNY -&gt; FCY]]</f>
        <v>0</v>
      </c>
      <c r="AB590" s="507">
        <f>Port[[#This Row],[ECL (CNY)]]*Port[[#This Row],[CNY -&gt; FCY]]</f>
        <v>1099.7006571830989</v>
      </c>
      <c r="AC590" s="507">
        <f>Port[[#This Row],[ECL_Interest (CNY)]]*Port[[#This Row],[CNY -&gt; FCY]]</f>
        <v>0</v>
      </c>
      <c r="AD590" s="507">
        <f>Port[[#This Row],[EAD_Drawn (CNY)]]*Port[[#This Row],[CNY -&gt; THB]]</f>
        <v>1017617.9234399999</v>
      </c>
      <c r="AE590" s="507">
        <f>Port[[#This Row],[EAD_Undrawn (CNY)]]*Port[[#This Row],[CNY -&gt; THB]]</f>
        <v>0</v>
      </c>
      <c r="AF590" s="507">
        <f>Port[[#This Row],[EAD (CNY)]]*Port[[#This Row],[CNY -&gt; THB]]</f>
        <v>1017617.9234399999</v>
      </c>
      <c r="AG590" s="507">
        <f>Port[[#This Row],[EAD_Interest (CNY)]]*Port[[#This Row],[CNY -&gt; THB]]</f>
        <v>0</v>
      </c>
      <c r="AH590" s="507">
        <f>Port[[#This Row],[ECL_Drawn (CNY)]]*Port[[#This Row],[CNY -&gt; THB]]</f>
        <v>5772.1088094226498</v>
      </c>
      <c r="AI590" s="507">
        <f>Port[[#This Row],[ECL_Undrawn (CNY)]]*Port[[#This Row],[CNY -&gt; THB]]</f>
        <v>0</v>
      </c>
      <c r="AJ590" s="507">
        <f>Port[[#This Row],[ECL (CNY)]]*Port[[#This Row],[CNY -&gt; THB]]</f>
        <v>5772.1088094226498</v>
      </c>
      <c r="AK590" s="507">
        <f>Port[[#This Row],[ECL_Interest (CNY)]]*Port[[#This Row],[CNY -&gt; THB]]</f>
        <v>0</v>
      </c>
      <c r="AL590" s="507">
        <f>Port[[#This Row],[EAD (THB)]]*Port[[#This Row],[PD_avg]]</f>
        <v>13273.705765536091</v>
      </c>
      <c r="AM590" s="507">
        <f>Port[[#This Row],[EAD_Interest (THB)]]*Port[[#This Row],[PD_avg]]</f>
        <v>0</v>
      </c>
      <c r="AN590" s="507">
        <f>Port[[#This Row],[EAD (THB)]]*Port[[#This Row],[LGD_avg]]</f>
        <v>442514.05630560016</v>
      </c>
      <c r="AO590" s="507">
        <f>Port[[#This Row],[EAD_Interest (THB)]]*Port[[#This Row],[LGD_avg]]</f>
        <v>0</v>
      </c>
      <c r="AP590" s="507">
        <f>Port[[#This Row],[EAD_Drawn (THB)]]+Port[[#This Row],[EAD_Interest (THB)]]</f>
        <v>1017617.9234399999</v>
      </c>
      <c r="AQ59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5772.1088094226498</v>
      </c>
      <c r="AR590" s="522">
        <f>MAX(Port[[#This Row],[ECL (THB)]]+Port[[#This Row],[ECL_Interest (THB)]], Port[[#This Row],[ECL CBIRC (THB)]])</f>
        <v>5772.1088094226498</v>
      </c>
    </row>
    <row r="591" spans="1:44">
      <c r="A591" s="2" t="s">
        <v>417</v>
      </c>
      <c r="B591" s="2" t="s">
        <v>382</v>
      </c>
      <c r="C591" s="2" t="s">
        <v>379</v>
      </c>
      <c r="D591" s="2" t="s">
        <v>30</v>
      </c>
      <c r="E591" s="2" t="s">
        <v>19</v>
      </c>
      <c r="F591" s="2" t="s">
        <v>380</v>
      </c>
      <c r="G591" s="2" t="s">
        <v>21</v>
      </c>
      <c r="H591">
        <v>1</v>
      </c>
      <c r="I591" s="2" t="s">
        <v>526</v>
      </c>
      <c r="J591" s="505">
        <v>1.3043899345507868E-2</v>
      </c>
      <c r="K591" s="505">
        <v>3.3143225345283565</v>
      </c>
      <c r="L591" s="3">
        <v>1</v>
      </c>
      <c r="M591" s="3">
        <v>5.2488000000000001</v>
      </c>
      <c r="N591" s="507">
        <v>93675.18</v>
      </c>
      <c r="O591" s="507">
        <v>0</v>
      </c>
      <c r="P591" s="507">
        <v>93675.18</v>
      </c>
      <c r="Q591" s="507">
        <v>0</v>
      </c>
      <c r="R591" s="507">
        <v>4049.7362992639851</v>
      </c>
      <c r="S591" s="507">
        <v>0</v>
      </c>
      <c r="T591" s="507">
        <v>4049.7362992639851</v>
      </c>
      <c r="U591" s="507">
        <v>0</v>
      </c>
      <c r="V591" s="507">
        <f>Port[[#This Row],[EAD_Drawn (CNY)]]*Port[[#This Row],[CNY -&gt; FCY]]</f>
        <v>93675.18</v>
      </c>
      <c r="W591" s="507">
        <f>Port[[#This Row],[EAD_Undrawn (CNY)]]*Port[[#This Row],[CNY -&gt; FCY]]</f>
        <v>0</v>
      </c>
      <c r="X591" s="507">
        <f>Port[[#This Row],[EAD (CNY)]]*Port[[#This Row],[CNY -&gt; FCY]]</f>
        <v>93675.18</v>
      </c>
      <c r="Y591" s="507">
        <f>Port[[#This Row],[EAD_Interest (CNY)]]*Port[[#This Row],[CNY -&gt; FCY]]</f>
        <v>0</v>
      </c>
      <c r="Z591" s="507">
        <f>Port[[#This Row],[ECL_Drawn (CNY)]]*Port[[#This Row],[CNY -&gt; FCY]]</f>
        <v>4049.7362992639851</v>
      </c>
      <c r="AA591" s="507">
        <f>Port[[#This Row],[ECL_Undrawn (CNY)]]*Port[[#This Row],[CNY -&gt; FCY]]</f>
        <v>0</v>
      </c>
      <c r="AB591" s="507">
        <f>Port[[#This Row],[ECL (CNY)]]*Port[[#This Row],[CNY -&gt; FCY]]</f>
        <v>4049.7362992639851</v>
      </c>
      <c r="AC591" s="507">
        <f>Port[[#This Row],[ECL_Interest (CNY)]]*Port[[#This Row],[CNY -&gt; FCY]]</f>
        <v>0</v>
      </c>
      <c r="AD591" s="507">
        <f>Port[[#This Row],[EAD_Drawn (CNY)]]*Port[[#This Row],[CNY -&gt; THB]]</f>
        <v>491682.28478399996</v>
      </c>
      <c r="AE591" s="507">
        <f>Port[[#This Row],[EAD_Undrawn (CNY)]]*Port[[#This Row],[CNY -&gt; THB]]</f>
        <v>0</v>
      </c>
      <c r="AF591" s="507">
        <f>Port[[#This Row],[EAD (CNY)]]*Port[[#This Row],[CNY -&gt; THB]]</f>
        <v>491682.28478399996</v>
      </c>
      <c r="AG591" s="507">
        <f>Port[[#This Row],[EAD_Interest (CNY)]]*Port[[#This Row],[CNY -&gt; THB]]</f>
        <v>0</v>
      </c>
      <c r="AH591" s="507">
        <f>Port[[#This Row],[ECL_Drawn (CNY)]]*Port[[#This Row],[CNY -&gt; THB]]</f>
        <v>21256.255887576805</v>
      </c>
      <c r="AI591" s="507">
        <f>Port[[#This Row],[ECL_Undrawn (CNY)]]*Port[[#This Row],[CNY -&gt; THB]]</f>
        <v>0</v>
      </c>
      <c r="AJ591" s="507">
        <f>Port[[#This Row],[ECL (CNY)]]*Port[[#This Row],[CNY -&gt; THB]]</f>
        <v>21256.255887576805</v>
      </c>
      <c r="AK591" s="507">
        <f>Port[[#This Row],[ECL_Interest (CNY)]]*Port[[#This Row],[CNY -&gt; THB]]</f>
        <v>0</v>
      </c>
      <c r="AL591" s="507">
        <f>Port[[#This Row],[EAD (THB)]]*Port[[#This Row],[PD_avg]]</f>
        <v>6413.4542326918299</v>
      </c>
      <c r="AM591" s="507">
        <f>Port[[#This Row],[EAD_Interest (THB)]]*Port[[#This Row],[PD_avg]]</f>
        <v>0</v>
      </c>
      <c r="AN591" s="507">
        <f>Port[[#This Row],[EAD (THB)]]*Port[[#This Row],[LGD_avg]]</f>
        <v>1629593.6762879998</v>
      </c>
      <c r="AO591" s="507">
        <f>Port[[#This Row],[EAD_Interest (THB)]]*Port[[#This Row],[LGD_avg]]</f>
        <v>0</v>
      </c>
      <c r="AP591" s="507">
        <f>Port[[#This Row],[EAD_Drawn (THB)]]+Port[[#This Row],[EAD_Interest (THB)]]</f>
        <v>491682.28478399996</v>
      </c>
      <c r="AQ59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21256.255887576805</v>
      </c>
      <c r="AR591" s="522">
        <f>MAX(Port[[#This Row],[ECL (THB)]]+Port[[#This Row],[ECL_Interest (THB)]], Port[[#This Row],[ECL CBIRC (THB)]])</f>
        <v>21256.255887576805</v>
      </c>
    </row>
    <row r="592" spans="1:44">
      <c r="A592" s="2" t="s">
        <v>418</v>
      </c>
      <c r="B592" s="2" t="s">
        <v>382</v>
      </c>
      <c r="C592" s="2" t="s">
        <v>379</v>
      </c>
      <c r="D592" s="2" t="s">
        <v>30</v>
      </c>
      <c r="E592" s="2" t="s">
        <v>19</v>
      </c>
      <c r="F592" s="2" t="s">
        <v>380</v>
      </c>
      <c r="G592" s="2" t="s">
        <v>21</v>
      </c>
      <c r="H592">
        <v>1</v>
      </c>
      <c r="I592" s="2" t="s">
        <v>526</v>
      </c>
      <c r="J592" s="505">
        <v>1.3043899345507868E-2</v>
      </c>
      <c r="K592" s="505">
        <v>1.6482019118383704</v>
      </c>
      <c r="L592" s="3">
        <v>1</v>
      </c>
      <c r="M592" s="3">
        <v>5.2488000000000001</v>
      </c>
      <c r="N592" s="507">
        <v>344966.40000000002</v>
      </c>
      <c r="O592" s="507">
        <v>0</v>
      </c>
      <c r="P592" s="507">
        <v>344966.40000000002</v>
      </c>
      <c r="Q592" s="507">
        <v>0</v>
      </c>
      <c r="R592" s="507">
        <v>7416.4256787646073</v>
      </c>
      <c r="S592" s="507">
        <v>0</v>
      </c>
      <c r="T592" s="507">
        <v>7416.4256787646073</v>
      </c>
      <c r="U592" s="507">
        <v>0</v>
      </c>
      <c r="V592" s="507">
        <f>Port[[#This Row],[EAD_Drawn (CNY)]]*Port[[#This Row],[CNY -&gt; FCY]]</f>
        <v>344966.40000000002</v>
      </c>
      <c r="W592" s="507">
        <f>Port[[#This Row],[EAD_Undrawn (CNY)]]*Port[[#This Row],[CNY -&gt; FCY]]</f>
        <v>0</v>
      </c>
      <c r="X592" s="507">
        <f>Port[[#This Row],[EAD (CNY)]]*Port[[#This Row],[CNY -&gt; FCY]]</f>
        <v>344966.40000000002</v>
      </c>
      <c r="Y592" s="507">
        <f>Port[[#This Row],[EAD_Interest (CNY)]]*Port[[#This Row],[CNY -&gt; FCY]]</f>
        <v>0</v>
      </c>
      <c r="Z592" s="507">
        <f>Port[[#This Row],[ECL_Drawn (CNY)]]*Port[[#This Row],[CNY -&gt; FCY]]</f>
        <v>7416.4256787646073</v>
      </c>
      <c r="AA592" s="507">
        <f>Port[[#This Row],[ECL_Undrawn (CNY)]]*Port[[#This Row],[CNY -&gt; FCY]]</f>
        <v>0</v>
      </c>
      <c r="AB592" s="507">
        <f>Port[[#This Row],[ECL (CNY)]]*Port[[#This Row],[CNY -&gt; FCY]]</f>
        <v>7416.4256787646073</v>
      </c>
      <c r="AC592" s="507">
        <f>Port[[#This Row],[ECL_Interest (CNY)]]*Port[[#This Row],[CNY -&gt; FCY]]</f>
        <v>0</v>
      </c>
      <c r="AD592" s="507">
        <f>Port[[#This Row],[EAD_Drawn (CNY)]]*Port[[#This Row],[CNY -&gt; THB]]</f>
        <v>1810659.6403200002</v>
      </c>
      <c r="AE592" s="507">
        <f>Port[[#This Row],[EAD_Undrawn (CNY)]]*Port[[#This Row],[CNY -&gt; THB]]</f>
        <v>0</v>
      </c>
      <c r="AF592" s="507">
        <f>Port[[#This Row],[EAD (CNY)]]*Port[[#This Row],[CNY -&gt; THB]]</f>
        <v>1810659.6403200002</v>
      </c>
      <c r="AG592" s="507">
        <f>Port[[#This Row],[EAD_Interest (CNY)]]*Port[[#This Row],[CNY -&gt; THB]]</f>
        <v>0</v>
      </c>
      <c r="AH592" s="507">
        <f>Port[[#This Row],[ECL_Drawn (CNY)]]*Port[[#This Row],[CNY -&gt; THB]]</f>
        <v>38927.335102699668</v>
      </c>
      <c r="AI592" s="507">
        <f>Port[[#This Row],[ECL_Undrawn (CNY)]]*Port[[#This Row],[CNY -&gt; THB]]</f>
        <v>0</v>
      </c>
      <c r="AJ592" s="507">
        <f>Port[[#This Row],[ECL (CNY)]]*Port[[#This Row],[CNY -&gt; THB]]</f>
        <v>38927.335102699668</v>
      </c>
      <c r="AK592" s="507">
        <f>Port[[#This Row],[ECL_Interest (CNY)]]*Port[[#This Row],[CNY -&gt; THB]]</f>
        <v>0</v>
      </c>
      <c r="AL592" s="507">
        <f>Port[[#This Row],[EAD (THB)]]*Port[[#This Row],[PD_avg]]</f>
        <v>23618.062097307564</v>
      </c>
      <c r="AM592" s="507">
        <f>Port[[#This Row],[EAD_Interest (THB)]]*Port[[#This Row],[PD_avg]]</f>
        <v>0</v>
      </c>
      <c r="AN592" s="507">
        <f>Port[[#This Row],[EAD (THB)]]*Port[[#This Row],[LGD_avg]]</f>
        <v>2984332.6808640007</v>
      </c>
      <c r="AO592" s="507">
        <f>Port[[#This Row],[EAD_Interest (THB)]]*Port[[#This Row],[LGD_avg]]</f>
        <v>0</v>
      </c>
      <c r="AP592" s="507">
        <f>Port[[#This Row],[EAD_Drawn (THB)]]+Port[[#This Row],[EAD_Interest (THB)]]</f>
        <v>1810659.6403200002</v>
      </c>
      <c r="AQ59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38927.335102699668</v>
      </c>
      <c r="AR592" s="522">
        <f>MAX(Port[[#This Row],[ECL (THB)]]+Port[[#This Row],[ECL_Interest (THB)]], Port[[#This Row],[ECL CBIRC (THB)]])</f>
        <v>38927.335102699668</v>
      </c>
    </row>
    <row r="593" spans="1:44">
      <c r="A593" s="2" t="s">
        <v>419</v>
      </c>
      <c r="B593" s="2" t="s">
        <v>382</v>
      </c>
      <c r="C593" s="2" t="s">
        <v>379</v>
      </c>
      <c r="D593" s="2" t="s">
        <v>30</v>
      </c>
      <c r="E593" s="2" t="s">
        <v>19</v>
      </c>
      <c r="F593" s="2" t="s">
        <v>380</v>
      </c>
      <c r="G593" s="2" t="s">
        <v>21</v>
      </c>
      <c r="H593">
        <v>1</v>
      </c>
      <c r="I593" s="2" t="s">
        <v>526</v>
      </c>
      <c r="J593" s="505">
        <v>1.3043899345507868E-2</v>
      </c>
      <c r="K593" s="505">
        <v>0.97860765949525541</v>
      </c>
      <c r="L593" s="3">
        <v>1</v>
      </c>
      <c r="M593" s="3">
        <v>5.2488000000000001</v>
      </c>
      <c r="N593" s="507">
        <v>631749.19999999995</v>
      </c>
      <c r="O593" s="507">
        <v>0</v>
      </c>
      <c r="P593" s="507">
        <v>631749.19999999995</v>
      </c>
      <c r="Q593" s="507">
        <v>0</v>
      </c>
      <c r="R593" s="507">
        <v>8064.1899725737148</v>
      </c>
      <c r="S593" s="507">
        <v>0</v>
      </c>
      <c r="T593" s="507">
        <v>8064.1899725737148</v>
      </c>
      <c r="U593" s="507">
        <v>0</v>
      </c>
      <c r="V593" s="507">
        <f>Port[[#This Row],[EAD_Drawn (CNY)]]*Port[[#This Row],[CNY -&gt; FCY]]</f>
        <v>631749.19999999995</v>
      </c>
      <c r="W593" s="507">
        <f>Port[[#This Row],[EAD_Undrawn (CNY)]]*Port[[#This Row],[CNY -&gt; FCY]]</f>
        <v>0</v>
      </c>
      <c r="X593" s="507">
        <f>Port[[#This Row],[EAD (CNY)]]*Port[[#This Row],[CNY -&gt; FCY]]</f>
        <v>631749.19999999995</v>
      </c>
      <c r="Y593" s="507">
        <f>Port[[#This Row],[EAD_Interest (CNY)]]*Port[[#This Row],[CNY -&gt; FCY]]</f>
        <v>0</v>
      </c>
      <c r="Z593" s="507">
        <f>Port[[#This Row],[ECL_Drawn (CNY)]]*Port[[#This Row],[CNY -&gt; FCY]]</f>
        <v>8064.1899725737148</v>
      </c>
      <c r="AA593" s="507">
        <f>Port[[#This Row],[ECL_Undrawn (CNY)]]*Port[[#This Row],[CNY -&gt; FCY]]</f>
        <v>0</v>
      </c>
      <c r="AB593" s="507">
        <f>Port[[#This Row],[ECL (CNY)]]*Port[[#This Row],[CNY -&gt; FCY]]</f>
        <v>8064.1899725737148</v>
      </c>
      <c r="AC593" s="507">
        <f>Port[[#This Row],[ECL_Interest (CNY)]]*Port[[#This Row],[CNY -&gt; FCY]]</f>
        <v>0</v>
      </c>
      <c r="AD593" s="507">
        <f>Port[[#This Row],[EAD_Drawn (CNY)]]*Port[[#This Row],[CNY -&gt; THB]]</f>
        <v>3315925.20096</v>
      </c>
      <c r="AE593" s="507">
        <f>Port[[#This Row],[EAD_Undrawn (CNY)]]*Port[[#This Row],[CNY -&gt; THB]]</f>
        <v>0</v>
      </c>
      <c r="AF593" s="507">
        <f>Port[[#This Row],[EAD (CNY)]]*Port[[#This Row],[CNY -&gt; THB]]</f>
        <v>3315925.20096</v>
      </c>
      <c r="AG593" s="507">
        <f>Port[[#This Row],[EAD_Interest (CNY)]]*Port[[#This Row],[CNY -&gt; THB]]</f>
        <v>0</v>
      </c>
      <c r="AH593" s="507">
        <f>Port[[#This Row],[ECL_Drawn (CNY)]]*Port[[#This Row],[CNY -&gt; THB]]</f>
        <v>42327.320328044916</v>
      </c>
      <c r="AI593" s="507">
        <f>Port[[#This Row],[ECL_Undrawn (CNY)]]*Port[[#This Row],[CNY -&gt; THB]]</f>
        <v>0</v>
      </c>
      <c r="AJ593" s="507">
        <f>Port[[#This Row],[ECL (CNY)]]*Port[[#This Row],[CNY -&gt; THB]]</f>
        <v>42327.320328044916</v>
      </c>
      <c r="AK593" s="507">
        <f>Port[[#This Row],[ECL_Interest (CNY)]]*Port[[#This Row],[CNY -&gt; THB]]</f>
        <v>0</v>
      </c>
      <c r="AL593" s="507">
        <f>Port[[#This Row],[EAD (THB)]]*Port[[#This Row],[PD_avg]]</f>
        <v>43252.594558555189</v>
      </c>
      <c r="AM593" s="507">
        <f>Port[[#This Row],[EAD_Interest (THB)]]*Port[[#This Row],[PD_avg]]</f>
        <v>0</v>
      </c>
      <c r="AN593" s="507">
        <f>Port[[#This Row],[EAD (THB)]]*Port[[#This Row],[LGD_avg]]</f>
        <v>3244989.7999728001</v>
      </c>
      <c r="AO593" s="507">
        <f>Port[[#This Row],[EAD_Interest (THB)]]*Port[[#This Row],[LGD_avg]]</f>
        <v>0</v>
      </c>
      <c r="AP593" s="507">
        <f>Port[[#This Row],[EAD_Drawn (THB)]]+Port[[#This Row],[EAD_Interest (THB)]]</f>
        <v>3315925.20096</v>
      </c>
      <c r="AQ59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42327.320328044916</v>
      </c>
      <c r="AR593" s="522">
        <f>MAX(Port[[#This Row],[ECL (THB)]]+Port[[#This Row],[ECL_Interest (THB)]], Port[[#This Row],[ECL CBIRC (THB)]])</f>
        <v>42327.320328044916</v>
      </c>
    </row>
    <row r="594" spans="1:44">
      <c r="A594" s="2" t="s">
        <v>420</v>
      </c>
      <c r="B594" s="2" t="s">
        <v>382</v>
      </c>
      <c r="C594" s="2" t="s">
        <v>379</v>
      </c>
      <c r="D594" s="2" t="s">
        <v>30</v>
      </c>
      <c r="E594" s="2" t="s">
        <v>19</v>
      </c>
      <c r="F594" s="2" t="s">
        <v>380</v>
      </c>
      <c r="G594" s="2" t="s">
        <v>21</v>
      </c>
      <c r="H594">
        <v>1</v>
      </c>
      <c r="I594" s="2" t="s">
        <v>526</v>
      </c>
      <c r="J594" s="505">
        <v>1.3043899345507868E-2</v>
      </c>
      <c r="K594" s="505">
        <v>5.9409335782151289E-2</v>
      </c>
      <c r="L594" s="3">
        <v>1</v>
      </c>
      <c r="M594" s="3">
        <v>5.2488000000000001</v>
      </c>
      <c r="N594" s="507">
        <v>686927.34</v>
      </c>
      <c r="O594" s="507">
        <v>0</v>
      </c>
      <c r="P594" s="507">
        <v>686927.34</v>
      </c>
      <c r="Q594" s="507">
        <v>0</v>
      </c>
      <c r="R594" s="507">
        <v>532.32018876854352</v>
      </c>
      <c r="S594" s="507">
        <v>0</v>
      </c>
      <c r="T594" s="507">
        <v>532.32018876854352</v>
      </c>
      <c r="U594" s="507">
        <v>0</v>
      </c>
      <c r="V594" s="507">
        <f>Port[[#This Row],[EAD_Drawn (CNY)]]*Port[[#This Row],[CNY -&gt; FCY]]</f>
        <v>686927.34</v>
      </c>
      <c r="W594" s="507">
        <f>Port[[#This Row],[EAD_Undrawn (CNY)]]*Port[[#This Row],[CNY -&gt; FCY]]</f>
        <v>0</v>
      </c>
      <c r="X594" s="507">
        <f>Port[[#This Row],[EAD (CNY)]]*Port[[#This Row],[CNY -&gt; FCY]]</f>
        <v>686927.34</v>
      </c>
      <c r="Y594" s="507">
        <f>Port[[#This Row],[EAD_Interest (CNY)]]*Port[[#This Row],[CNY -&gt; FCY]]</f>
        <v>0</v>
      </c>
      <c r="Z594" s="507">
        <f>Port[[#This Row],[ECL_Drawn (CNY)]]*Port[[#This Row],[CNY -&gt; FCY]]</f>
        <v>532.32018876854352</v>
      </c>
      <c r="AA594" s="507">
        <f>Port[[#This Row],[ECL_Undrawn (CNY)]]*Port[[#This Row],[CNY -&gt; FCY]]</f>
        <v>0</v>
      </c>
      <c r="AB594" s="507">
        <f>Port[[#This Row],[ECL (CNY)]]*Port[[#This Row],[CNY -&gt; FCY]]</f>
        <v>532.32018876854352</v>
      </c>
      <c r="AC594" s="507">
        <f>Port[[#This Row],[ECL_Interest (CNY)]]*Port[[#This Row],[CNY -&gt; FCY]]</f>
        <v>0</v>
      </c>
      <c r="AD594" s="507">
        <f>Port[[#This Row],[EAD_Drawn (CNY)]]*Port[[#This Row],[CNY -&gt; THB]]</f>
        <v>3605544.2221920001</v>
      </c>
      <c r="AE594" s="507">
        <f>Port[[#This Row],[EAD_Undrawn (CNY)]]*Port[[#This Row],[CNY -&gt; THB]]</f>
        <v>0</v>
      </c>
      <c r="AF594" s="507">
        <f>Port[[#This Row],[EAD (CNY)]]*Port[[#This Row],[CNY -&gt; THB]]</f>
        <v>3605544.2221920001</v>
      </c>
      <c r="AG594" s="507">
        <f>Port[[#This Row],[EAD_Interest (CNY)]]*Port[[#This Row],[CNY -&gt; THB]]</f>
        <v>0</v>
      </c>
      <c r="AH594" s="507">
        <f>Port[[#This Row],[ECL_Drawn (CNY)]]*Port[[#This Row],[CNY -&gt; THB]]</f>
        <v>2794.0422068083312</v>
      </c>
      <c r="AI594" s="507">
        <f>Port[[#This Row],[ECL_Undrawn (CNY)]]*Port[[#This Row],[CNY -&gt; THB]]</f>
        <v>0</v>
      </c>
      <c r="AJ594" s="507">
        <f>Port[[#This Row],[ECL (CNY)]]*Port[[#This Row],[CNY -&gt; THB]]</f>
        <v>2794.0422068083312</v>
      </c>
      <c r="AK594" s="507">
        <f>Port[[#This Row],[ECL_Interest (CNY)]]*Port[[#This Row],[CNY -&gt; THB]]</f>
        <v>0</v>
      </c>
      <c r="AL594" s="507">
        <f>Port[[#This Row],[EAD (THB)]]*Port[[#This Row],[PD_avg]]</f>
        <v>47030.355920049908</v>
      </c>
      <c r="AM594" s="507">
        <f>Port[[#This Row],[EAD_Interest (THB)]]*Port[[#This Row],[PD_avg]]</f>
        <v>0</v>
      </c>
      <c r="AN594" s="507">
        <f>Port[[#This Row],[EAD (THB)]]*Port[[#This Row],[LGD_avg]]</f>
        <v>214202.98737360004</v>
      </c>
      <c r="AO594" s="507">
        <f>Port[[#This Row],[EAD_Interest (THB)]]*Port[[#This Row],[LGD_avg]]</f>
        <v>0</v>
      </c>
      <c r="AP594" s="507">
        <f>Port[[#This Row],[EAD_Drawn (THB)]]+Port[[#This Row],[EAD_Interest (THB)]]</f>
        <v>3605544.2221920001</v>
      </c>
      <c r="AQ59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2794.0422068083312</v>
      </c>
      <c r="AR594" s="522">
        <f>MAX(Port[[#This Row],[ECL (THB)]]+Port[[#This Row],[ECL_Interest (THB)]], Port[[#This Row],[ECL CBIRC (THB)]])</f>
        <v>2794.0422068083312</v>
      </c>
    </row>
    <row r="595" spans="1:44">
      <c r="A595" s="2" t="s">
        <v>421</v>
      </c>
      <c r="B595" s="2" t="s">
        <v>382</v>
      </c>
      <c r="C595" s="2" t="s">
        <v>379</v>
      </c>
      <c r="D595" s="2" t="s">
        <v>30</v>
      </c>
      <c r="E595" s="2" t="s">
        <v>19</v>
      </c>
      <c r="F595" s="2" t="s">
        <v>380</v>
      </c>
      <c r="G595" s="2" t="s">
        <v>21</v>
      </c>
      <c r="H595">
        <v>1</v>
      </c>
      <c r="I595" s="2" t="s">
        <v>526</v>
      </c>
      <c r="J595" s="505">
        <v>1.3043899345507868E-2</v>
      </c>
      <c r="K595" s="505">
        <v>0.4757012398242515</v>
      </c>
      <c r="L595" s="3">
        <v>1</v>
      </c>
      <c r="M595" s="3">
        <v>5.2488000000000001</v>
      </c>
      <c r="N595" s="507">
        <v>45344.33</v>
      </c>
      <c r="O595" s="507">
        <v>0</v>
      </c>
      <c r="P595" s="507">
        <v>45344.33</v>
      </c>
      <c r="Q595" s="507">
        <v>0</v>
      </c>
      <c r="R595" s="507">
        <v>281.36152642297304</v>
      </c>
      <c r="S595" s="507">
        <v>0</v>
      </c>
      <c r="T595" s="507">
        <v>281.36152642297304</v>
      </c>
      <c r="U595" s="507">
        <v>0</v>
      </c>
      <c r="V595" s="507">
        <f>Port[[#This Row],[EAD_Drawn (CNY)]]*Port[[#This Row],[CNY -&gt; FCY]]</f>
        <v>45344.33</v>
      </c>
      <c r="W595" s="507">
        <f>Port[[#This Row],[EAD_Undrawn (CNY)]]*Port[[#This Row],[CNY -&gt; FCY]]</f>
        <v>0</v>
      </c>
      <c r="X595" s="507">
        <f>Port[[#This Row],[EAD (CNY)]]*Port[[#This Row],[CNY -&gt; FCY]]</f>
        <v>45344.33</v>
      </c>
      <c r="Y595" s="507">
        <f>Port[[#This Row],[EAD_Interest (CNY)]]*Port[[#This Row],[CNY -&gt; FCY]]</f>
        <v>0</v>
      </c>
      <c r="Z595" s="507">
        <f>Port[[#This Row],[ECL_Drawn (CNY)]]*Port[[#This Row],[CNY -&gt; FCY]]</f>
        <v>281.36152642297304</v>
      </c>
      <c r="AA595" s="507">
        <f>Port[[#This Row],[ECL_Undrawn (CNY)]]*Port[[#This Row],[CNY -&gt; FCY]]</f>
        <v>0</v>
      </c>
      <c r="AB595" s="507">
        <f>Port[[#This Row],[ECL (CNY)]]*Port[[#This Row],[CNY -&gt; FCY]]</f>
        <v>281.36152642297304</v>
      </c>
      <c r="AC595" s="507">
        <f>Port[[#This Row],[ECL_Interest (CNY)]]*Port[[#This Row],[CNY -&gt; FCY]]</f>
        <v>0</v>
      </c>
      <c r="AD595" s="507">
        <f>Port[[#This Row],[EAD_Drawn (CNY)]]*Port[[#This Row],[CNY -&gt; THB]]</f>
        <v>238003.319304</v>
      </c>
      <c r="AE595" s="507">
        <f>Port[[#This Row],[EAD_Undrawn (CNY)]]*Port[[#This Row],[CNY -&gt; THB]]</f>
        <v>0</v>
      </c>
      <c r="AF595" s="507">
        <f>Port[[#This Row],[EAD (CNY)]]*Port[[#This Row],[CNY -&gt; THB]]</f>
        <v>238003.319304</v>
      </c>
      <c r="AG595" s="507">
        <f>Port[[#This Row],[EAD_Interest (CNY)]]*Port[[#This Row],[CNY -&gt; THB]]</f>
        <v>0</v>
      </c>
      <c r="AH595" s="507">
        <f>Port[[#This Row],[ECL_Drawn (CNY)]]*Port[[#This Row],[CNY -&gt; THB]]</f>
        <v>1476.810379888901</v>
      </c>
      <c r="AI595" s="507">
        <f>Port[[#This Row],[ECL_Undrawn (CNY)]]*Port[[#This Row],[CNY -&gt; THB]]</f>
        <v>0</v>
      </c>
      <c r="AJ595" s="507">
        <f>Port[[#This Row],[ECL (CNY)]]*Port[[#This Row],[CNY -&gt; THB]]</f>
        <v>1476.810379888901</v>
      </c>
      <c r="AK595" s="507">
        <f>Port[[#This Row],[ECL_Interest (CNY)]]*Port[[#This Row],[CNY -&gt; THB]]</f>
        <v>0</v>
      </c>
      <c r="AL595" s="507">
        <f>Port[[#This Row],[EAD (THB)]]*Port[[#This Row],[PD_avg]]</f>
        <v>3104.4913408981461</v>
      </c>
      <c r="AM595" s="507">
        <f>Port[[#This Row],[EAD_Interest (THB)]]*Port[[#This Row],[PD_avg]]</f>
        <v>0</v>
      </c>
      <c r="AN595" s="507">
        <f>Port[[#This Row],[EAD (THB)]]*Port[[#This Row],[LGD_avg]]</f>
        <v>113218.47407520001</v>
      </c>
      <c r="AO595" s="507">
        <f>Port[[#This Row],[EAD_Interest (THB)]]*Port[[#This Row],[LGD_avg]]</f>
        <v>0</v>
      </c>
      <c r="AP595" s="507">
        <f>Port[[#This Row],[EAD_Drawn (THB)]]+Port[[#This Row],[EAD_Interest (THB)]]</f>
        <v>238003.319304</v>
      </c>
      <c r="AQ59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1476.810379888901</v>
      </c>
      <c r="AR595" s="522">
        <f>MAX(Port[[#This Row],[ECL (THB)]]+Port[[#This Row],[ECL_Interest (THB)]], Port[[#This Row],[ECL CBIRC (THB)]])</f>
        <v>1476.810379888901</v>
      </c>
    </row>
    <row r="596" spans="1:44">
      <c r="A596" s="2" t="s">
        <v>422</v>
      </c>
      <c r="B596" s="2" t="s">
        <v>382</v>
      </c>
      <c r="C596" s="2" t="s">
        <v>379</v>
      </c>
      <c r="D596" s="2" t="s">
        <v>30</v>
      </c>
      <c r="E596" s="2" t="s">
        <v>19</v>
      </c>
      <c r="F596" s="2" t="s">
        <v>380</v>
      </c>
      <c r="G596" s="2" t="s">
        <v>21</v>
      </c>
      <c r="H596">
        <v>1</v>
      </c>
      <c r="I596" s="2" t="s">
        <v>526</v>
      </c>
      <c r="J596" s="505">
        <v>1.3043899345507868E-2</v>
      </c>
      <c r="K596" s="505">
        <v>0.37585110564249435</v>
      </c>
      <c r="L596" s="3">
        <v>1</v>
      </c>
      <c r="M596" s="3">
        <v>5.2488000000000001</v>
      </c>
      <c r="N596" s="507">
        <v>23967.06</v>
      </c>
      <c r="O596" s="507">
        <v>0</v>
      </c>
      <c r="P596" s="507">
        <v>23967.06</v>
      </c>
      <c r="Q596" s="507">
        <v>0</v>
      </c>
      <c r="R596" s="507">
        <v>117.5000453237048</v>
      </c>
      <c r="S596" s="507">
        <v>0</v>
      </c>
      <c r="T596" s="507">
        <v>117.5000453237048</v>
      </c>
      <c r="U596" s="507">
        <v>0</v>
      </c>
      <c r="V596" s="507">
        <f>Port[[#This Row],[EAD_Drawn (CNY)]]*Port[[#This Row],[CNY -&gt; FCY]]</f>
        <v>23967.06</v>
      </c>
      <c r="W596" s="507">
        <f>Port[[#This Row],[EAD_Undrawn (CNY)]]*Port[[#This Row],[CNY -&gt; FCY]]</f>
        <v>0</v>
      </c>
      <c r="X596" s="507">
        <f>Port[[#This Row],[EAD (CNY)]]*Port[[#This Row],[CNY -&gt; FCY]]</f>
        <v>23967.06</v>
      </c>
      <c r="Y596" s="507">
        <f>Port[[#This Row],[EAD_Interest (CNY)]]*Port[[#This Row],[CNY -&gt; FCY]]</f>
        <v>0</v>
      </c>
      <c r="Z596" s="507">
        <f>Port[[#This Row],[ECL_Drawn (CNY)]]*Port[[#This Row],[CNY -&gt; FCY]]</f>
        <v>117.5000453237048</v>
      </c>
      <c r="AA596" s="507">
        <f>Port[[#This Row],[ECL_Undrawn (CNY)]]*Port[[#This Row],[CNY -&gt; FCY]]</f>
        <v>0</v>
      </c>
      <c r="AB596" s="507">
        <f>Port[[#This Row],[ECL (CNY)]]*Port[[#This Row],[CNY -&gt; FCY]]</f>
        <v>117.5000453237048</v>
      </c>
      <c r="AC596" s="507">
        <f>Port[[#This Row],[ECL_Interest (CNY)]]*Port[[#This Row],[CNY -&gt; FCY]]</f>
        <v>0</v>
      </c>
      <c r="AD596" s="507">
        <f>Port[[#This Row],[EAD_Drawn (CNY)]]*Port[[#This Row],[CNY -&gt; THB]]</f>
        <v>125798.30452800001</v>
      </c>
      <c r="AE596" s="507">
        <f>Port[[#This Row],[EAD_Undrawn (CNY)]]*Port[[#This Row],[CNY -&gt; THB]]</f>
        <v>0</v>
      </c>
      <c r="AF596" s="507">
        <f>Port[[#This Row],[EAD (CNY)]]*Port[[#This Row],[CNY -&gt; THB]]</f>
        <v>125798.30452800001</v>
      </c>
      <c r="AG596" s="507">
        <f>Port[[#This Row],[EAD_Interest (CNY)]]*Port[[#This Row],[CNY -&gt; THB]]</f>
        <v>0</v>
      </c>
      <c r="AH596" s="507">
        <f>Port[[#This Row],[ECL_Drawn (CNY)]]*Port[[#This Row],[CNY -&gt; THB]]</f>
        <v>616.73423789506171</v>
      </c>
      <c r="AI596" s="507">
        <f>Port[[#This Row],[ECL_Undrawn (CNY)]]*Port[[#This Row],[CNY -&gt; THB]]</f>
        <v>0</v>
      </c>
      <c r="AJ596" s="507">
        <f>Port[[#This Row],[ECL (CNY)]]*Port[[#This Row],[CNY -&gt; THB]]</f>
        <v>616.73423789506171</v>
      </c>
      <c r="AK596" s="507">
        <f>Port[[#This Row],[ECL_Interest (CNY)]]*Port[[#This Row],[CNY -&gt; THB]]</f>
        <v>0</v>
      </c>
      <c r="AL596" s="507">
        <f>Port[[#This Row],[EAD (THB)]]*Port[[#This Row],[PD_avg]]</f>
        <v>1640.9004220987788</v>
      </c>
      <c r="AM596" s="507">
        <f>Port[[#This Row],[EAD_Interest (THB)]]*Port[[#This Row],[PD_avg]]</f>
        <v>0</v>
      </c>
      <c r="AN596" s="507">
        <f>Port[[#This Row],[EAD (THB)]]*Port[[#This Row],[LGD_avg]]</f>
        <v>47281.431844800005</v>
      </c>
      <c r="AO596" s="507">
        <f>Port[[#This Row],[EAD_Interest (THB)]]*Port[[#This Row],[LGD_avg]]</f>
        <v>0</v>
      </c>
      <c r="AP596" s="507">
        <f>Port[[#This Row],[EAD_Drawn (THB)]]+Port[[#This Row],[EAD_Interest (THB)]]</f>
        <v>125798.30452800001</v>
      </c>
      <c r="AQ59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616.73423789506171</v>
      </c>
      <c r="AR596" s="522">
        <f>MAX(Port[[#This Row],[ECL (THB)]]+Port[[#This Row],[ECL_Interest (THB)]], Port[[#This Row],[ECL CBIRC (THB)]])</f>
        <v>616.73423789506171</v>
      </c>
    </row>
    <row r="597" spans="1:44">
      <c r="A597" s="2" t="s">
        <v>423</v>
      </c>
      <c r="B597" s="2" t="s">
        <v>382</v>
      </c>
      <c r="C597" s="2" t="s">
        <v>379</v>
      </c>
      <c r="D597" s="2" t="s">
        <v>30</v>
      </c>
      <c r="E597" s="2" t="s">
        <v>19</v>
      </c>
      <c r="F597" s="2" t="s">
        <v>380</v>
      </c>
      <c r="G597" s="2" t="s">
        <v>21</v>
      </c>
      <c r="H597">
        <v>1</v>
      </c>
      <c r="I597" s="2" t="s">
        <v>526</v>
      </c>
      <c r="J597" s="505">
        <v>1.3043899345507868E-2</v>
      </c>
      <c r="K597" s="505">
        <v>63.387027497417307</v>
      </c>
      <c r="L597" s="3">
        <v>1</v>
      </c>
      <c r="M597" s="3">
        <v>5.2488000000000001</v>
      </c>
      <c r="N597" s="507">
        <v>10008.94</v>
      </c>
      <c r="O597" s="507">
        <v>0</v>
      </c>
      <c r="P597" s="507">
        <v>10008.94</v>
      </c>
      <c r="Q597" s="507">
        <v>0</v>
      </c>
      <c r="R597" s="507">
        <v>8275.5317820905038</v>
      </c>
      <c r="S597" s="507">
        <v>0</v>
      </c>
      <c r="T597" s="507">
        <v>8275.5317820905038</v>
      </c>
      <c r="U597" s="507">
        <v>0</v>
      </c>
      <c r="V597" s="507">
        <f>Port[[#This Row],[EAD_Drawn (CNY)]]*Port[[#This Row],[CNY -&gt; FCY]]</f>
        <v>10008.94</v>
      </c>
      <c r="W597" s="507">
        <f>Port[[#This Row],[EAD_Undrawn (CNY)]]*Port[[#This Row],[CNY -&gt; FCY]]</f>
        <v>0</v>
      </c>
      <c r="X597" s="507">
        <f>Port[[#This Row],[EAD (CNY)]]*Port[[#This Row],[CNY -&gt; FCY]]</f>
        <v>10008.94</v>
      </c>
      <c r="Y597" s="507">
        <f>Port[[#This Row],[EAD_Interest (CNY)]]*Port[[#This Row],[CNY -&gt; FCY]]</f>
        <v>0</v>
      </c>
      <c r="Z597" s="507">
        <f>Port[[#This Row],[ECL_Drawn (CNY)]]*Port[[#This Row],[CNY -&gt; FCY]]</f>
        <v>8275.5317820905038</v>
      </c>
      <c r="AA597" s="507">
        <f>Port[[#This Row],[ECL_Undrawn (CNY)]]*Port[[#This Row],[CNY -&gt; FCY]]</f>
        <v>0</v>
      </c>
      <c r="AB597" s="507">
        <f>Port[[#This Row],[ECL (CNY)]]*Port[[#This Row],[CNY -&gt; FCY]]</f>
        <v>8275.5317820905038</v>
      </c>
      <c r="AC597" s="507">
        <f>Port[[#This Row],[ECL_Interest (CNY)]]*Port[[#This Row],[CNY -&gt; FCY]]</f>
        <v>0</v>
      </c>
      <c r="AD597" s="507">
        <f>Port[[#This Row],[EAD_Drawn (CNY)]]*Port[[#This Row],[CNY -&gt; THB]]</f>
        <v>52534.924272000004</v>
      </c>
      <c r="AE597" s="507">
        <f>Port[[#This Row],[EAD_Undrawn (CNY)]]*Port[[#This Row],[CNY -&gt; THB]]</f>
        <v>0</v>
      </c>
      <c r="AF597" s="507">
        <f>Port[[#This Row],[EAD (CNY)]]*Port[[#This Row],[CNY -&gt; THB]]</f>
        <v>52534.924272000004</v>
      </c>
      <c r="AG597" s="507">
        <f>Port[[#This Row],[EAD_Interest (CNY)]]*Port[[#This Row],[CNY -&gt; THB]]</f>
        <v>0</v>
      </c>
      <c r="AH597" s="507">
        <f>Port[[#This Row],[ECL_Drawn (CNY)]]*Port[[#This Row],[CNY -&gt; THB]]</f>
        <v>43436.611217836638</v>
      </c>
      <c r="AI597" s="507">
        <f>Port[[#This Row],[ECL_Undrawn (CNY)]]*Port[[#This Row],[CNY -&gt; THB]]</f>
        <v>0</v>
      </c>
      <c r="AJ597" s="507">
        <f>Port[[#This Row],[ECL (CNY)]]*Port[[#This Row],[CNY -&gt; THB]]</f>
        <v>43436.611217836638</v>
      </c>
      <c r="AK597" s="507">
        <f>Port[[#This Row],[ECL_Interest (CNY)]]*Port[[#This Row],[CNY -&gt; THB]]</f>
        <v>0</v>
      </c>
      <c r="AL597" s="507">
        <f>Port[[#This Row],[EAD (THB)]]*Port[[#This Row],[PD_avg]]</f>
        <v>685.26026432784624</v>
      </c>
      <c r="AM597" s="507">
        <f>Port[[#This Row],[EAD_Interest (THB)]]*Port[[#This Row],[PD_avg]]</f>
        <v>0</v>
      </c>
      <c r="AN597" s="507">
        <f>Port[[#This Row],[EAD (THB)]]*Port[[#This Row],[LGD_avg]]</f>
        <v>3330032.6894040001</v>
      </c>
      <c r="AO597" s="507">
        <f>Port[[#This Row],[EAD_Interest (THB)]]*Port[[#This Row],[LGD_avg]]</f>
        <v>0</v>
      </c>
      <c r="AP597" s="507">
        <f>Port[[#This Row],[EAD_Drawn (THB)]]+Port[[#This Row],[EAD_Interest (THB)]]</f>
        <v>52534.924272000004</v>
      </c>
      <c r="AQ59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43436.611217836638</v>
      </c>
      <c r="AR597" s="522">
        <f>MAX(Port[[#This Row],[ECL (THB)]]+Port[[#This Row],[ECL_Interest (THB)]], Port[[#This Row],[ECL CBIRC (THB)]])</f>
        <v>43436.611217836638</v>
      </c>
    </row>
    <row r="598" spans="1:44">
      <c r="A598" s="2" t="s">
        <v>424</v>
      </c>
      <c r="B598" s="2" t="s">
        <v>382</v>
      </c>
      <c r="C598" s="2" t="s">
        <v>379</v>
      </c>
      <c r="D598" s="2" t="s">
        <v>30</v>
      </c>
      <c r="E598" s="2" t="s">
        <v>19</v>
      </c>
      <c r="F598" s="2" t="s">
        <v>380</v>
      </c>
      <c r="G598" s="2" t="s">
        <v>21</v>
      </c>
      <c r="H598">
        <v>1</v>
      </c>
      <c r="I598" s="2" t="s">
        <v>526</v>
      </c>
      <c r="J598" s="505">
        <v>1.3043899345507868E-2</v>
      </c>
      <c r="K598" s="505">
        <v>0.12339110290320336</v>
      </c>
      <c r="L598" s="3">
        <v>1</v>
      </c>
      <c r="M598" s="3">
        <v>5.2488000000000001</v>
      </c>
      <c r="N598" s="507">
        <v>704929.95</v>
      </c>
      <c r="O598" s="507">
        <v>0</v>
      </c>
      <c r="P598" s="507">
        <v>704929.95</v>
      </c>
      <c r="Q598" s="507">
        <v>0</v>
      </c>
      <c r="R598" s="507">
        <v>1134.5855485585103</v>
      </c>
      <c r="S598" s="507">
        <v>0</v>
      </c>
      <c r="T598" s="507">
        <v>1134.5855485585103</v>
      </c>
      <c r="U598" s="507">
        <v>0</v>
      </c>
      <c r="V598" s="507">
        <f>Port[[#This Row],[EAD_Drawn (CNY)]]*Port[[#This Row],[CNY -&gt; FCY]]</f>
        <v>704929.95</v>
      </c>
      <c r="W598" s="507">
        <f>Port[[#This Row],[EAD_Undrawn (CNY)]]*Port[[#This Row],[CNY -&gt; FCY]]</f>
        <v>0</v>
      </c>
      <c r="X598" s="507">
        <f>Port[[#This Row],[EAD (CNY)]]*Port[[#This Row],[CNY -&gt; FCY]]</f>
        <v>704929.95</v>
      </c>
      <c r="Y598" s="507">
        <f>Port[[#This Row],[EAD_Interest (CNY)]]*Port[[#This Row],[CNY -&gt; FCY]]</f>
        <v>0</v>
      </c>
      <c r="Z598" s="507">
        <f>Port[[#This Row],[ECL_Drawn (CNY)]]*Port[[#This Row],[CNY -&gt; FCY]]</f>
        <v>1134.5855485585103</v>
      </c>
      <c r="AA598" s="507">
        <f>Port[[#This Row],[ECL_Undrawn (CNY)]]*Port[[#This Row],[CNY -&gt; FCY]]</f>
        <v>0</v>
      </c>
      <c r="AB598" s="507">
        <f>Port[[#This Row],[ECL (CNY)]]*Port[[#This Row],[CNY -&gt; FCY]]</f>
        <v>1134.5855485585103</v>
      </c>
      <c r="AC598" s="507">
        <f>Port[[#This Row],[ECL_Interest (CNY)]]*Port[[#This Row],[CNY -&gt; FCY]]</f>
        <v>0</v>
      </c>
      <c r="AD598" s="507">
        <f>Port[[#This Row],[EAD_Drawn (CNY)]]*Port[[#This Row],[CNY -&gt; THB]]</f>
        <v>3700036.3215600001</v>
      </c>
      <c r="AE598" s="507">
        <f>Port[[#This Row],[EAD_Undrawn (CNY)]]*Port[[#This Row],[CNY -&gt; THB]]</f>
        <v>0</v>
      </c>
      <c r="AF598" s="507">
        <f>Port[[#This Row],[EAD (CNY)]]*Port[[#This Row],[CNY -&gt; THB]]</f>
        <v>3700036.3215600001</v>
      </c>
      <c r="AG598" s="507">
        <f>Port[[#This Row],[EAD_Interest (CNY)]]*Port[[#This Row],[CNY -&gt; THB]]</f>
        <v>0</v>
      </c>
      <c r="AH598" s="507">
        <f>Port[[#This Row],[ECL_Drawn (CNY)]]*Port[[#This Row],[CNY -&gt; THB]]</f>
        <v>5955.2126272739088</v>
      </c>
      <c r="AI598" s="507">
        <f>Port[[#This Row],[ECL_Undrawn (CNY)]]*Port[[#This Row],[CNY -&gt; THB]]</f>
        <v>0</v>
      </c>
      <c r="AJ598" s="507">
        <f>Port[[#This Row],[ECL (CNY)]]*Port[[#This Row],[CNY -&gt; THB]]</f>
        <v>5955.2126272739088</v>
      </c>
      <c r="AK598" s="507">
        <f>Port[[#This Row],[ECL_Interest (CNY)]]*Port[[#This Row],[CNY -&gt; THB]]</f>
        <v>0</v>
      </c>
      <c r="AL598" s="507">
        <f>Port[[#This Row],[EAD (THB)]]*Port[[#This Row],[PD_avg]]</f>
        <v>48262.901353151829</v>
      </c>
      <c r="AM598" s="507">
        <f>Port[[#This Row],[EAD_Interest (THB)]]*Port[[#This Row],[PD_avg]]</f>
        <v>0</v>
      </c>
      <c r="AN598" s="507">
        <f>Port[[#This Row],[EAD (THB)]]*Port[[#This Row],[LGD_avg]]</f>
        <v>456551.56249919999</v>
      </c>
      <c r="AO598" s="507">
        <f>Port[[#This Row],[EAD_Interest (THB)]]*Port[[#This Row],[LGD_avg]]</f>
        <v>0</v>
      </c>
      <c r="AP598" s="507">
        <f>Port[[#This Row],[EAD_Drawn (THB)]]+Port[[#This Row],[EAD_Interest (THB)]]</f>
        <v>3700036.3215600001</v>
      </c>
      <c r="AQ59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5955.2126272739088</v>
      </c>
      <c r="AR598" s="522">
        <f>MAX(Port[[#This Row],[ECL (THB)]]+Port[[#This Row],[ECL_Interest (THB)]], Port[[#This Row],[ECL CBIRC (THB)]])</f>
        <v>5955.2126272739088</v>
      </c>
    </row>
    <row r="599" spans="1:44">
      <c r="A599" s="2" t="s">
        <v>425</v>
      </c>
      <c r="B599" s="2" t="s">
        <v>382</v>
      </c>
      <c r="C599" s="2" t="s">
        <v>379</v>
      </c>
      <c r="D599" s="2" t="s">
        <v>30</v>
      </c>
      <c r="E599" s="2" t="s">
        <v>19</v>
      </c>
      <c r="F599" s="2" t="s">
        <v>380</v>
      </c>
      <c r="G599" s="2" t="s">
        <v>21</v>
      </c>
      <c r="H599">
        <v>1</v>
      </c>
      <c r="I599" s="2" t="s">
        <v>526</v>
      </c>
      <c r="J599" s="505">
        <v>1.3043899345507868E-2</v>
      </c>
      <c r="K599" s="505">
        <v>5.9256440671161668E-2</v>
      </c>
      <c r="L599" s="3">
        <v>1</v>
      </c>
      <c r="M599" s="3">
        <v>5.2488000000000001</v>
      </c>
      <c r="N599" s="507">
        <v>96646.76</v>
      </c>
      <c r="O599" s="507">
        <v>0</v>
      </c>
      <c r="P599" s="507">
        <v>96646.76</v>
      </c>
      <c r="Q599" s="507">
        <v>0</v>
      </c>
      <c r="R599" s="507">
        <v>74.701668049460878</v>
      </c>
      <c r="S599" s="507">
        <v>0</v>
      </c>
      <c r="T599" s="507">
        <v>74.701668049460878</v>
      </c>
      <c r="U599" s="507">
        <v>0</v>
      </c>
      <c r="V599" s="507">
        <f>Port[[#This Row],[EAD_Drawn (CNY)]]*Port[[#This Row],[CNY -&gt; FCY]]</f>
        <v>96646.76</v>
      </c>
      <c r="W599" s="507">
        <f>Port[[#This Row],[EAD_Undrawn (CNY)]]*Port[[#This Row],[CNY -&gt; FCY]]</f>
        <v>0</v>
      </c>
      <c r="X599" s="507">
        <f>Port[[#This Row],[EAD (CNY)]]*Port[[#This Row],[CNY -&gt; FCY]]</f>
        <v>96646.76</v>
      </c>
      <c r="Y599" s="507">
        <f>Port[[#This Row],[EAD_Interest (CNY)]]*Port[[#This Row],[CNY -&gt; FCY]]</f>
        <v>0</v>
      </c>
      <c r="Z599" s="507">
        <f>Port[[#This Row],[ECL_Drawn (CNY)]]*Port[[#This Row],[CNY -&gt; FCY]]</f>
        <v>74.701668049460878</v>
      </c>
      <c r="AA599" s="507">
        <f>Port[[#This Row],[ECL_Undrawn (CNY)]]*Port[[#This Row],[CNY -&gt; FCY]]</f>
        <v>0</v>
      </c>
      <c r="AB599" s="507">
        <f>Port[[#This Row],[ECL (CNY)]]*Port[[#This Row],[CNY -&gt; FCY]]</f>
        <v>74.701668049460878</v>
      </c>
      <c r="AC599" s="507">
        <f>Port[[#This Row],[ECL_Interest (CNY)]]*Port[[#This Row],[CNY -&gt; FCY]]</f>
        <v>0</v>
      </c>
      <c r="AD599" s="507">
        <f>Port[[#This Row],[EAD_Drawn (CNY)]]*Port[[#This Row],[CNY -&gt; THB]]</f>
        <v>507279.51388799999</v>
      </c>
      <c r="AE599" s="507">
        <f>Port[[#This Row],[EAD_Undrawn (CNY)]]*Port[[#This Row],[CNY -&gt; THB]]</f>
        <v>0</v>
      </c>
      <c r="AF599" s="507">
        <f>Port[[#This Row],[EAD (CNY)]]*Port[[#This Row],[CNY -&gt; THB]]</f>
        <v>507279.51388799999</v>
      </c>
      <c r="AG599" s="507">
        <f>Port[[#This Row],[EAD_Interest (CNY)]]*Port[[#This Row],[CNY -&gt; THB]]</f>
        <v>0</v>
      </c>
      <c r="AH599" s="507">
        <f>Port[[#This Row],[ECL_Drawn (CNY)]]*Port[[#This Row],[CNY -&gt; THB]]</f>
        <v>392.09411525801028</v>
      </c>
      <c r="AI599" s="507">
        <f>Port[[#This Row],[ECL_Undrawn (CNY)]]*Port[[#This Row],[CNY -&gt; THB]]</f>
        <v>0</v>
      </c>
      <c r="AJ599" s="507">
        <f>Port[[#This Row],[ECL (CNY)]]*Port[[#This Row],[CNY -&gt; THB]]</f>
        <v>392.09411525801028</v>
      </c>
      <c r="AK599" s="507">
        <f>Port[[#This Row],[ECL_Interest (CNY)]]*Port[[#This Row],[CNY -&gt; THB]]</f>
        <v>0</v>
      </c>
      <c r="AL599" s="507">
        <f>Port[[#This Row],[EAD (THB)]]*Port[[#This Row],[PD_avg]]</f>
        <v>6616.9029191932323</v>
      </c>
      <c r="AM599" s="507">
        <f>Port[[#This Row],[EAD_Interest (THB)]]*Port[[#This Row],[PD_avg]]</f>
        <v>0</v>
      </c>
      <c r="AN599" s="507">
        <f>Port[[#This Row],[EAD (THB)]]*Port[[#This Row],[LGD_avg]]</f>
        <v>30059.578418400004</v>
      </c>
      <c r="AO599" s="507">
        <f>Port[[#This Row],[EAD_Interest (THB)]]*Port[[#This Row],[LGD_avg]]</f>
        <v>0</v>
      </c>
      <c r="AP599" s="507">
        <f>Port[[#This Row],[EAD_Drawn (THB)]]+Port[[#This Row],[EAD_Interest (THB)]]</f>
        <v>507279.51388799999</v>
      </c>
      <c r="AQ59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392.09411525801028</v>
      </c>
      <c r="AR599" s="522">
        <f>MAX(Port[[#This Row],[ECL (THB)]]+Port[[#This Row],[ECL_Interest (THB)]], Port[[#This Row],[ECL CBIRC (THB)]])</f>
        <v>392.09411525801028</v>
      </c>
    </row>
    <row r="600" spans="1:44">
      <c r="A600" s="2" t="s">
        <v>426</v>
      </c>
      <c r="B600" s="2" t="s">
        <v>382</v>
      </c>
      <c r="C600" s="2" t="s">
        <v>379</v>
      </c>
      <c r="D600" s="2" t="s">
        <v>30</v>
      </c>
      <c r="E600" s="2" t="s">
        <v>19</v>
      </c>
      <c r="F600" s="2" t="s">
        <v>380</v>
      </c>
      <c r="G600" s="2" t="s">
        <v>21</v>
      </c>
      <c r="H600">
        <v>1</v>
      </c>
      <c r="I600" s="2" t="s">
        <v>526</v>
      </c>
      <c r="J600" s="505">
        <v>1.3043899345507868E-2</v>
      </c>
      <c r="K600" s="505">
        <v>23.313566609620526</v>
      </c>
      <c r="L600" s="3">
        <v>1</v>
      </c>
      <c r="M600" s="3">
        <v>5.2488000000000001</v>
      </c>
      <c r="N600" s="507">
        <v>6363.27</v>
      </c>
      <c r="O600" s="507">
        <v>0</v>
      </c>
      <c r="P600" s="507">
        <v>6363.27</v>
      </c>
      <c r="Q600" s="507">
        <v>0</v>
      </c>
      <c r="R600" s="507">
        <v>1935.0692376898528</v>
      </c>
      <c r="S600" s="507">
        <v>0</v>
      </c>
      <c r="T600" s="507">
        <v>1935.0692376898528</v>
      </c>
      <c r="U600" s="507">
        <v>0</v>
      </c>
      <c r="V600" s="507">
        <f>Port[[#This Row],[EAD_Drawn (CNY)]]*Port[[#This Row],[CNY -&gt; FCY]]</f>
        <v>6363.27</v>
      </c>
      <c r="W600" s="507">
        <f>Port[[#This Row],[EAD_Undrawn (CNY)]]*Port[[#This Row],[CNY -&gt; FCY]]</f>
        <v>0</v>
      </c>
      <c r="X600" s="507">
        <f>Port[[#This Row],[EAD (CNY)]]*Port[[#This Row],[CNY -&gt; FCY]]</f>
        <v>6363.27</v>
      </c>
      <c r="Y600" s="507">
        <f>Port[[#This Row],[EAD_Interest (CNY)]]*Port[[#This Row],[CNY -&gt; FCY]]</f>
        <v>0</v>
      </c>
      <c r="Z600" s="507">
        <f>Port[[#This Row],[ECL_Drawn (CNY)]]*Port[[#This Row],[CNY -&gt; FCY]]</f>
        <v>1935.0692376898528</v>
      </c>
      <c r="AA600" s="507">
        <f>Port[[#This Row],[ECL_Undrawn (CNY)]]*Port[[#This Row],[CNY -&gt; FCY]]</f>
        <v>0</v>
      </c>
      <c r="AB600" s="507">
        <f>Port[[#This Row],[ECL (CNY)]]*Port[[#This Row],[CNY -&gt; FCY]]</f>
        <v>1935.0692376898528</v>
      </c>
      <c r="AC600" s="507">
        <f>Port[[#This Row],[ECL_Interest (CNY)]]*Port[[#This Row],[CNY -&gt; FCY]]</f>
        <v>0</v>
      </c>
      <c r="AD600" s="507">
        <f>Port[[#This Row],[EAD_Drawn (CNY)]]*Port[[#This Row],[CNY -&gt; THB]]</f>
        <v>33399.531576000001</v>
      </c>
      <c r="AE600" s="507">
        <f>Port[[#This Row],[EAD_Undrawn (CNY)]]*Port[[#This Row],[CNY -&gt; THB]]</f>
        <v>0</v>
      </c>
      <c r="AF600" s="507">
        <f>Port[[#This Row],[EAD (CNY)]]*Port[[#This Row],[CNY -&gt; THB]]</f>
        <v>33399.531576000001</v>
      </c>
      <c r="AG600" s="507">
        <f>Port[[#This Row],[EAD_Interest (CNY)]]*Port[[#This Row],[CNY -&gt; THB]]</f>
        <v>0</v>
      </c>
      <c r="AH600" s="507">
        <f>Port[[#This Row],[ECL_Drawn (CNY)]]*Port[[#This Row],[CNY -&gt; THB]]</f>
        <v>10156.791414786499</v>
      </c>
      <c r="AI600" s="507">
        <f>Port[[#This Row],[ECL_Undrawn (CNY)]]*Port[[#This Row],[CNY -&gt; THB]]</f>
        <v>0</v>
      </c>
      <c r="AJ600" s="507">
        <f>Port[[#This Row],[ECL (CNY)]]*Port[[#This Row],[CNY -&gt; THB]]</f>
        <v>10156.791414786499</v>
      </c>
      <c r="AK600" s="507">
        <f>Port[[#This Row],[ECL_Interest (CNY)]]*Port[[#This Row],[CNY -&gt; THB]]</f>
        <v>0</v>
      </c>
      <c r="AL600" s="507">
        <f>Port[[#This Row],[EAD (THB)]]*Port[[#This Row],[PD_avg]]</f>
        <v>435.66012806445582</v>
      </c>
      <c r="AM600" s="507">
        <f>Port[[#This Row],[EAD_Interest (THB)]]*Port[[#This Row],[PD_avg]]</f>
        <v>0</v>
      </c>
      <c r="AN600" s="507">
        <f>Port[[#This Row],[EAD (THB)]]*Port[[#This Row],[LGD_avg]]</f>
        <v>778662.20412720006</v>
      </c>
      <c r="AO600" s="507">
        <f>Port[[#This Row],[EAD_Interest (THB)]]*Port[[#This Row],[LGD_avg]]</f>
        <v>0</v>
      </c>
      <c r="AP600" s="507">
        <f>Port[[#This Row],[EAD_Drawn (THB)]]+Port[[#This Row],[EAD_Interest (THB)]]</f>
        <v>33399.531576000001</v>
      </c>
      <c r="AQ60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10156.791414786499</v>
      </c>
      <c r="AR600" s="522">
        <f>MAX(Port[[#This Row],[ECL (THB)]]+Port[[#This Row],[ECL_Interest (THB)]], Port[[#This Row],[ECL CBIRC (THB)]])</f>
        <v>10156.791414786499</v>
      </c>
    </row>
    <row r="601" spans="1:44">
      <c r="A601" s="2" t="s">
        <v>427</v>
      </c>
      <c r="B601" s="2" t="s">
        <v>382</v>
      </c>
      <c r="C601" s="2" t="s">
        <v>379</v>
      </c>
      <c r="D601" s="2" t="s">
        <v>30</v>
      </c>
      <c r="E601" s="2" t="s">
        <v>19</v>
      </c>
      <c r="F601" s="2" t="s">
        <v>380</v>
      </c>
      <c r="G601" s="2" t="s">
        <v>21</v>
      </c>
      <c r="H601">
        <v>1</v>
      </c>
      <c r="I601" s="2" t="s">
        <v>526</v>
      </c>
      <c r="J601" s="505">
        <v>1.3043899345507868E-2</v>
      </c>
      <c r="K601" s="505">
        <v>1.6477451575346362</v>
      </c>
      <c r="L601" s="3">
        <v>1</v>
      </c>
      <c r="M601" s="3">
        <v>5.2488000000000001</v>
      </c>
      <c r="N601" s="507">
        <v>164833.91</v>
      </c>
      <c r="O601" s="507">
        <v>0</v>
      </c>
      <c r="P601" s="507">
        <v>164833.91</v>
      </c>
      <c r="Q601" s="507">
        <v>0</v>
      </c>
      <c r="R601" s="507">
        <v>3542.7788509974384</v>
      </c>
      <c r="S601" s="507">
        <v>0</v>
      </c>
      <c r="T601" s="507">
        <v>3542.7788509974384</v>
      </c>
      <c r="U601" s="507">
        <v>0</v>
      </c>
      <c r="V601" s="507">
        <f>Port[[#This Row],[EAD_Drawn (CNY)]]*Port[[#This Row],[CNY -&gt; FCY]]</f>
        <v>164833.91</v>
      </c>
      <c r="W601" s="507">
        <f>Port[[#This Row],[EAD_Undrawn (CNY)]]*Port[[#This Row],[CNY -&gt; FCY]]</f>
        <v>0</v>
      </c>
      <c r="X601" s="507">
        <f>Port[[#This Row],[EAD (CNY)]]*Port[[#This Row],[CNY -&gt; FCY]]</f>
        <v>164833.91</v>
      </c>
      <c r="Y601" s="507">
        <f>Port[[#This Row],[EAD_Interest (CNY)]]*Port[[#This Row],[CNY -&gt; FCY]]</f>
        <v>0</v>
      </c>
      <c r="Z601" s="507">
        <f>Port[[#This Row],[ECL_Drawn (CNY)]]*Port[[#This Row],[CNY -&gt; FCY]]</f>
        <v>3542.7788509974384</v>
      </c>
      <c r="AA601" s="507">
        <f>Port[[#This Row],[ECL_Undrawn (CNY)]]*Port[[#This Row],[CNY -&gt; FCY]]</f>
        <v>0</v>
      </c>
      <c r="AB601" s="507">
        <f>Port[[#This Row],[ECL (CNY)]]*Port[[#This Row],[CNY -&gt; FCY]]</f>
        <v>3542.7788509974384</v>
      </c>
      <c r="AC601" s="507">
        <f>Port[[#This Row],[ECL_Interest (CNY)]]*Port[[#This Row],[CNY -&gt; FCY]]</f>
        <v>0</v>
      </c>
      <c r="AD601" s="507">
        <f>Port[[#This Row],[EAD_Drawn (CNY)]]*Port[[#This Row],[CNY -&gt; THB]]</f>
        <v>865180.22680800001</v>
      </c>
      <c r="AE601" s="507">
        <f>Port[[#This Row],[EAD_Undrawn (CNY)]]*Port[[#This Row],[CNY -&gt; THB]]</f>
        <v>0</v>
      </c>
      <c r="AF601" s="507">
        <f>Port[[#This Row],[EAD (CNY)]]*Port[[#This Row],[CNY -&gt; THB]]</f>
        <v>865180.22680800001</v>
      </c>
      <c r="AG601" s="507">
        <f>Port[[#This Row],[EAD_Interest (CNY)]]*Port[[#This Row],[CNY -&gt; THB]]</f>
        <v>0</v>
      </c>
      <c r="AH601" s="507">
        <f>Port[[#This Row],[ECL_Drawn (CNY)]]*Port[[#This Row],[CNY -&gt; THB]]</f>
        <v>18595.337633115356</v>
      </c>
      <c r="AI601" s="507">
        <f>Port[[#This Row],[ECL_Undrawn (CNY)]]*Port[[#This Row],[CNY -&gt; THB]]</f>
        <v>0</v>
      </c>
      <c r="AJ601" s="507">
        <f>Port[[#This Row],[ECL (CNY)]]*Port[[#This Row],[CNY -&gt; THB]]</f>
        <v>18595.337633115356</v>
      </c>
      <c r="AK601" s="507">
        <f>Port[[#This Row],[ECL_Interest (CNY)]]*Port[[#This Row],[CNY -&gt; THB]]</f>
        <v>0</v>
      </c>
      <c r="AL601" s="507">
        <f>Port[[#This Row],[EAD (THB)]]*Port[[#This Row],[PD_avg]]</f>
        <v>11285.323794207221</v>
      </c>
      <c r="AM601" s="507">
        <f>Port[[#This Row],[EAD_Interest (THB)]]*Port[[#This Row],[PD_avg]]</f>
        <v>0</v>
      </c>
      <c r="AN601" s="507">
        <f>Port[[#This Row],[EAD (THB)]]*Port[[#This Row],[LGD_avg]]</f>
        <v>1425596.5291176003</v>
      </c>
      <c r="AO601" s="507">
        <f>Port[[#This Row],[EAD_Interest (THB)]]*Port[[#This Row],[LGD_avg]]</f>
        <v>0</v>
      </c>
      <c r="AP601" s="507">
        <f>Port[[#This Row],[EAD_Drawn (THB)]]+Port[[#This Row],[EAD_Interest (THB)]]</f>
        <v>865180.22680800001</v>
      </c>
      <c r="AQ60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18595.337633115356</v>
      </c>
      <c r="AR601" s="522">
        <f>MAX(Port[[#This Row],[ECL (THB)]]+Port[[#This Row],[ECL_Interest (THB)]], Port[[#This Row],[ECL CBIRC (THB)]])</f>
        <v>18595.337633115356</v>
      </c>
    </row>
    <row r="602" spans="1:44">
      <c r="A602" s="2" t="s">
        <v>428</v>
      </c>
      <c r="B602" s="2" t="s">
        <v>382</v>
      </c>
      <c r="C602" s="2" t="s">
        <v>379</v>
      </c>
      <c r="D602" s="2" t="s">
        <v>30</v>
      </c>
      <c r="E602" s="2" t="s">
        <v>19</v>
      </c>
      <c r="F602" s="2" t="s">
        <v>380</v>
      </c>
      <c r="G602" s="2" t="s">
        <v>21</v>
      </c>
      <c r="H602">
        <v>1</v>
      </c>
      <c r="I602" s="2" t="s">
        <v>526</v>
      </c>
      <c r="J602" s="505">
        <v>1.3043899345507868E-2</v>
      </c>
      <c r="K602" s="505">
        <v>0.33046901025052711</v>
      </c>
      <c r="L602" s="3">
        <v>1</v>
      </c>
      <c r="M602" s="3">
        <v>5.2488000000000001</v>
      </c>
      <c r="N602" s="507">
        <v>301782.53000000003</v>
      </c>
      <c r="O602" s="507">
        <v>0</v>
      </c>
      <c r="P602" s="507">
        <v>301782.53000000003</v>
      </c>
      <c r="Q602" s="507">
        <v>0</v>
      </c>
      <c r="R602" s="507">
        <v>1300.8651338062477</v>
      </c>
      <c r="S602" s="507">
        <v>0</v>
      </c>
      <c r="T602" s="507">
        <v>1300.8651338062477</v>
      </c>
      <c r="U602" s="507">
        <v>0</v>
      </c>
      <c r="V602" s="507">
        <f>Port[[#This Row],[EAD_Drawn (CNY)]]*Port[[#This Row],[CNY -&gt; FCY]]</f>
        <v>301782.53000000003</v>
      </c>
      <c r="W602" s="507">
        <f>Port[[#This Row],[EAD_Undrawn (CNY)]]*Port[[#This Row],[CNY -&gt; FCY]]</f>
        <v>0</v>
      </c>
      <c r="X602" s="507">
        <f>Port[[#This Row],[EAD (CNY)]]*Port[[#This Row],[CNY -&gt; FCY]]</f>
        <v>301782.53000000003</v>
      </c>
      <c r="Y602" s="507">
        <f>Port[[#This Row],[EAD_Interest (CNY)]]*Port[[#This Row],[CNY -&gt; FCY]]</f>
        <v>0</v>
      </c>
      <c r="Z602" s="507">
        <f>Port[[#This Row],[ECL_Drawn (CNY)]]*Port[[#This Row],[CNY -&gt; FCY]]</f>
        <v>1300.8651338062477</v>
      </c>
      <c r="AA602" s="507">
        <f>Port[[#This Row],[ECL_Undrawn (CNY)]]*Port[[#This Row],[CNY -&gt; FCY]]</f>
        <v>0</v>
      </c>
      <c r="AB602" s="507">
        <f>Port[[#This Row],[ECL (CNY)]]*Port[[#This Row],[CNY -&gt; FCY]]</f>
        <v>1300.8651338062477</v>
      </c>
      <c r="AC602" s="507">
        <f>Port[[#This Row],[ECL_Interest (CNY)]]*Port[[#This Row],[CNY -&gt; FCY]]</f>
        <v>0</v>
      </c>
      <c r="AD602" s="507">
        <f>Port[[#This Row],[EAD_Drawn (CNY)]]*Port[[#This Row],[CNY -&gt; THB]]</f>
        <v>1583996.1434640002</v>
      </c>
      <c r="AE602" s="507">
        <f>Port[[#This Row],[EAD_Undrawn (CNY)]]*Port[[#This Row],[CNY -&gt; THB]]</f>
        <v>0</v>
      </c>
      <c r="AF602" s="507">
        <f>Port[[#This Row],[EAD (CNY)]]*Port[[#This Row],[CNY -&gt; THB]]</f>
        <v>1583996.1434640002</v>
      </c>
      <c r="AG602" s="507">
        <f>Port[[#This Row],[EAD_Interest (CNY)]]*Port[[#This Row],[CNY -&gt; THB]]</f>
        <v>0</v>
      </c>
      <c r="AH602" s="507">
        <f>Port[[#This Row],[ECL_Drawn (CNY)]]*Port[[#This Row],[CNY -&gt; THB]]</f>
        <v>6827.9809143222337</v>
      </c>
      <c r="AI602" s="507">
        <f>Port[[#This Row],[ECL_Undrawn (CNY)]]*Port[[#This Row],[CNY -&gt; THB]]</f>
        <v>0</v>
      </c>
      <c r="AJ602" s="507">
        <f>Port[[#This Row],[ECL (CNY)]]*Port[[#This Row],[CNY -&gt; THB]]</f>
        <v>6827.9809143222337</v>
      </c>
      <c r="AK602" s="507">
        <f>Port[[#This Row],[ECL_Interest (CNY)]]*Port[[#This Row],[CNY -&gt; THB]]</f>
        <v>0</v>
      </c>
      <c r="AL602" s="507">
        <f>Port[[#This Row],[EAD (THB)]]*Port[[#This Row],[PD_avg]]</f>
        <v>20661.48625901706</v>
      </c>
      <c r="AM602" s="507">
        <f>Port[[#This Row],[EAD_Interest (THB)]]*Port[[#This Row],[PD_avg]]</f>
        <v>0</v>
      </c>
      <c r="AN602" s="507">
        <f>Port[[#This Row],[EAD (THB)]]*Port[[#This Row],[LGD_avg]]</f>
        <v>523461.6377712001</v>
      </c>
      <c r="AO602" s="507">
        <f>Port[[#This Row],[EAD_Interest (THB)]]*Port[[#This Row],[LGD_avg]]</f>
        <v>0</v>
      </c>
      <c r="AP602" s="507">
        <f>Port[[#This Row],[EAD_Drawn (THB)]]+Port[[#This Row],[EAD_Interest (THB)]]</f>
        <v>1583996.1434640002</v>
      </c>
      <c r="AQ60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6827.9809143222337</v>
      </c>
      <c r="AR602" s="522">
        <f>MAX(Port[[#This Row],[ECL (THB)]]+Port[[#This Row],[ECL_Interest (THB)]], Port[[#This Row],[ECL CBIRC (THB)]])</f>
        <v>6827.9809143222337</v>
      </c>
    </row>
    <row r="603" spans="1:44">
      <c r="A603" s="2" t="s">
        <v>429</v>
      </c>
      <c r="B603" s="2" t="s">
        <v>382</v>
      </c>
      <c r="C603" s="2" t="s">
        <v>379</v>
      </c>
      <c r="D603" s="2" t="s">
        <v>30</v>
      </c>
      <c r="E603" s="2" t="s">
        <v>19</v>
      </c>
      <c r="F603" s="2" t="s">
        <v>380</v>
      </c>
      <c r="G603" s="2" t="s">
        <v>21</v>
      </c>
      <c r="H603">
        <v>1</v>
      </c>
      <c r="I603" s="2" t="s">
        <v>526</v>
      </c>
      <c r="J603" s="505">
        <v>1.3043899345507868E-2</v>
      </c>
      <c r="K603" s="505">
        <v>4.2761241993790132E-2</v>
      </c>
      <c r="L603" s="3">
        <v>1</v>
      </c>
      <c r="M603" s="3">
        <v>5.2488000000000001</v>
      </c>
      <c r="N603" s="507">
        <v>110810.86</v>
      </c>
      <c r="O603" s="507">
        <v>0</v>
      </c>
      <c r="P603" s="507">
        <v>110810.86</v>
      </c>
      <c r="Q603" s="507">
        <v>0</v>
      </c>
      <c r="R603" s="507">
        <v>61.807343097747932</v>
      </c>
      <c r="S603" s="507">
        <v>0</v>
      </c>
      <c r="T603" s="507">
        <v>61.807343097747932</v>
      </c>
      <c r="U603" s="507">
        <v>0</v>
      </c>
      <c r="V603" s="507">
        <f>Port[[#This Row],[EAD_Drawn (CNY)]]*Port[[#This Row],[CNY -&gt; FCY]]</f>
        <v>110810.86</v>
      </c>
      <c r="W603" s="507">
        <f>Port[[#This Row],[EAD_Undrawn (CNY)]]*Port[[#This Row],[CNY -&gt; FCY]]</f>
        <v>0</v>
      </c>
      <c r="X603" s="507">
        <f>Port[[#This Row],[EAD (CNY)]]*Port[[#This Row],[CNY -&gt; FCY]]</f>
        <v>110810.86</v>
      </c>
      <c r="Y603" s="507">
        <f>Port[[#This Row],[EAD_Interest (CNY)]]*Port[[#This Row],[CNY -&gt; FCY]]</f>
        <v>0</v>
      </c>
      <c r="Z603" s="507">
        <f>Port[[#This Row],[ECL_Drawn (CNY)]]*Port[[#This Row],[CNY -&gt; FCY]]</f>
        <v>61.807343097747932</v>
      </c>
      <c r="AA603" s="507">
        <f>Port[[#This Row],[ECL_Undrawn (CNY)]]*Port[[#This Row],[CNY -&gt; FCY]]</f>
        <v>0</v>
      </c>
      <c r="AB603" s="507">
        <f>Port[[#This Row],[ECL (CNY)]]*Port[[#This Row],[CNY -&gt; FCY]]</f>
        <v>61.807343097747932</v>
      </c>
      <c r="AC603" s="507">
        <f>Port[[#This Row],[ECL_Interest (CNY)]]*Port[[#This Row],[CNY -&gt; FCY]]</f>
        <v>0</v>
      </c>
      <c r="AD603" s="507">
        <f>Port[[#This Row],[EAD_Drawn (CNY)]]*Port[[#This Row],[CNY -&gt; THB]]</f>
        <v>581624.041968</v>
      </c>
      <c r="AE603" s="507">
        <f>Port[[#This Row],[EAD_Undrawn (CNY)]]*Port[[#This Row],[CNY -&gt; THB]]</f>
        <v>0</v>
      </c>
      <c r="AF603" s="507">
        <f>Port[[#This Row],[EAD (CNY)]]*Port[[#This Row],[CNY -&gt; THB]]</f>
        <v>581624.041968</v>
      </c>
      <c r="AG603" s="507">
        <f>Port[[#This Row],[EAD_Interest (CNY)]]*Port[[#This Row],[CNY -&gt; THB]]</f>
        <v>0</v>
      </c>
      <c r="AH603" s="507">
        <f>Port[[#This Row],[ECL_Drawn (CNY)]]*Port[[#This Row],[CNY -&gt; THB]]</f>
        <v>324.41438245145935</v>
      </c>
      <c r="AI603" s="507">
        <f>Port[[#This Row],[ECL_Undrawn (CNY)]]*Port[[#This Row],[CNY -&gt; THB]]</f>
        <v>0</v>
      </c>
      <c r="AJ603" s="507">
        <f>Port[[#This Row],[ECL (CNY)]]*Port[[#This Row],[CNY -&gt; THB]]</f>
        <v>324.41438245145935</v>
      </c>
      <c r="AK603" s="507">
        <f>Port[[#This Row],[ECL_Interest (CNY)]]*Port[[#This Row],[CNY -&gt; THB]]</f>
        <v>0</v>
      </c>
      <c r="AL603" s="507">
        <f>Port[[#This Row],[EAD (THB)]]*Port[[#This Row],[PD_avg]]</f>
        <v>7586.645460358036</v>
      </c>
      <c r="AM603" s="507">
        <f>Port[[#This Row],[EAD_Interest (THB)]]*Port[[#This Row],[PD_avg]]</f>
        <v>0</v>
      </c>
      <c r="AN603" s="507">
        <f>Port[[#This Row],[EAD (THB)]]*Port[[#This Row],[LGD_avg]]</f>
        <v>24870.966407999997</v>
      </c>
      <c r="AO603" s="507">
        <f>Port[[#This Row],[EAD_Interest (THB)]]*Port[[#This Row],[LGD_avg]]</f>
        <v>0</v>
      </c>
      <c r="AP603" s="507">
        <f>Port[[#This Row],[EAD_Drawn (THB)]]+Port[[#This Row],[EAD_Interest (THB)]]</f>
        <v>581624.041968</v>
      </c>
      <c r="AQ60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324.41438245145935</v>
      </c>
      <c r="AR603" s="522">
        <f>MAX(Port[[#This Row],[ECL (THB)]]+Port[[#This Row],[ECL_Interest (THB)]], Port[[#This Row],[ECL CBIRC (THB)]])</f>
        <v>324.41438245145935</v>
      </c>
    </row>
    <row r="604" spans="1:44">
      <c r="A604" s="2" t="s">
        <v>1287</v>
      </c>
      <c r="B604" s="2" t="s">
        <v>382</v>
      </c>
      <c r="C604" s="2" t="s">
        <v>379</v>
      </c>
      <c r="D604" s="2" t="s">
        <v>30</v>
      </c>
      <c r="E604" s="2" t="s">
        <v>19</v>
      </c>
      <c r="F604" s="2" t="s">
        <v>380</v>
      </c>
      <c r="G604" s="2" t="s">
        <v>21</v>
      </c>
      <c r="H604">
        <v>1</v>
      </c>
      <c r="I604" s="2" t="s">
        <v>526</v>
      </c>
      <c r="J604" s="505">
        <v>1.3043899345507868E-2</v>
      </c>
      <c r="K604" s="505">
        <v>5.1078901783509663</v>
      </c>
      <c r="L604" s="3">
        <v>1</v>
      </c>
      <c r="M604" s="3">
        <v>5.2488000000000001</v>
      </c>
      <c r="N604" s="507">
        <v>5264.9</v>
      </c>
      <c r="O604" s="507">
        <v>0</v>
      </c>
      <c r="P604" s="507">
        <v>5264.9</v>
      </c>
      <c r="Q604" s="507">
        <v>0</v>
      </c>
      <c r="R604" s="507">
        <v>350.78346750995007</v>
      </c>
      <c r="S604" s="507">
        <v>0</v>
      </c>
      <c r="T604" s="507">
        <v>350.78346750995007</v>
      </c>
      <c r="U604" s="507">
        <v>0</v>
      </c>
      <c r="V604" s="507">
        <f>Port[[#This Row],[EAD_Drawn (CNY)]]*Port[[#This Row],[CNY -&gt; FCY]]</f>
        <v>5264.9</v>
      </c>
      <c r="W604" s="507">
        <f>Port[[#This Row],[EAD_Undrawn (CNY)]]*Port[[#This Row],[CNY -&gt; FCY]]</f>
        <v>0</v>
      </c>
      <c r="X604" s="507">
        <f>Port[[#This Row],[EAD (CNY)]]*Port[[#This Row],[CNY -&gt; FCY]]</f>
        <v>5264.9</v>
      </c>
      <c r="Y604" s="507">
        <f>Port[[#This Row],[EAD_Interest (CNY)]]*Port[[#This Row],[CNY -&gt; FCY]]</f>
        <v>0</v>
      </c>
      <c r="Z604" s="507">
        <f>Port[[#This Row],[ECL_Drawn (CNY)]]*Port[[#This Row],[CNY -&gt; FCY]]</f>
        <v>350.78346750995007</v>
      </c>
      <c r="AA604" s="507">
        <f>Port[[#This Row],[ECL_Undrawn (CNY)]]*Port[[#This Row],[CNY -&gt; FCY]]</f>
        <v>0</v>
      </c>
      <c r="AB604" s="507">
        <f>Port[[#This Row],[ECL (CNY)]]*Port[[#This Row],[CNY -&gt; FCY]]</f>
        <v>350.78346750995007</v>
      </c>
      <c r="AC604" s="507">
        <f>Port[[#This Row],[ECL_Interest (CNY)]]*Port[[#This Row],[CNY -&gt; FCY]]</f>
        <v>0</v>
      </c>
      <c r="AD604" s="507">
        <f>Port[[#This Row],[EAD_Drawn (CNY)]]*Port[[#This Row],[CNY -&gt; THB]]</f>
        <v>27634.40712</v>
      </c>
      <c r="AE604" s="507">
        <f>Port[[#This Row],[EAD_Undrawn (CNY)]]*Port[[#This Row],[CNY -&gt; THB]]</f>
        <v>0</v>
      </c>
      <c r="AF604" s="507">
        <f>Port[[#This Row],[EAD (CNY)]]*Port[[#This Row],[CNY -&gt; THB]]</f>
        <v>27634.40712</v>
      </c>
      <c r="AG604" s="507">
        <f>Port[[#This Row],[EAD_Interest (CNY)]]*Port[[#This Row],[CNY -&gt; THB]]</f>
        <v>0</v>
      </c>
      <c r="AH604" s="507">
        <f>Port[[#This Row],[ECL_Drawn (CNY)]]*Port[[#This Row],[CNY -&gt; THB]]</f>
        <v>1841.1922642662259</v>
      </c>
      <c r="AI604" s="507">
        <f>Port[[#This Row],[ECL_Undrawn (CNY)]]*Port[[#This Row],[CNY -&gt; THB]]</f>
        <v>0</v>
      </c>
      <c r="AJ604" s="507">
        <f>Port[[#This Row],[ECL (CNY)]]*Port[[#This Row],[CNY -&gt; THB]]</f>
        <v>1841.1922642662259</v>
      </c>
      <c r="AK604" s="507">
        <f>Port[[#This Row],[ECL_Interest (CNY)]]*Port[[#This Row],[CNY -&gt; THB]]</f>
        <v>0</v>
      </c>
      <c r="AL604" s="507">
        <f>Port[[#This Row],[EAD (THB)]]*Port[[#This Row],[PD_avg]]</f>
        <v>360.46042494606598</v>
      </c>
      <c r="AM604" s="507">
        <f>Port[[#This Row],[EAD_Interest (THB)]]*Port[[#This Row],[PD_avg]]</f>
        <v>0</v>
      </c>
      <c r="AN604" s="507">
        <f>Port[[#This Row],[EAD (THB)]]*Port[[#This Row],[LGD_avg]]</f>
        <v>141153.51671280002</v>
      </c>
      <c r="AO604" s="507">
        <f>Port[[#This Row],[EAD_Interest (THB)]]*Port[[#This Row],[LGD_avg]]</f>
        <v>0</v>
      </c>
      <c r="AP604" s="507">
        <f>Port[[#This Row],[EAD_Drawn (THB)]]+Port[[#This Row],[EAD_Interest (THB)]]</f>
        <v>27634.40712</v>
      </c>
      <c r="AQ60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1841.1922642662259</v>
      </c>
      <c r="AR604" s="522">
        <f>MAX(Port[[#This Row],[ECL (THB)]]+Port[[#This Row],[ECL_Interest (THB)]], Port[[#This Row],[ECL CBIRC (THB)]])</f>
        <v>1841.1922642662259</v>
      </c>
    </row>
    <row r="605" spans="1:44">
      <c r="A605" s="2" t="s">
        <v>1288</v>
      </c>
      <c r="B605" s="2" t="s">
        <v>382</v>
      </c>
      <c r="C605" s="2" t="s">
        <v>379</v>
      </c>
      <c r="D605" s="2" t="s">
        <v>30</v>
      </c>
      <c r="E605" s="2" t="s">
        <v>19</v>
      </c>
      <c r="F605" s="2" t="s">
        <v>380</v>
      </c>
      <c r="G605" s="2" t="s">
        <v>21</v>
      </c>
      <c r="H605">
        <v>1</v>
      </c>
      <c r="I605" s="2" t="s">
        <v>526</v>
      </c>
      <c r="J605" s="505">
        <v>1.3043899345507868E-2</v>
      </c>
      <c r="K605" s="505">
        <v>0.30266420442166636</v>
      </c>
      <c r="L605" s="3">
        <v>1</v>
      </c>
      <c r="M605" s="3">
        <v>5.2488000000000001</v>
      </c>
      <c r="N605" s="507">
        <v>29880.59</v>
      </c>
      <c r="O605" s="507">
        <v>0</v>
      </c>
      <c r="P605" s="507">
        <v>29880.59</v>
      </c>
      <c r="Q605" s="507">
        <v>0</v>
      </c>
      <c r="R605" s="507">
        <v>117.96622124241387</v>
      </c>
      <c r="S605" s="507">
        <v>0</v>
      </c>
      <c r="T605" s="507">
        <v>117.96622124241387</v>
      </c>
      <c r="U605" s="507">
        <v>0</v>
      </c>
      <c r="V605" s="507">
        <f>Port[[#This Row],[EAD_Drawn (CNY)]]*Port[[#This Row],[CNY -&gt; FCY]]</f>
        <v>29880.59</v>
      </c>
      <c r="W605" s="507">
        <f>Port[[#This Row],[EAD_Undrawn (CNY)]]*Port[[#This Row],[CNY -&gt; FCY]]</f>
        <v>0</v>
      </c>
      <c r="X605" s="507">
        <f>Port[[#This Row],[EAD (CNY)]]*Port[[#This Row],[CNY -&gt; FCY]]</f>
        <v>29880.59</v>
      </c>
      <c r="Y605" s="507">
        <f>Port[[#This Row],[EAD_Interest (CNY)]]*Port[[#This Row],[CNY -&gt; FCY]]</f>
        <v>0</v>
      </c>
      <c r="Z605" s="507">
        <f>Port[[#This Row],[ECL_Drawn (CNY)]]*Port[[#This Row],[CNY -&gt; FCY]]</f>
        <v>117.96622124241387</v>
      </c>
      <c r="AA605" s="507">
        <f>Port[[#This Row],[ECL_Undrawn (CNY)]]*Port[[#This Row],[CNY -&gt; FCY]]</f>
        <v>0</v>
      </c>
      <c r="AB605" s="507">
        <f>Port[[#This Row],[ECL (CNY)]]*Port[[#This Row],[CNY -&gt; FCY]]</f>
        <v>117.96622124241387</v>
      </c>
      <c r="AC605" s="507">
        <f>Port[[#This Row],[ECL_Interest (CNY)]]*Port[[#This Row],[CNY -&gt; FCY]]</f>
        <v>0</v>
      </c>
      <c r="AD605" s="507">
        <f>Port[[#This Row],[EAD_Drawn (CNY)]]*Port[[#This Row],[CNY -&gt; THB]]</f>
        <v>156837.240792</v>
      </c>
      <c r="AE605" s="507">
        <f>Port[[#This Row],[EAD_Undrawn (CNY)]]*Port[[#This Row],[CNY -&gt; THB]]</f>
        <v>0</v>
      </c>
      <c r="AF605" s="507">
        <f>Port[[#This Row],[EAD (CNY)]]*Port[[#This Row],[CNY -&gt; THB]]</f>
        <v>156837.240792</v>
      </c>
      <c r="AG605" s="507">
        <f>Port[[#This Row],[EAD_Interest (CNY)]]*Port[[#This Row],[CNY -&gt; THB]]</f>
        <v>0</v>
      </c>
      <c r="AH605" s="507">
        <f>Port[[#This Row],[ECL_Drawn (CNY)]]*Port[[#This Row],[CNY -&gt; THB]]</f>
        <v>619.18110205718187</v>
      </c>
      <c r="AI605" s="507">
        <f>Port[[#This Row],[ECL_Undrawn (CNY)]]*Port[[#This Row],[CNY -&gt; THB]]</f>
        <v>0</v>
      </c>
      <c r="AJ605" s="507">
        <f>Port[[#This Row],[ECL (CNY)]]*Port[[#This Row],[CNY -&gt; THB]]</f>
        <v>619.18110205718187</v>
      </c>
      <c r="AK605" s="507">
        <f>Port[[#This Row],[ECL_Interest (CNY)]]*Port[[#This Row],[CNY -&gt; THB]]</f>
        <v>0</v>
      </c>
      <c r="AL605" s="507">
        <f>Port[[#This Row],[EAD (THB)]]*Port[[#This Row],[PD_avg]]</f>
        <v>2045.7691825180286</v>
      </c>
      <c r="AM605" s="507">
        <f>Port[[#This Row],[EAD_Interest (THB)]]*Port[[#This Row],[PD_avg]]</f>
        <v>0</v>
      </c>
      <c r="AN605" s="507">
        <f>Port[[#This Row],[EAD (THB)]]*Port[[#This Row],[LGD_avg]]</f>
        <v>47469.018707999996</v>
      </c>
      <c r="AO605" s="507">
        <f>Port[[#This Row],[EAD_Interest (THB)]]*Port[[#This Row],[LGD_avg]]</f>
        <v>0</v>
      </c>
      <c r="AP605" s="507">
        <f>Port[[#This Row],[EAD_Drawn (THB)]]+Port[[#This Row],[EAD_Interest (THB)]]</f>
        <v>156837.240792</v>
      </c>
      <c r="AQ60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619.18110205718187</v>
      </c>
      <c r="AR605" s="522">
        <f>MAX(Port[[#This Row],[ECL (THB)]]+Port[[#This Row],[ECL_Interest (THB)]], Port[[#This Row],[ECL CBIRC (THB)]])</f>
        <v>619.18110205718187</v>
      </c>
    </row>
    <row r="606" spans="1:44">
      <c r="A606" s="2" t="s">
        <v>1289</v>
      </c>
      <c r="B606" s="2" t="s">
        <v>382</v>
      </c>
      <c r="C606" s="2" t="s">
        <v>379</v>
      </c>
      <c r="D606" s="2" t="s">
        <v>30</v>
      </c>
      <c r="E606" s="2" t="s">
        <v>19</v>
      </c>
      <c r="F606" s="2" t="s">
        <v>380</v>
      </c>
      <c r="G606" s="2" t="s">
        <v>21</v>
      </c>
      <c r="H606">
        <v>1</v>
      </c>
      <c r="I606" s="2" t="s">
        <v>526</v>
      </c>
      <c r="J606" s="505">
        <v>1.3043899345507868E-2</v>
      </c>
      <c r="K606" s="505">
        <v>5.0208834022480643E-2</v>
      </c>
      <c r="L606" s="3">
        <v>1</v>
      </c>
      <c r="M606" s="3">
        <v>5.2488000000000001</v>
      </c>
      <c r="N606" s="507">
        <v>10048.65</v>
      </c>
      <c r="O606" s="507">
        <v>0</v>
      </c>
      <c r="P606" s="507">
        <v>10048.65</v>
      </c>
      <c r="Q606" s="507">
        <v>0</v>
      </c>
      <c r="R606" s="507">
        <v>6.5810515806884311</v>
      </c>
      <c r="S606" s="507">
        <v>0</v>
      </c>
      <c r="T606" s="507">
        <v>6.5810515806884311</v>
      </c>
      <c r="U606" s="507">
        <v>0</v>
      </c>
      <c r="V606" s="507">
        <f>Port[[#This Row],[EAD_Drawn (CNY)]]*Port[[#This Row],[CNY -&gt; FCY]]</f>
        <v>10048.65</v>
      </c>
      <c r="W606" s="507">
        <f>Port[[#This Row],[EAD_Undrawn (CNY)]]*Port[[#This Row],[CNY -&gt; FCY]]</f>
        <v>0</v>
      </c>
      <c r="X606" s="507">
        <f>Port[[#This Row],[EAD (CNY)]]*Port[[#This Row],[CNY -&gt; FCY]]</f>
        <v>10048.65</v>
      </c>
      <c r="Y606" s="507">
        <f>Port[[#This Row],[EAD_Interest (CNY)]]*Port[[#This Row],[CNY -&gt; FCY]]</f>
        <v>0</v>
      </c>
      <c r="Z606" s="507">
        <f>Port[[#This Row],[ECL_Drawn (CNY)]]*Port[[#This Row],[CNY -&gt; FCY]]</f>
        <v>6.5810515806884311</v>
      </c>
      <c r="AA606" s="507">
        <f>Port[[#This Row],[ECL_Undrawn (CNY)]]*Port[[#This Row],[CNY -&gt; FCY]]</f>
        <v>0</v>
      </c>
      <c r="AB606" s="507">
        <f>Port[[#This Row],[ECL (CNY)]]*Port[[#This Row],[CNY -&gt; FCY]]</f>
        <v>6.5810515806884311</v>
      </c>
      <c r="AC606" s="507">
        <f>Port[[#This Row],[ECL_Interest (CNY)]]*Port[[#This Row],[CNY -&gt; FCY]]</f>
        <v>0</v>
      </c>
      <c r="AD606" s="507">
        <f>Port[[#This Row],[EAD_Drawn (CNY)]]*Port[[#This Row],[CNY -&gt; THB]]</f>
        <v>52743.354119999996</v>
      </c>
      <c r="AE606" s="507">
        <f>Port[[#This Row],[EAD_Undrawn (CNY)]]*Port[[#This Row],[CNY -&gt; THB]]</f>
        <v>0</v>
      </c>
      <c r="AF606" s="507">
        <f>Port[[#This Row],[EAD (CNY)]]*Port[[#This Row],[CNY -&gt; THB]]</f>
        <v>52743.354119999996</v>
      </c>
      <c r="AG606" s="507">
        <f>Port[[#This Row],[EAD_Interest (CNY)]]*Port[[#This Row],[CNY -&gt; THB]]</f>
        <v>0</v>
      </c>
      <c r="AH606" s="507">
        <f>Port[[#This Row],[ECL_Drawn (CNY)]]*Port[[#This Row],[CNY -&gt; THB]]</f>
        <v>34.542623536717436</v>
      </c>
      <c r="AI606" s="507">
        <f>Port[[#This Row],[ECL_Undrawn (CNY)]]*Port[[#This Row],[CNY -&gt; THB]]</f>
        <v>0</v>
      </c>
      <c r="AJ606" s="507">
        <f>Port[[#This Row],[ECL (CNY)]]*Port[[#This Row],[CNY -&gt; THB]]</f>
        <v>34.542623536717436</v>
      </c>
      <c r="AK606" s="507">
        <f>Port[[#This Row],[ECL_Interest (CNY)]]*Port[[#This Row],[CNY -&gt; THB]]</f>
        <v>0</v>
      </c>
      <c r="AL606" s="507">
        <f>Port[[#This Row],[EAD (THB)]]*Port[[#This Row],[PD_avg]]</f>
        <v>687.9790022857577</v>
      </c>
      <c r="AM606" s="507">
        <f>Port[[#This Row],[EAD_Interest (THB)]]*Port[[#This Row],[PD_avg]]</f>
        <v>0</v>
      </c>
      <c r="AN606" s="507">
        <f>Port[[#This Row],[EAD (THB)]]*Port[[#This Row],[LGD_avg]]</f>
        <v>2648.1823128000005</v>
      </c>
      <c r="AO606" s="507">
        <f>Port[[#This Row],[EAD_Interest (THB)]]*Port[[#This Row],[LGD_avg]]</f>
        <v>0</v>
      </c>
      <c r="AP606" s="507">
        <f>Port[[#This Row],[EAD_Drawn (THB)]]+Port[[#This Row],[EAD_Interest (THB)]]</f>
        <v>52743.354119999996</v>
      </c>
      <c r="AQ60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34.542623536717436</v>
      </c>
      <c r="AR606" s="522">
        <f>MAX(Port[[#This Row],[ECL (THB)]]+Port[[#This Row],[ECL_Interest (THB)]], Port[[#This Row],[ECL CBIRC (THB)]])</f>
        <v>34.542623536717436</v>
      </c>
    </row>
    <row r="607" spans="1:44">
      <c r="A607" s="2" t="s">
        <v>1290</v>
      </c>
      <c r="B607" s="2" t="s">
        <v>382</v>
      </c>
      <c r="C607" s="2" t="s">
        <v>379</v>
      </c>
      <c r="D607" s="2" t="s">
        <v>30</v>
      </c>
      <c r="E607" s="2" t="s">
        <v>19</v>
      </c>
      <c r="F607" s="2" t="s">
        <v>380</v>
      </c>
      <c r="G607" s="2" t="s">
        <v>21</v>
      </c>
      <c r="H607">
        <v>1</v>
      </c>
      <c r="I607" s="2" t="s">
        <v>526</v>
      </c>
      <c r="J607" s="505">
        <v>1.3043899345507868E-2</v>
      </c>
      <c r="K607" s="505">
        <v>2619.7569221712838</v>
      </c>
      <c r="L607" s="3">
        <v>1</v>
      </c>
      <c r="M607" s="3">
        <v>5.2488000000000001</v>
      </c>
      <c r="N607" s="507">
        <v>560.59</v>
      </c>
      <c r="O607" s="507">
        <v>0</v>
      </c>
      <c r="P607" s="507">
        <v>560.59</v>
      </c>
      <c r="Q607" s="507">
        <v>0</v>
      </c>
      <c r="R607" s="507">
        <v>19156.394926305318</v>
      </c>
      <c r="S607" s="507">
        <v>0</v>
      </c>
      <c r="T607" s="507">
        <v>19156.394926305318</v>
      </c>
      <c r="U607" s="507">
        <v>0</v>
      </c>
      <c r="V607" s="507">
        <f>Port[[#This Row],[EAD_Drawn (CNY)]]*Port[[#This Row],[CNY -&gt; FCY]]</f>
        <v>560.59</v>
      </c>
      <c r="W607" s="507">
        <f>Port[[#This Row],[EAD_Undrawn (CNY)]]*Port[[#This Row],[CNY -&gt; FCY]]</f>
        <v>0</v>
      </c>
      <c r="X607" s="507">
        <f>Port[[#This Row],[EAD (CNY)]]*Port[[#This Row],[CNY -&gt; FCY]]</f>
        <v>560.59</v>
      </c>
      <c r="Y607" s="507">
        <f>Port[[#This Row],[EAD_Interest (CNY)]]*Port[[#This Row],[CNY -&gt; FCY]]</f>
        <v>0</v>
      </c>
      <c r="Z607" s="507">
        <f>Port[[#This Row],[ECL_Drawn (CNY)]]*Port[[#This Row],[CNY -&gt; FCY]]</f>
        <v>19156.394926305318</v>
      </c>
      <c r="AA607" s="507">
        <f>Port[[#This Row],[ECL_Undrawn (CNY)]]*Port[[#This Row],[CNY -&gt; FCY]]</f>
        <v>0</v>
      </c>
      <c r="AB607" s="507">
        <f>Port[[#This Row],[ECL (CNY)]]*Port[[#This Row],[CNY -&gt; FCY]]</f>
        <v>19156.394926305318</v>
      </c>
      <c r="AC607" s="507">
        <f>Port[[#This Row],[ECL_Interest (CNY)]]*Port[[#This Row],[CNY -&gt; FCY]]</f>
        <v>0</v>
      </c>
      <c r="AD607" s="507">
        <f>Port[[#This Row],[EAD_Drawn (CNY)]]*Port[[#This Row],[CNY -&gt; THB]]</f>
        <v>2942.4247920000003</v>
      </c>
      <c r="AE607" s="507">
        <f>Port[[#This Row],[EAD_Undrawn (CNY)]]*Port[[#This Row],[CNY -&gt; THB]]</f>
        <v>0</v>
      </c>
      <c r="AF607" s="507">
        <f>Port[[#This Row],[EAD (CNY)]]*Port[[#This Row],[CNY -&gt; THB]]</f>
        <v>2942.4247920000003</v>
      </c>
      <c r="AG607" s="507">
        <f>Port[[#This Row],[EAD_Interest (CNY)]]*Port[[#This Row],[CNY -&gt; THB]]</f>
        <v>0</v>
      </c>
      <c r="AH607" s="507">
        <f>Port[[#This Row],[ECL_Drawn (CNY)]]*Port[[#This Row],[CNY -&gt; THB]]</f>
        <v>100548.08568919136</v>
      </c>
      <c r="AI607" s="507">
        <f>Port[[#This Row],[ECL_Undrawn (CNY)]]*Port[[#This Row],[CNY -&gt; THB]]</f>
        <v>0</v>
      </c>
      <c r="AJ607" s="507">
        <f>Port[[#This Row],[ECL (CNY)]]*Port[[#This Row],[CNY -&gt; THB]]</f>
        <v>100548.08568919136</v>
      </c>
      <c r="AK607" s="507">
        <f>Port[[#This Row],[ECL_Interest (CNY)]]*Port[[#This Row],[CNY -&gt; THB]]</f>
        <v>0</v>
      </c>
      <c r="AL607" s="507">
        <f>Port[[#This Row],[EAD (THB)]]*Port[[#This Row],[PD_avg]]</f>
        <v>38.380692818574929</v>
      </c>
      <c r="AM607" s="507">
        <f>Port[[#This Row],[EAD_Interest (THB)]]*Port[[#This Row],[PD_avg]]</f>
        <v>0</v>
      </c>
      <c r="AN607" s="507">
        <f>Port[[#This Row],[EAD (THB)]]*Port[[#This Row],[LGD_avg]]</f>
        <v>7708437.7168104006</v>
      </c>
      <c r="AO607" s="507">
        <f>Port[[#This Row],[EAD_Interest (THB)]]*Port[[#This Row],[LGD_avg]]</f>
        <v>0</v>
      </c>
      <c r="AP607" s="507">
        <f>Port[[#This Row],[EAD_Drawn (THB)]]+Port[[#This Row],[EAD_Interest (THB)]]</f>
        <v>2942.4247920000003</v>
      </c>
      <c r="AQ60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100548.08568919136</v>
      </c>
      <c r="AR607" s="522">
        <f>MAX(Port[[#This Row],[ECL (THB)]]+Port[[#This Row],[ECL_Interest (THB)]], Port[[#This Row],[ECL CBIRC (THB)]])</f>
        <v>100548.08568919136</v>
      </c>
    </row>
    <row r="608" spans="1:44">
      <c r="A608" s="2" t="s">
        <v>1291</v>
      </c>
      <c r="B608" s="2" t="s">
        <v>382</v>
      </c>
      <c r="C608" s="2" t="s">
        <v>379</v>
      </c>
      <c r="D608" s="2" t="s">
        <v>30</v>
      </c>
      <c r="E608" s="2" t="s">
        <v>19</v>
      </c>
      <c r="F608" s="2" t="s">
        <v>380</v>
      </c>
      <c r="G608" s="2" t="s">
        <v>21</v>
      </c>
      <c r="H608">
        <v>1</v>
      </c>
      <c r="I608" s="2" t="s">
        <v>526</v>
      </c>
      <c r="J608" s="505">
        <v>1.3043899345507868E-2</v>
      </c>
      <c r="K608" s="505">
        <v>1.8130817294647101</v>
      </c>
      <c r="L608" s="3">
        <v>1</v>
      </c>
      <c r="M608" s="3">
        <v>5.2488000000000001</v>
      </c>
      <c r="N608" s="507">
        <v>1631788.37</v>
      </c>
      <c r="O608" s="507">
        <v>0</v>
      </c>
      <c r="P608" s="507">
        <v>1631788.37</v>
      </c>
      <c r="Q608" s="507">
        <v>0</v>
      </c>
      <c r="R608" s="507">
        <v>38591.232936994049</v>
      </c>
      <c r="S608" s="507">
        <v>0</v>
      </c>
      <c r="T608" s="507">
        <v>38591.232936994049</v>
      </c>
      <c r="U608" s="507">
        <v>0</v>
      </c>
      <c r="V608" s="507">
        <f>Port[[#This Row],[EAD_Drawn (CNY)]]*Port[[#This Row],[CNY -&gt; FCY]]</f>
        <v>1631788.37</v>
      </c>
      <c r="W608" s="507">
        <f>Port[[#This Row],[EAD_Undrawn (CNY)]]*Port[[#This Row],[CNY -&gt; FCY]]</f>
        <v>0</v>
      </c>
      <c r="X608" s="507">
        <f>Port[[#This Row],[EAD (CNY)]]*Port[[#This Row],[CNY -&gt; FCY]]</f>
        <v>1631788.37</v>
      </c>
      <c r="Y608" s="507">
        <f>Port[[#This Row],[EAD_Interest (CNY)]]*Port[[#This Row],[CNY -&gt; FCY]]</f>
        <v>0</v>
      </c>
      <c r="Z608" s="507">
        <f>Port[[#This Row],[ECL_Drawn (CNY)]]*Port[[#This Row],[CNY -&gt; FCY]]</f>
        <v>38591.232936994049</v>
      </c>
      <c r="AA608" s="507">
        <f>Port[[#This Row],[ECL_Undrawn (CNY)]]*Port[[#This Row],[CNY -&gt; FCY]]</f>
        <v>0</v>
      </c>
      <c r="AB608" s="507">
        <f>Port[[#This Row],[ECL (CNY)]]*Port[[#This Row],[CNY -&gt; FCY]]</f>
        <v>38591.232936994049</v>
      </c>
      <c r="AC608" s="507">
        <f>Port[[#This Row],[ECL_Interest (CNY)]]*Port[[#This Row],[CNY -&gt; FCY]]</f>
        <v>0</v>
      </c>
      <c r="AD608" s="507">
        <f>Port[[#This Row],[EAD_Drawn (CNY)]]*Port[[#This Row],[CNY -&gt; THB]]</f>
        <v>8564930.7964560017</v>
      </c>
      <c r="AE608" s="507">
        <f>Port[[#This Row],[EAD_Undrawn (CNY)]]*Port[[#This Row],[CNY -&gt; THB]]</f>
        <v>0</v>
      </c>
      <c r="AF608" s="507">
        <f>Port[[#This Row],[EAD (CNY)]]*Port[[#This Row],[CNY -&gt; THB]]</f>
        <v>8564930.7964560017</v>
      </c>
      <c r="AG608" s="507">
        <f>Port[[#This Row],[EAD_Interest (CNY)]]*Port[[#This Row],[CNY -&gt; THB]]</f>
        <v>0</v>
      </c>
      <c r="AH608" s="507">
        <f>Port[[#This Row],[ECL_Drawn (CNY)]]*Port[[#This Row],[CNY -&gt; THB]]</f>
        <v>202557.66343969436</v>
      </c>
      <c r="AI608" s="507">
        <f>Port[[#This Row],[ECL_Undrawn (CNY)]]*Port[[#This Row],[CNY -&gt; THB]]</f>
        <v>0</v>
      </c>
      <c r="AJ608" s="507">
        <f>Port[[#This Row],[ECL (CNY)]]*Port[[#This Row],[CNY -&gt; THB]]</f>
        <v>202557.66343969436</v>
      </c>
      <c r="AK608" s="507">
        <f>Port[[#This Row],[ECL_Interest (CNY)]]*Port[[#This Row],[CNY -&gt; THB]]</f>
        <v>0</v>
      </c>
      <c r="AL608" s="507">
        <f>Port[[#This Row],[EAD (THB)]]*Port[[#This Row],[PD_avg]]</f>
        <v>111720.09521021263</v>
      </c>
      <c r="AM608" s="507">
        <f>Port[[#This Row],[EAD_Interest (THB)]]*Port[[#This Row],[PD_avg]]</f>
        <v>0</v>
      </c>
      <c r="AN608" s="507">
        <f>Port[[#This Row],[EAD (THB)]]*Port[[#This Row],[LGD_avg]]</f>
        <v>15528919.541184004</v>
      </c>
      <c r="AO608" s="507">
        <f>Port[[#This Row],[EAD_Interest (THB)]]*Port[[#This Row],[LGD_avg]]</f>
        <v>0</v>
      </c>
      <c r="AP608" s="507">
        <f>Port[[#This Row],[EAD_Drawn (THB)]]+Port[[#This Row],[EAD_Interest (THB)]]</f>
        <v>8564930.7964560017</v>
      </c>
      <c r="AQ60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202557.66343969436</v>
      </c>
      <c r="AR608" s="522">
        <f>MAX(Port[[#This Row],[ECL (THB)]]+Port[[#This Row],[ECL_Interest (THB)]], Port[[#This Row],[ECL CBIRC (THB)]])</f>
        <v>202557.66343969436</v>
      </c>
    </row>
    <row r="609" spans="1:44">
      <c r="A609" s="2" t="s">
        <v>1292</v>
      </c>
      <c r="B609" s="2" t="s">
        <v>382</v>
      </c>
      <c r="C609" s="2" t="s">
        <v>379</v>
      </c>
      <c r="D609" s="2" t="s">
        <v>30</v>
      </c>
      <c r="E609" s="2" t="s">
        <v>19</v>
      </c>
      <c r="F609" s="2" t="s">
        <v>380</v>
      </c>
      <c r="G609" s="2" t="s">
        <v>21</v>
      </c>
      <c r="H609">
        <v>1</v>
      </c>
      <c r="I609" s="2" t="s">
        <v>526</v>
      </c>
      <c r="J609" s="505">
        <v>1.3043899345507868E-2</v>
      </c>
      <c r="K609" s="505">
        <v>5.9173122024453418E-3</v>
      </c>
      <c r="L609" s="3">
        <v>1</v>
      </c>
      <c r="M609" s="3">
        <v>5.2488000000000001</v>
      </c>
      <c r="N609" s="507">
        <v>3287295.2</v>
      </c>
      <c r="O609" s="507">
        <v>0</v>
      </c>
      <c r="P609" s="507">
        <v>3287295.2</v>
      </c>
      <c r="Q609" s="507">
        <v>0</v>
      </c>
      <c r="R609" s="507">
        <v>253.72930396165049</v>
      </c>
      <c r="S609" s="507">
        <v>0</v>
      </c>
      <c r="T609" s="507">
        <v>253.72930396165049</v>
      </c>
      <c r="U609" s="507">
        <v>0</v>
      </c>
      <c r="V609" s="507">
        <f>Port[[#This Row],[EAD_Drawn (CNY)]]*Port[[#This Row],[CNY -&gt; FCY]]</f>
        <v>3287295.2</v>
      </c>
      <c r="W609" s="507">
        <f>Port[[#This Row],[EAD_Undrawn (CNY)]]*Port[[#This Row],[CNY -&gt; FCY]]</f>
        <v>0</v>
      </c>
      <c r="X609" s="507">
        <f>Port[[#This Row],[EAD (CNY)]]*Port[[#This Row],[CNY -&gt; FCY]]</f>
        <v>3287295.2</v>
      </c>
      <c r="Y609" s="507">
        <f>Port[[#This Row],[EAD_Interest (CNY)]]*Port[[#This Row],[CNY -&gt; FCY]]</f>
        <v>0</v>
      </c>
      <c r="Z609" s="507">
        <f>Port[[#This Row],[ECL_Drawn (CNY)]]*Port[[#This Row],[CNY -&gt; FCY]]</f>
        <v>253.72930396165049</v>
      </c>
      <c r="AA609" s="507">
        <f>Port[[#This Row],[ECL_Undrawn (CNY)]]*Port[[#This Row],[CNY -&gt; FCY]]</f>
        <v>0</v>
      </c>
      <c r="AB609" s="507">
        <f>Port[[#This Row],[ECL (CNY)]]*Port[[#This Row],[CNY -&gt; FCY]]</f>
        <v>253.72930396165049</v>
      </c>
      <c r="AC609" s="507">
        <f>Port[[#This Row],[ECL_Interest (CNY)]]*Port[[#This Row],[CNY -&gt; FCY]]</f>
        <v>0</v>
      </c>
      <c r="AD609" s="507">
        <f>Port[[#This Row],[EAD_Drawn (CNY)]]*Port[[#This Row],[CNY -&gt; THB]]</f>
        <v>17254355.045760002</v>
      </c>
      <c r="AE609" s="507">
        <f>Port[[#This Row],[EAD_Undrawn (CNY)]]*Port[[#This Row],[CNY -&gt; THB]]</f>
        <v>0</v>
      </c>
      <c r="AF609" s="507">
        <f>Port[[#This Row],[EAD (CNY)]]*Port[[#This Row],[CNY -&gt; THB]]</f>
        <v>17254355.045760002</v>
      </c>
      <c r="AG609" s="507">
        <f>Port[[#This Row],[EAD_Interest (CNY)]]*Port[[#This Row],[CNY -&gt; THB]]</f>
        <v>0</v>
      </c>
      <c r="AH609" s="507">
        <f>Port[[#This Row],[ECL_Drawn (CNY)]]*Port[[#This Row],[CNY -&gt; THB]]</f>
        <v>1331.7743706339111</v>
      </c>
      <c r="AI609" s="507">
        <f>Port[[#This Row],[ECL_Undrawn (CNY)]]*Port[[#This Row],[CNY -&gt; THB]]</f>
        <v>0</v>
      </c>
      <c r="AJ609" s="507">
        <f>Port[[#This Row],[ECL (CNY)]]*Port[[#This Row],[CNY -&gt; THB]]</f>
        <v>1331.7743706339111</v>
      </c>
      <c r="AK609" s="507">
        <f>Port[[#This Row],[ECL_Interest (CNY)]]*Port[[#This Row],[CNY -&gt; THB]]</f>
        <v>0</v>
      </c>
      <c r="AL609" s="507">
        <f>Port[[#This Row],[EAD (THB)]]*Port[[#This Row],[PD_avg]]</f>
        <v>225064.07048854927</v>
      </c>
      <c r="AM609" s="507">
        <f>Port[[#This Row],[EAD_Interest (THB)]]*Port[[#This Row],[PD_avg]]</f>
        <v>0</v>
      </c>
      <c r="AN609" s="507">
        <f>Port[[#This Row],[EAD (THB)]]*Port[[#This Row],[LGD_avg]]</f>
        <v>102099.40565760001</v>
      </c>
      <c r="AO609" s="507">
        <f>Port[[#This Row],[EAD_Interest (THB)]]*Port[[#This Row],[LGD_avg]]</f>
        <v>0</v>
      </c>
      <c r="AP609" s="507">
        <f>Port[[#This Row],[EAD_Drawn (THB)]]+Port[[#This Row],[EAD_Interest (THB)]]</f>
        <v>17254355.045760002</v>
      </c>
      <c r="AQ60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1331.7743706339111</v>
      </c>
      <c r="AR609" s="522">
        <f>MAX(Port[[#This Row],[ECL (THB)]]+Port[[#This Row],[ECL_Interest (THB)]], Port[[#This Row],[ECL CBIRC (THB)]])</f>
        <v>1331.7743706339111</v>
      </c>
    </row>
    <row r="610" spans="1:44">
      <c r="A610" s="2" t="s">
        <v>1293</v>
      </c>
      <c r="B610" s="2" t="s">
        <v>382</v>
      </c>
      <c r="C610" s="2" t="s">
        <v>379</v>
      </c>
      <c r="D610" s="2" t="s">
        <v>30</v>
      </c>
      <c r="E610" s="2" t="s">
        <v>19</v>
      </c>
      <c r="F610" s="2" t="s">
        <v>380</v>
      </c>
      <c r="G610" s="2" t="s">
        <v>21</v>
      </c>
      <c r="H610">
        <v>1</v>
      </c>
      <c r="I610" s="2" t="s">
        <v>526</v>
      </c>
      <c r="J610" s="505">
        <v>1.3043899345507868E-2</v>
      </c>
      <c r="K610" s="505">
        <v>44.631519880369858</v>
      </c>
      <c r="L610" s="3">
        <v>1</v>
      </c>
      <c r="M610" s="3">
        <v>5.2488000000000001</v>
      </c>
      <c r="N610" s="507">
        <v>21613.279999999999</v>
      </c>
      <c r="O610" s="507">
        <v>0</v>
      </c>
      <c r="P610" s="507">
        <v>21613.279999999999</v>
      </c>
      <c r="Q610" s="507">
        <v>0</v>
      </c>
      <c r="R610" s="507">
        <v>12582.582748885343</v>
      </c>
      <c r="S610" s="507">
        <v>0</v>
      </c>
      <c r="T610" s="507">
        <v>12582.582748885343</v>
      </c>
      <c r="U610" s="507">
        <v>0</v>
      </c>
      <c r="V610" s="507">
        <f>Port[[#This Row],[EAD_Drawn (CNY)]]*Port[[#This Row],[CNY -&gt; FCY]]</f>
        <v>21613.279999999999</v>
      </c>
      <c r="W610" s="507">
        <f>Port[[#This Row],[EAD_Undrawn (CNY)]]*Port[[#This Row],[CNY -&gt; FCY]]</f>
        <v>0</v>
      </c>
      <c r="X610" s="507">
        <f>Port[[#This Row],[EAD (CNY)]]*Port[[#This Row],[CNY -&gt; FCY]]</f>
        <v>21613.279999999999</v>
      </c>
      <c r="Y610" s="507">
        <f>Port[[#This Row],[EAD_Interest (CNY)]]*Port[[#This Row],[CNY -&gt; FCY]]</f>
        <v>0</v>
      </c>
      <c r="Z610" s="507">
        <f>Port[[#This Row],[ECL_Drawn (CNY)]]*Port[[#This Row],[CNY -&gt; FCY]]</f>
        <v>12582.582748885343</v>
      </c>
      <c r="AA610" s="507">
        <f>Port[[#This Row],[ECL_Undrawn (CNY)]]*Port[[#This Row],[CNY -&gt; FCY]]</f>
        <v>0</v>
      </c>
      <c r="AB610" s="507">
        <f>Port[[#This Row],[ECL (CNY)]]*Port[[#This Row],[CNY -&gt; FCY]]</f>
        <v>12582.582748885343</v>
      </c>
      <c r="AC610" s="507">
        <f>Port[[#This Row],[ECL_Interest (CNY)]]*Port[[#This Row],[CNY -&gt; FCY]]</f>
        <v>0</v>
      </c>
      <c r="AD610" s="507">
        <f>Port[[#This Row],[EAD_Drawn (CNY)]]*Port[[#This Row],[CNY -&gt; THB]]</f>
        <v>113443.78406399999</v>
      </c>
      <c r="AE610" s="507">
        <f>Port[[#This Row],[EAD_Undrawn (CNY)]]*Port[[#This Row],[CNY -&gt; THB]]</f>
        <v>0</v>
      </c>
      <c r="AF610" s="507">
        <f>Port[[#This Row],[EAD (CNY)]]*Port[[#This Row],[CNY -&gt; THB]]</f>
        <v>113443.78406399999</v>
      </c>
      <c r="AG610" s="507">
        <f>Port[[#This Row],[EAD_Interest (CNY)]]*Port[[#This Row],[CNY -&gt; THB]]</f>
        <v>0</v>
      </c>
      <c r="AH610" s="507">
        <f>Port[[#This Row],[ECL_Drawn (CNY)]]*Port[[#This Row],[CNY -&gt; THB]]</f>
        <v>66043.460332349394</v>
      </c>
      <c r="AI610" s="507">
        <f>Port[[#This Row],[ECL_Undrawn (CNY)]]*Port[[#This Row],[CNY -&gt; THB]]</f>
        <v>0</v>
      </c>
      <c r="AJ610" s="507">
        <f>Port[[#This Row],[ECL (CNY)]]*Port[[#This Row],[CNY -&gt; THB]]</f>
        <v>66043.460332349394</v>
      </c>
      <c r="AK610" s="507">
        <f>Port[[#This Row],[ECL_Interest (CNY)]]*Port[[#This Row],[CNY -&gt; THB]]</f>
        <v>0</v>
      </c>
      <c r="AL610" s="507">
        <f>Port[[#This Row],[EAD (THB)]]*Port[[#This Row],[PD_avg]]</f>
        <v>1479.7493007043454</v>
      </c>
      <c r="AM610" s="507">
        <f>Port[[#This Row],[EAD_Interest (THB)]]*Port[[#This Row],[PD_avg]]</f>
        <v>0</v>
      </c>
      <c r="AN610" s="507">
        <f>Port[[#This Row],[EAD (THB)]]*Port[[#This Row],[LGD_avg]]</f>
        <v>5063168.5037568007</v>
      </c>
      <c r="AO610" s="507">
        <f>Port[[#This Row],[EAD_Interest (THB)]]*Port[[#This Row],[LGD_avg]]</f>
        <v>0</v>
      </c>
      <c r="AP610" s="507">
        <f>Port[[#This Row],[EAD_Drawn (THB)]]+Port[[#This Row],[EAD_Interest (THB)]]</f>
        <v>113443.78406399999</v>
      </c>
      <c r="AQ6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66043.460332349394</v>
      </c>
      <c r="AR610" s="522">
        <f>MAX(Port[[#This Row],[ECL (THB)]]+Port[[#This Row],[ECL_Interest (THB)]], Port[[#This Row],[ECL CBIRC (THB)]])</f>
        <v>66043.460332349394</v>
      </c>
    </row>
    <row r="611" spans="1:44">
      <c r="A611" s="2" t="s">
        <v>1294</v>
      </c>
      <c r="B611" s="2" t="s">
        <v>382</v>
      </c>
      <c r="C611" s="2" t="s">
        <v>379</v>
      </c>
      <c r="D611" s="2" t="s">
        <v>30</v>
      </c>
      <c r="E611" s="2" t="s">
        <v>19</v>
      </c>
      <c r="F611" s="2" t="s">
        <v>380</v>
      </c>
      <c r="G611" s="2" t="s">
        <v>21</v>
      </c>
      <c r="H611">
        <v>1</v>
      </c>
      <c r="I611" s="2" t="s">
        <v>526</v>
      </c>
      <c r="J611" s="505">
        <v>1.3043899345507868E-2</v>
      </c>
      <c r="K611" s="505">
        <v>0.19165760913375504</v>
      </c>
      <c r="L611" s="3">
        <v>1</v>
      </c>
      <c r="M611" s="3">
        <v>5.2488000000000001</v>
      </c>
      <c r="N611" s="507">
        <v>1071815.04</v>
      </c>
      <c r="O611" s="507">
        <v>0</v>
      </c>
      <c r="P611" s="507">
        <v>1071815.04</v>
      </c>
      <c r="Q611" s="507">
        <v>0</v>
      </c>
      <c r="R611" s="507">
        <v>2679.4974737544394</v>
      </c>
      <c r="S611" s="507">
        <v>0</v>
      </c>
      <c r="T611" s="507">
        <v>2679.4974737544394</v>
      </c>
      <c r="U611" s="507">
        <v>0</v>
      </c>
      <c r="V611" s="507">
        <f>Port[[#This Row],[EAD_Drawn (CNY)]]*Port[[#This Row],[CNY -&gt; FCY]]</f>
        <v>1071815.04</v>
      </c>
      <c r="W611" s="507">
        <f>Port[[#This Row],[EAD_Undrawn (CNY)]]*Port[[#This Row],[CNY -&gt; FCY]]</f>
        <v>0</v>
      </c>
      <c r="X611" s="507">
        <f>Port[[#This Row],[EAD (CNY)]]*Port[[#This Row],[CNY -&gt; FCY]]</f>
        <v>1071815.04</v>
      </c>
      <c r="Y611" s="507">
        <f>Port[[#This Row],[EAD_Interest (CNY)]]*Port[[#This Row],[CNY -&gt; FCY]]</f>
        <v>0</v>
      </c>
      <c r="Z611" s="507">
        <f>Port[[#This Row],[ECL_Drawn (CNY)]]*Port[[#This Row],[CNY -&gt; FCY]]</f>
        <v>2679.4974737544394</v>
      </c>
      <c r="AA611" s="507">
        <f>Port[[#This Row],[ECL_Undrawn (CNY)]]*Port[[#This Row],[CNY -&gt; FCY]]</f>
        <v>0</v>
      </c>
      <c r="AB611" s="507">
        <f>Port[[#This Row],[ECL (CNY)]]*Port[[#This Row],[CNY -&gt; FCY]]</f>
        <v>2679.4974737544394</v>
      </c>
      <c r="AC611" s="507">
        <f>Port[[#This Row],[ECL_Interest (CNY)]]*Port[[#This Row],[CNY -&gt; FCY]]</f>
        <v>0</v>
      </c>
      <c r="AD611" s="507">
        <f>Port[[#This Row],[EAD_Drawn (CNY)]]*Port[[#This Row],[CNY -&gt; THB]]</f>
        <v>5625742.7819520002</v>
      </c>
      <c r="AE611" s="507">
        <f>Port[[#This Row],[EAD_Undrawn (CNY)]]*Port[[#This Row],[CNY -&gt; THB]]</f>
        <v>0</v>
      </c>
      <c r="AF611" s="507">
        <f>Port[[#This Row],[EAD (CNY)]]*Port[[#This Row],[CNY -&gt; THB]]</f>
        <v>5625742.7819520002</v>
      </c>
      <c r="AG611" s="507">
        <f>Port[[#This Row],[EAD_Interest (CNY)]]*Port[[#This Row],[CNY -&gt; THB]]</f>
        <v>0</v>
      </c>
      <c r="AH611" s="507">
        <f>Port[[#This Row],[ECL_Drawn (CNY)]]*Port[[#This Row],[CNY -&gt; THB]]</f>
        <v>14064.146340242301</v>
      </c>
      <c r="AI611" s="507">
        <f>Port[[#This Row],[ECL_Undrawn (CNY)]]*Port[[#This Row],[CNY -&gt; THB]]</f>
        <v>0</v>
      </c>
      <c r="AJ611" s="507">
        <f>Port[[#This Row],[ECL (CNY)]]*Port[[#This Row],[CNY -&gt; THB]]</f>
        <v>14064.146340242301</v>
      </c>
      <c r="AK611" s="507">
        <f>Port[[#This Row],[ECL_Interest (CNY)]]*Port[[#This Row],[CNY -&gt; THB]]</f>
        <v>0</v>
      </c>
      <c r="AL611" s="507">
        <f>Port[[#This Row],[EAD (THB)]]*Port[[#This Row],[PD_avg]]</f>
        <v>73381.622591499312</v>
      </c>
      <c r="AM611" s="507">
        <f>Port[[#This Row],[EAD_Interest (THB)]]*Port[[#This Row],[PD_avg]]</f>
        <v>0</v>
      </c>
      <c r="AN611" s="507">
        <f>Port[[#This Row],[EAD (THB)]]*Port[[#This Row],[LGD_avg]]</f>
        <v>1078216.4111904001</v>
      </c>
      <c r="AO611" s="507">
        <f>Port[[#This Row],[EAD_Interest (THB)]]*Port[[#This Row],[LGD_avg]]</f>
        <v>0</v>
      </c>
      <c r="AP611" s="507">
        <f>Port[[#This Row],[EAD_Drawn (THB)]]+Port[[#This Row],[EAD_Interest (THB)]]</f>
        <v>5625742.7819520002</v>
      </c>
      <c r="AQ6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14064.146340242301</v>
      </c>
      <c r="AR611" s="522">
        <f>MAX(Port[[#This Row],[ECL (THB)]]+Port[[#This Row],[ECL_Interest (THB)]], Port[[#This Row],[ECL CBIRC (THB)]])</f>
        <v>14064.146340242301</v>
      </c>
    </row>
    <row r="612" spans="1:44">
      <c r="A612" s="2" t="s">
        <v>1295</v>
      </c>
      <c r="B612" s="2" t="s">
        <v>382</v>
      </c>
      <c r="C612" s="2" t="s">
        <v>379</v>
      </c>
      <c r="D612" s="2" t="s">
        <v>30</v>
      </c>
      <c r="E612" s="2" t="s">
        <v>19</v>
      </c>
      <c r="F612" s="2" t="s">
        <v>380</v>
      </c>
      <c r="G612" s="2" t="s">
        <v>21</v>
      </c>
      <c r="H612">
        <v>1</v>
      </c>
      <c r="I612" s="2" t="s">
        <v>526</v>
      </c>
      <c r="J612" s="505">
        <v>1.3043899345507868E-2</v>
      </c>
      <c r="K612" s="505">
        <v>1.8045729846360585</v>
      </c>
      <c r="L612" s="3">
        <v>1</v>
      </c>
      <c r="M612" s="3">
        <v>5.2488000000000001</v>
      </c>
      <c r="N612" s="507">
        <v>228246.12</v>
      </c>
      <c r="O612" s="507">
        <v>0</v>
      </c>
      <c r="P612" s="507">
        <v>228246.12</v>
      </c>
      <c r="Q612" s="507">
        <v>0</v>
      </c>
      <c r="R612" s="507">
        <v>5372.6097261531413</v>
      </c>
      <c r="S612" s="507">
        <v>0</v>
      </c>
      <c r="T612" s="507">
        <v>5372.6097261531413</v>
      </c>
      <c r="U612" s="507">
        <v>0</v>
      </c>
      <c r="V612" s="507">
        <f>Port[[#This Row],[EAD_Drawn (CNY)]]*Port[[#This Row],[CNY -&gt; FCY]]</f>
        <v>228246.12</v>
      </c>
      <c r="W612" s="507">
        <f>Port[[#This Row],[EAD_Undrawn (CNY)]]*Port[[#This Row],[CNY -&gt; FCY]]</f>
        <v>0</v>
      </c>
      <c r="X612" s="507">
        <f>Port[[#This Row],[EAD (CNY)]]*Port[[#This Row],[CNY -&gt; FCY]]</f>
        <v>228246.12</v>
      </c>
      <c r="Y612" s="507">
        <f>Port[[#This Row],[EAD_Interest (CNY)]]*Port[[#This Row],[CNY -&gt; FCY]]</f>
        <v>0</v>
      </c>
      <c r="Z612" s="507">
        <f>Port[[#This Row],[ECL_Drawn (CNY)]]*Port[[#This Row],[CNY -&gt; FCY]]</f>
        <v>5372.6097261531413</v>
      </c>
      <c r="AA612" s="507">
        <f>Port[[#This Row],[ECL_Undrawn (CNY)]]*Port[[#This Row],[CNY -&gt; FCY]]</f>
        <v>0</v>
      </c>
      <c r="AB612" s="507">
        <f>Port[[#This Row],[ECL (CNY)]]*Port[[#This Row],[CNY -&gt; FCY]]</f>
        <v>5372.6097261531413</v>
      </c>
      <c r="AC612" s="507">
        <f>Port[[#This Row],[ECL_Interest (CNY)]]*Port[[#This Row],[CNY -&gt; FCY]]</f>
        <v>0</v>
      </c>
      <c r="AD612" s="507">
        <f>Port[[#This Row],[EAD_Drawn (CNY)]]*Port[[#This Row],[CNY -&gt; THB]]</f>
        <v>1198018.234656</v>
      </c>
      <c r="AE612" s="507">
        <f>Port[[#This Row],[EAD_Undrawn (CNY)]]*Port[[#This Row],[CNY -&gt; THB]]</f>
        <v>0</v>
      </c>
      <c r="AF612" s="507">
        <f>Port[[#This Row],[EAD (CNY)]]*Port[[#This Row],[CNY -&gt; THB]]</f>
        <v>1198018.234656</v>
      </c>
      <c r="AG612" s="507">
        <f>Port[[#This Row],[EAD_Interest (CNY)]]*Port[[#This Row],[CNY -&gt; THB]]</f>
        <v>0</v>
      </c>
      <c r="AH612" s="507">
        <f>Port[[#This Row],[ECL_Drawn (CNY)]]*Port[[#This Row],[CNY -&gt; THB]]</f>
        <v>28199.753930632607</v>
      </c>
      <c r="AI612" s="507">
        <f>Port[[#This Row],[ECL_Undrawn (CNY)]]*Port[[#This Row],[CNY -&gt; THB]]</f>
        <v>0</v>
      </c>
      <c r="AJ612" s="507">
        <f>Port[[#This Row],[ECL (CNY)]]*Port[[#This Row],[CNY -&gt; THB]]</f>
        <v>28199.753930632607</v>
      </c>
      <c r="AK612" s="507">
        <f>Port[[#This Row],[ECL_Interest (CNY)]]*Port[[#This Row],[CNY -&gt; THB]]</f>
        <v>0</v>
      </c>
      <c r="AL612" s="507">
        <f>Port[[#This Row],[EAD (THB)]]*Port[[#This Row],[PD_avg]]</f>
        <v>15626.829266935891</v>
      </c>
      <c r="AM612" s="507">
        <f>Port[[#This Row],[EAD_Interest (THB)]]*Port[[#This Row],[PD_avg]]</f>
        <v>0</v>
      </c>
      <c r="AN612" s="507">
        <f>Port[[#This Row],[EAD (THB)]]*Port[[#This Row],[LGD_avg]]</f>
        <v>2161911.3413616</v>
      </c>
      <c r="AO612" s="507">
        <f>Port[[#This Row],[EAD_Interest (THB)]]*Port[[#This Row],[LGD_avg]]</f>
        <v>0</v>
      </c>
      <c r="AP612" s="507">
        <f>Port[[#This Row],[EAD_Drawn (THB)]]+Port[[#This Row],[EAD_Interest (THB)]]</f>
        <v>1198018.234656</v>
      </c>
      <c r="AQ6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28199.753930632607</v>
      </c>
      <c r="AR612" s="522">
        <f>MAX(Port[[#This Row],[ECL (THB)]]+Port[[#This Row],[ECL_Interest (THB)]], Port[[#This Row],[ECL CBIRC (THB)]])</f>
        <v>28199.753930632607</v>
      </c>
    </row>
    <row r="613" spans="1:44">
      <c r="A613" s="2" t="s">
        <v>1296</v>
      </c>
      <c r="B613" s="2" t="s">
        <v>382</v>
      </c>
      <c r="C613" s="2" t="s">
        <v>379</v>
      </c>
      <c r="D613" s="2" t="s">
        <v>30</v>
      </c>
      <c r="E613" s="2" t="s">
        <v>19</v>
      </c>
      <c r="F613" s="2" t="s">
        <v>380</v>
      </c>
      <c r="G613" s="2" t="s">
        <v>21</v>
      </c>
      <c r="H613">
        <v>1</v>
      </c>
      <c r="I613" s="2" t="s">
        <v>526</v>
      </c>
      <c r="J613" s="505">
        <v>1.3043899345507868E-2</v>
      </c>
      <c r="K613" s="505">
        <v>6.9672290503364591</v>
      </c>
      <c r="L613" s="3">
        <v>1</v>
      </c>
      <c r="M613" s="3">
        <v>5.2488000000000001</v>
      </c>
      <c r="N613" s="507">
        <v>457651.98</v>
      </c>
      <c r="O613" s="507">
        <v>0</v>
      </c>
      <c r="P613" s="507">
        <v>457651.98</v>
      </c>
      <c r="Q613" s="507">
        <v>0</v>
      </c>
      <c r="R613" s="507">
        <v>41591.336177971534</v>
      </c>
      <c r="S613" s="507">
        <v>0</v>
      </c>
      <c r="T613" s="507">
        <v>41591.336177971534</v>
      </c>
      <c r="U613" s="507">
        <v>0</v>
      </c>
      <c r="V613" s="507">
        <f>Port[[#This Row],[EAD_Drawn (CNY)]]*Port[[#This Row],[CNY -&gt; FCY]]</f>
        <v>457651.98</v>
      </c>
      <c r="W613" s="507">
        <f>Port[[#This Row],[EAD_Undrawn (CNY)]]*Port[[#This Row],[CNY -&gt; FCY]]</f>
        <v>0</v>
      </c>
      <c r="X613" s="507">
        <f>Port[[#This Row],[EAD (CNY)]]*Port[[#This Row],[CNY -&gt; FCY]]</f>
        <v>457651.98</v>
      </c>
      <c r="Y613" s="507">
        <f>Port[[#This Row],[EAD_Interest (CNY)]]*Port[[#This Row],[CNY -&gt; FCY]]</f>
        <v>0</v>
      </c>
      <c r="Z613" s="507">
        <f>Port[[#This Row],[ECL_Drawn (CNY)]]*Port[[#This Row],[CNY -&gt; FCY]]</f>
        <v>41591.336177971534</v>
      </c>
      <c r="AA613" s="507">
        <f>Port[[#This Row],[ECL_Undrawn (CNY)]]*Port[[#This Row],[CNY -&gt; FCY]]</f>
        <v>0</v>
      </c>
      <c r="AB613" s="507">
        <f>Port[[#This Row],[ECL (CNY)]]*Port[[#This Row],[CNY -&gt; FCY]]</f>
        <v>41591.336177971534</v>
      </c>
      <c r="AC613" s="507">
        <f>Port[[#This Row],[ECL_Interest (CNY)]]*Port[[#This Row],[CNY -&gt; FCY]]</f>
        <v>0</v>
      </c>
      <c r="AD613" s="507">
        <f>Port[[#This Row],[EAD_Drawn (CNY)]]*Port[[#This Row],[CNY -&gt; THB]]</f>
        <v>2402123.7126239999</v>
      </c>
      <c r="AE613" s="507">
        <f>Port[[#This Row],[EAD_Undrawn (CNY)]]*Port[[#This Row],[CNY -&gt; THB]]</f>
        <v>0</v>
      </c>
      <c r="AF613" s="507">
        <f>Port[[#This Row],[EAD (CNY)]]*Port[[#This Row],[CNY -&gt; THB]]</f>
        <v>2402123.7126239999</v>
      </c>
      <c r="AG613" s="507">
        <f>Port[[#This Row],[EAD_Interest (CNY)]]*Port[[#This Row],[CNY -&gt; THB]]</f>
        <v>0</v>
      </c>
      <c r="AH613" s="507">
        <f>Port[[#This Row],[ECL_Drawn (CNY)]]*Port[[#This Row],[CNY -&gt; THB]]</f>
        <v>218304.60533093699</v>
      </c>
      <c r="AI613" s="507">
        <f>Port[[#This Row],[ECL_Undrawn (CNY)]]*Port[[#This Row],[CNY -&gt; THB]]</f>
        <v>0</v>
      </c>
      <c r="AJ613" s="507">
        <f>Port[[#This Row],[ECL (CNY)]]*Port[[#This Row],[CNY -&gt; THB]]</f>
        <v>218304.60533093699</v>
      </c>
      <c r="AK613" s="507">
        <f>Port[[#This Row],[ECL_Interest (CNY)]]*Port[[#This Row],[CNY -&gt; THB]]</f>
        <v>0</v>
      </c>
      <c r="AL613" s="507">
        <f>Port[[#This Row],[EAD (THB)]]*Port[[#This Row],[PD_avg]]</f>
        <v>31333.059922925124</v>
      </c>
      <c r="AM613" s="507">
        <f>Port[[#This Row],[EAD_Interest (THB)]]*Port[[#This Row],[PD_avg]]</f>
        <v>0</v>
      </c>
      <c r="AN613" s="507">
        <f>Port[[#This Row],[EAD (THB)]]*Port[[#This Row],[LGD_avg]]</f>
        <v>16736146.113096001</v>
      </c>
      <c r="AO613" s="507">
        <f>Port[[#This Row],[EAD_Interest (THB)]]*Port[[#This Row],[LGD_avg]]</f>
        <v>0</v>
      </c>
      <c r="AP613" s="507">
        <f>Port[[#This Row],[EAD_Drawn (THB)]]+Port[[#This Row],[EAD_Interest (THB)]]</f>
        <v>2402123.7126239999</v>
      </c>
      <c r="AQ6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218304.60533093699</v>
      </c>
      <c r="AR613" s="522">
        <f>MAX(Port[[#This Row],[ECL (THB)]]+Port[[#This Row],[ECL_Interest (THB)]], Port[[#This Row],[ECL CBIRC (THB)]])</f>
        <v>218304.60533093699</v>
      </c>
    </row>
    <row r="614" spans="1:44">
      <c r="A614" s="2" t="s">
        <v>1297</v>
      </c>
      <c r="B614" s="2" t="s">
        <v>382</v>
      </c>
      <c r="C614" s="2" t="s">
        <v>379</v>
      </c>
      <c r="D614" s="2" t="s">
        <v>30</v>
      </c>
      <c r="E614" s="2" t="s">
        <v>19</v>
      </c>
      <c r="F614" s="2" t="s">
        <v>380</v>
      </c>
      <c r="G614" s="2" t="s">
        <v>21</v>
      </c>
      <c r="H614">
        <v>1</v>
      </c>
      <c r="I614" s="2" t="s">
        <v>526</v>
      </c>
      <c r="J614" s="505">
        <v>1.3043899345507868E-2</v>
      </c>
      <c r="K614" s="505">
        <v>5.648113004347656E-2</v>
      </c>
      <c r="L614" s="3">
        <v>1</v>
      </c>
      <c r="M614" s="3">
        <v>5.2488000000000001</v>
      </c>
      <c r="N614" s="507">
        <v>3542851.3</v>
      </c>
      <c r="O614" s="507">
        <v>0</v>
      </c>
      <c r="P614" s="507">
        <v>3542851.3</v>
      </c>
      <c r="Q614" s="507">
        <v>0</v>
      </c>
      <c r="R614" s="507">
        <v>2610.1396303888459</v>
      </c>
      <c r="S614" s="507">
        <v>0</v>
      </c>
      <c r="T614" s="507">
        <v>2610.1396303888459</v>
      </c>
      <c r="U614" s="507">
        <v>0</v>
      </c>
      <c r="V614" s="507">
        <f>Port[[#This Row],[EAD_Drawn (CNY)]]*Port[[#This Row],[CNY -&gt; FCY]]</f>
        <v>3542851.3</v>
      </c>
      <c r="W614" s="507">
        <f>Port[[#This Row],[EAD_Undrawn (CNY)]]*Port[[#This Row],[CNY -&gt; FCY]]</f>
        <v>0</v>
      </c>
      <c r="X614" s="507">
        <f>Port[[#This Row],[EAD (CNY)]]*Port[[#This Row],[CNY -&gt; FCY]]</f>
        <v>3542851.3</v>
      </c>
      <c r="Y614" s="507">
        <f>Port[[#This Row],[EAD_Interest (CNY)]]*Port[[#This Row],[CNY -&gt; FCY]]</f>
        <v>0</v>
      </c>
      <c r="Z614" s="507">
        <f>Port[[#This Row],[ECL_Drawn (CNY)]]*Port[[#This Row],[CNY -&gt; FCY]]</f>
        <v>2610.1396303888459</v>
      </c>
      <c r="AA614" s="507">
        <f>Port[[#This Row],[ECL_Undrawn (CNY)]]*Port[[#This Row],[CNY -&gt; FCY]]</f>
        <v>0</v>
      </c>
      <c r="AB614" s="507">
        <f>Port[[#This Row],[ECL (CNY)]]*Port[[#This Row],[CNY -&gt; FCY]]</f>
        <v>2610.1396303888459</v>
      </c>
      <c r="AC614" s="507">
        <f>Port[[#This Row],[ECL_Interest (CNY)]]*Port[[#This Row],[CNY -&gt; FCY]]</f>
        <v>0</v>
      </c>
      <c r="AD614" s="507">
        <f>Port[[#This Row],[EAD_Drawn (CNY)]]*Port[[#This Row],[CNY -&gt; THB]]</f>
        <v>18595717.903439999</v>
      </c>
      <c r="AE614" s="507">
        <f>Port[[#This Row],[EAD_Undrawn (CNY)]]*Port[[#This Row],[CNY -&gt; THB]]</f>
        <v>0</v>
      </c>
      <c r="AF614" s="507">
        <f>Port[[#This Row],[EAD (CNY)]]*Port[[#This Row],[CNY -&gt; THB]]</f>
        <v>18595717.903439999</v>
      </c>
      <c r="AG614" s="507">
        <f>Port[[#This Row],[EAD_Interest (CNY)]]*Port[[#This Row],[CNY -&gt; THB]]</f>
        <v>0</v>
      </c>
      <c r="AH614" s="507">
        <f>Port[[#This Row],[ECL_Drawn (CNY)]]*Port[[#This Row],[CNY -&gt; THB]]</f>
        <v>13700.100891984976</v>
      </c>
      <c r="AI614" s="507">
        <f>Port[[#This Row],[ECL_Undrawn (CNY)]]*Port[[#This Row],[CNY -&gt; THB]]</f>
        <v>0</v>
      </c>
      <c r="AJ614" s="507">
        <f>Port[[#This Row],[ECL (CNY)]]*Port[[#This Row],[CNY -&gt; THB]]</f>
        <v>13700.100891984976</v>
      </c>
      <c r="AK614" s="507">
        <f>Port[[#This Row],[ECL_Interest (CNY)]]*Port[[#This Row],[CNY -&gt; THB]]</f>
        <v>0</v>
      </c>
      <c r="AL614" s="507">
        <f>Port[[#This Row],[EAD (THB)]]*Port[[#This Row],[PD_avg]]</f>
        <v>242560.67258992995</v>
      </c>
      <c r="AM614" s="507">
        <f>Port[[#This Row],[EAD_Interest (THB)]]*Port[[#This Row],[PD_avg]]</f>
        <v>0</v>
      </c>
      <c r="AN614" s="507">
        <f>Port[[#This Row],[EAD (THB)]]*Port[[#This Row],[LGD_avg]]</f>
        <v>1050307.1611559999</v>
      </c>
      <c r="AO614" s="507">
        <f>Port[[#This Row],[EAD_Interest (THB)]]*Port[[#This Row],[LGD_avg]]</f>
        <v>0</v>
      </c>
      <c r="AP614" s="507">
        <f>Port[[#This Row],[EAD_Drawn (THB)]]+Port[[#This Row],[EAD_Interest (THB)]]</f>
        <v>18595717.903439999</v>
      </c>
      <c r="AQ6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13700.100891984976</v>
      </c>
      <c r="AR614" s="522">
        <f>MAX(Port[[#This Row],[ECL (THB)]]+Port[[#This Row],[ECL_Interest (THB)]], Port[[#This Row],[ECL CBIRC (THB)]])</f>
        <v>13700.100891984976</v>
      </c>
    </row>
    <row r="615" spans="1:44">
      <c r="A615" s="2" t="s">
        <v>1298</v>
      </c>
      <c r="B615" s="2" t="s">
        <v>382</v>
      </c>
      <c r="C615" s="2" t="s">
        <v>379</v>
      </c>
      <c r="D615" s="2" t="s">
        <v>30</v>
      </c>
      <c r="E615" s="2" t="s">
        <v>19</v>
      </c>
      <c r="F615" s="2" t="s">
        <v>380</v>
      </c>
      <c r="G615" s="2" t="s">
        <v>21</v>
      </c>
      <c r="H615">
        <v>1</v>
      </c>
      <c r="I615" s="2" t="s">
        <v>526</v>
      </c>
      <c r="J615" s="505">
        <v>1.3043899345507868E-2</v>
      </c>
      <c r="K615" s="505">
        <v>1.9451760820966093</v>
      </c>
      <c r="L615" s="3">
        <v>1</v>
      </c>
      <c r="M615" s="3">
        <v>5.2488000000000001</v>
      </c>
      <c r="N615" s="507">
        <v>222338.05</v>
      </c>
      <c r="O615" s="507">
        <v>0</v>
      </c>
      <c r="P615" s="507">
        <v>222338.05</v>
      </c>
      <c r="Q615" s="507">
        <v>0</v>
      </c>
      <c r="R615" s="507">
        <v>5641.3124221831858</v>
      </c>
      <c r="S615" s="507">
        <v>0</v>
      </c>
      <c r="T615" s="507">
        <v>5641.3124221831858</v>
      </c>
      <c r="U615" s="507">
        <v>0</v>
      </c>
      <c r="V615" s="507">
        <f>Port[[#This Row],[EAD_Drawn (CNY)]]*Port[[#This Row],[CNY -&gt; FCY]]</f>
        <v>222338.05</v>
      </c>
      <c r="W615" s="507">
        <f>Port[[#This Row],[EAD_Undrawn (CNY)]]*Port[[#This Row],[CNY -&gt; FCY]]</f>
        <v>0</v>
      </c>
      <c r="X615" s="507">
        <f>Port[[#This Row],[EAD (CNY)]]*Port[[#This Row],[CNY -&gt; FCY]]</f>
        <v>222338.05</v>
      </c>
      <c r="Y615" s="507">
        <f>Port[[#This Row],[EAD_Interest (CNY)]]*Port[[#This Row],[CNY -&gt; FCY]]</f>
        <v>0</v>
      </c>
      <c r="Z615" s="507">
        <f>Port[[#This Row],[ECL_Drawn (CNY)]]*Port[[#This Row],[CNY -&gt; FCY]]</f>
        <v>5641.3124221831858</v>
      </c>
      <c r="AA615" s="507">
        <f>Port[[#This Row],[ECL_Undrawn (CNY)]]*Port[[#This Row],[CNY -&gt; FCY]]</f>
        <v>0</v>
      </c>
      <c r="AB615" s="507">
        <f>Port[[#This Row],[ECL (CNY)]]*Port[[#This Row],[CNY -&gt; FCY]]</f>
        <v>5641.3124221831858</v>
      </c>
      <c r="AC615" s="507">
        <f>Port[[#This Row],[ECL_Interest (CNY)]]*Port[[#This Row],[CNY -&gt; FCY]]</f>
        <v>0</v>
      </c>
      <c r="AD615" s="507">
        <f>Port[[#This Row],[EAD_Drawn (CNY)]]*Port[[#This Row],[CNY -&gt; THB]]</f>
        <v>1167007.9568399999</v>
      </c>
      <c r="AE615" s="507">
        <f>Port[[#This Row],[EAD_Undrawn (CNY)]]*Port[[#This Row],[CNY -&gt; THB]]</f>
        <v>0</v>
      </c>
      <c r="AF615" s="507">
        <f>Port[[#This Row],[EAD (CNY)]]*Port[[#This Row],[CNY -&gt; THB]]</f>
        <v>1167007.9568399999</v>
      </c>
      <c r="AG615" s="507">
        <f>Port[[#This Row],[EAD_Interest (CNY)]]*Port[[#This Row],[CNY -&gt; THB]]</f>
        <v>0</v>
      </c>
      <c r="AH615" s="507">
        <f>Port[[#This Row],[ECL_Drawn (CNY)]]*Port[[#This Row],[CNY -&gt; THB]]</f>
        <v>29610.120641555106</v>
      </c>
      <c r="AI615" s="507">
        <f>Port[[#This Row],[ECL_Undrawn (CNY)]]*Port[[#This Row],[CNY -&gt; THB]]</f>
        <v>0</v>
      </c>
      <c r="AJ615" s="507">
        <f>Port[[#This Row],[ECL (CNY)]]*Port[[#This Row],[CNY -&gt; THB]]</f>
        <v>29610.120641555106</v>
      </c>
      <c r="AK615" s="507">
        <f>Port[[#This Row],[ECL_Interest (CNY)]]*Port[[#This Row],[CNY -&gt; THB]]</f>
        <v>0</v>
      </c>
      <c r="AL615" s="507">
        <f>Port[[#This Row],[EAD (THB)]]*Port[[#This Row],[PD_avg]]</f>
        <v>15222.334324427749</v>
      </c>
      <c r="AM615" s="507">
        <f>Port[[#This Row],[EAD_Interest (THB)]]*Port[[#This Row],[PD_avg]]</f>
        <v>0</v>
      </c>
      <c r="AN615" s="507">
        <f>Port[[#This Row],[EAD (THB)]]*Port[[#This Row],[LGD_avg]]</f>
        <v>2270035.9652616</v>
      </c>
      <c r="AO615" s="507">
        <f>Port[[#This Row],[EAD_Interest (THB)]]*Port[[#This Row],[LGD_avg]]</f>
        <v>0</v>
      </c>
      <c r="AP615" s="507">
        <f>Port[[#This Row],[EAD_Drawn (THB)]]+Port[[#This Row],[EAD_Interest (THB)]]</f>
        <v>1167007.9568399999</v>
      </c>
      <c r="AQ6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29610.120641555106</v>
      </c>
      <c r="AR615" s="522">
        <f>MAX(Port[[#This Row],[ECL (THB)]]+Port[[#This Row],[ECL_Interest (THB)]], Port[[#This Row],[ECL CBIRC (THB)]])</f>
        <v>29610.120641555106</v>
      </c>
    </row>
    <row r="616" spans="1:44">
      <c r="A616" s="2" t="s">
        <v>1336</v>
      </c>
      <c r="B616" s="2" t="s">
        <v>382</v>
      </c>
      <c r="C616" s="2" t="s">
        <v>379</v>
      </c>
      <c r="D616" s="2" t="s">
        <v>30</v>
      </c>
      <c r="E616" s="2" t="s">
        <v>19</v>
      </c>
      <c r="F616" s="2" t="s">
        <v>380</v>
      </c>
      <c r="G616" s="2" t="s">
        <v>21</v>
      </c>
      <c r="H616">
        <v>1</v>
      </c>
      <c r="I616" s="2" t="s">
        <v>526</v>
      </c>
      <c r="J616" s="505">
        <v>1.3043899345507868E-2</v>
      </c>
      <c r="K616" s="505">
        <v>1.8949157372241163</v>
      </c>
      <c r="L616" s="3">
        <v>1</v>
      </c>
      <c r="M616" s="3">
        <v>5.2488000000000001</v>
      </c>
      <c r="N616" s="507">
        <v>75659.149999999994</v>
      </c>
      <c r="O616" s="507">
        <v>0</v>
      </c>
      <c r="P616" s="507">
        <v>75659.149999999994</v>
      </c>
      <c r="Q616" s="507">
        <v>0</v>
      </c>
      <c r="R616" s="507">
        <v>1870.0740308115592</v>
      </c>
      <c r="S616" s="507">
        <v>0</v>
      </c>
      <c r="T616" s="507">
        <v>1870.0740308115592</v>
      </c>
      <c r="U616" s="507">
        <v>0</v>
      </c>
      <c r="V616" s="507">
        <f>Port[[#This Row],[EAD_Drawn (CNY)]]*Port[[#This Row],[CNY -&gt; FCY]]</f>
        <v>75659.149999999994</v>
      </c>
      <c r="W616" s="507">
        <f>Port[[#This Row],[EAD_Undrawn (CNY)]]*Port[[#This Row],[CNY -&gt; FCY]]</f>
        <v>0</v>
      </c>
      <c r="X616" s="507">
        <f>Port[[#This Row],[EAD (CNY)]]*Port[[#This Row],[CNY -&gt; FCY]]</f>
        <v>75659.149999999994</v>
      </c>
      <c r="Y616" s="507">
        <f>Port[[#This Row],[EAD_Interest (CNY)]]*Port[[#This Row],[CNY -&gt; FCY]]</f>
        <v>0</v>
      </c>
      <c r="Z616" s="507">
        <f>Port[[#This Row],[ECL_Drawn (CNY)]]*Port[[#This Row],[CNY -&gt; FCY]]</f>
        <v>1870.0740308115592</v>
      </c>
      <c r="AA616" s="507">
        <f>Port[[#This Row],[ECL_Undrawn (CNY)]]*Port[[#This Row],[CNY -&gt; FCY]]</f>
        <v>0</v>
      </c>
      <c r="AB616" s="507">
        <f>Port[[#This Row],[ECL (CNY)]]*Port[[#This Row],[CNY -&gt; FCY]]</f>
        <v>1870.0740308115592</v>
      </c>
      <c r="AC616" s="507">
        <f>Port[[#This Row],[ECL_Interest (CNY)]]*Port[[#This Row],[CNY -&gt; FCY]]</f>
        <v>0</v>
      </c>
      <c r="AD616" s="507">
        <f>Port[[#This Row],[EAD_Drawn (CNY)]]*Port[[#This Row],[CNY -&gt; THB]]</f>
        <v>397119.74651999999</v>
      </c>
      <c r="AE616" s="507">
        <f>Port[[#This Row],[EAD_Undrawn (CNY)]]*Port[[#This Row],[CNY -&gt; THB]]</f>
        <v>0</v>
      </c>
      <c r="AF616" s="507">
        <f>Port[[#This Row],[EAD (CNY)]]*Port[[#This Row],[CNY -&gt; THB]]</f>
        <v>397119.74651999999</v>
      </c>
      <c r="AG616" s="507">
        <f>Port[[#This Row],[EAD_Interest (CNY)]]*Port[[#This Row],[CNY -&gt; THB]]</f>
        <v>0</v>
      </c>
      <c r="AH616" s="507">
        <f>Port[[#This Row],[ECL_Drawn (CNY)]]*Port[[#This Row],[CNY -&gt; THB]]</f>
        <v>9815.6445729237112</v>
      </c>
      <c r="AI616" s="507">
        <f>Port[[#This Row],[ECL_Undrawn (CNY)]]*Port[[#This Row],[CNY -&gt; THB]]</f>
        <v>0</v>
      </c>
      <c r="AJ616" s="507">
        <f>Port[[#This Row],[ECL (CNY)]]*Port[[#This Row],[CNY -&gt; THB]]</f>
        <v>9815.6445729237112</v>
      </c>
      <c r="AK616" s="507">
        <f>Port[[#This Row],[ECL_Interest (CNY)]]*Port[[#This Row],[CNY -&gt; THB]]</f>
        <v>0</v>
      </c>
      <c r="AL616" s="507">
        <f>Port[[#This Row],[EAD (THB)]]*Port[[#This Row],[PD_avg]]</f>
        <v>5179.9900017204782</v>
      </c>
      <c r="AM616" s="507">
        <f>Port[[#This Row],[EAD_Interest (THB)]]*Port[[#This Row],[PD_avg]]</f>
        <v>0</v>
      </c>
      <c r="AN616" s="507">
        <f>Port[[#This Row],[EAD (THB)]]*Port[[#This Row],[LGD_avg]]</f>
        <v>752508.45724319993</v>
      </c>
      <c r="AO616" s="507">
        <f>Port[[#This Row],[EAD_Interest (THB)]]*Port[[#This Row],[LGD_avg]]</f>
        <v>0</v>
      </c>
      <c r="AP616" s="507">
        <f>Port[[#This Row],[EAD_Drawn (THB)]]+Port[[#This Row],[EAD_Interest (THB)]]</f>
        <v>397119.74651999999</v>
      </c>
      <c r="AQ6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9815.6445729237112</v>
      </c>
      <c r="AR616" s="522">
        <f>MAX(Port[[#This Row],[ECL (THB)]]+Port[[#This Row],[ECL_Interest (THB)]], Port[[#This Row],[ECL CBIRC (THB)]])</f>
        <v>9815.6445729237112</v>
      </c>
    </row>
    <row r="617" spans="1:44">
      <c r="A617" s="2" t="s">
        <v>1299</v>
      </c>
      <c r="B617" s="2" t="s">
        <v>382</v>
      </c>
      <c r="C617" s="2" t="s">
        <v>379</v>
      </c>
      <c r="D617" s="2" t="s">
        <v>30</v>
      </c>
      <c r="E617" s="2" t="s">
        <v>19</v>
      </c>
      <c r="F617" s="2" t="s">
        <v>380</v>
      </c>
      <c r="G617" s="2" t="s">
        <v>21</v>
      </c>
      <c r="H617">
        <v>1</v>
      </c>
      <c r="I617" s="2" t="s">
        <v>526</v>
      </c>
      <c r="J617" s="505">
        <v>1.3043899345507868E-2</v>
      </c>
      <c r="K617" s="505">
        <v>0.26168779699485623</v>
      </c>
      <c r="L617" s="3">
        <v>1</v>
      </c>
      <c r="M617" s="3">
        <v>5.2488000000000001</v>
      </c>
      <c r="N617" s="507">
        <v>480540.73</v>
      </c>
      <c r="O617" s="507">
        <v>0</v>
      </c>
      <c r="P617" s="507">
        <v>480540.73</v>
      </c>
      <c r="Q617" s="507">
        <v>0</v>
      </c>
      <c r="R617" s="507">
        <v>1640.2917999120377</v>
      </c>
      <c r="S617" s="507">
        <v>0</v>
      </c>
      <c r="T617" s="507">
        <v>1640.2917999120377</v>
      </c>
      <c r="U617" s="507">
        <v>0</v>
      </c>
      <c r="V617" s="507">
        <f>Port[[#This Row],[EAD_Drawn (CNY)]]*Port[[#This Row],[CNY -&gt; FCY]]</f>
        <v>480540.73</v>
      </c>
      <c r="W617" s="507">
        <f>Port[[#This Row],[EAD_Undrawn (CNY)]]*Port[[#This Row],[CNY -&gt; FCY]]</f>
        <v>0</v>
      </c>
      <c r="X617" s="507">
        <f>Port[[#This Row],[EAD (CNY)]]*Port[[#This Row],[CNY -&gt; FCY]]</f>
        <v>480540.73</v>
      </c>
      <c r="Y617" s="507">
        <f>Port[[#This Row],[EAD_Interest (CNY)]]*Port[[#This Row],[CNY -&gt; FCY]]</f>
        <v>0</v>
      </c>
      <c r="Z617" s="507">
        <f>Port[[#This Row],[ECL_Drawn (CNY)]]*Port[[#This Row],[CNY -&gt; FCY]]</f>
        <v>1640.2917999120377</v>
      </c>
      <c r="AA617" s="507">
        <f>Port[[#This Row],[ECL_Undrawn (CNY)]]*Port[[#This Row],[CNY -&gt; FCY]]</f>
        <v>0</v>
      </c>
      <c r="AB617" s="507">
        <f>Port[[#This Row],[ECL (CNY)]]*Port[[#This Row],[CNY -&gt; FCY]]</f>
        <v>1640.2917999120377</v>
      </c>
      <c r="AC617" s="507">
        <f>Port[[#This Row],[ECL_Interest (CNY)]]*Port[[#This Row],[CNY -&gt; FCY]]</f>
        <v>0</v>
      </c>
      <c r="AD617" s="507">
        <f>Port[[#This Row],[EAD_Drawn (CNY)]]*Port[[#This Row],[CNY -&gt; THB]]</f>
        <v>2522262.1836239998</v>
      </c>
      <c r="AE617" s="507">
        <f>Port[[#This Row],[EAD_Undrawn (CNY)]]*Port[[#This Row],[CNY -&gt; THB]]</f>
        <v>0</v>
      </c>
      <c r="AF617" s="507">
        <f>Port[[#This Row],[EAD (CNY)]]*Port[[#This Row],[CNY -&gt; THB]]</f>
        <v>2522262.1836239998</v>
      </c>
      <c r="AG617" s="507">
        <f>Port[[#This Row],[EAD_Interest (CNY)]]*Port[[#This Row],[CNY -&gt; THB]]</f>
        <v>0</v>
      </c>
      <c r="AH617" s="507">
        <f>Port[[#This Row],[ECL_Drawn (CNY)]]*Port[[#This Row],[CNY -&gt; THB]]</f>
        <v>8609.5635993783035</v>
      </c>
      <c r="AI617" s="507">
        <f>Port[[#This Row],[ECL_Undrawn (CNY)]]*Port[[#This Row],[CNY -&gt; THB]]</f>
        <v>0</v>
      </c>
      <c r="AJ617" s="507">
        <f>Port[[#This Row],[ECL (CNY)]]*Port[[#This Row],[CNY -&gt; THB]]</f>
        <v>8609.5635993783035</v>
      </c>
      <c r="AK617" s="507">
        <f>Port[[#This Row],[ECL_Interest (CNY)]]*Port[[#This Row],[CNY -&gt; THB]]</f>
        <v>0</v>
      </c>
      <c r="AL617" s="507">
        <f>Port[[#This Row],[EAD (THB)]]*Port[[#This Row],[PD_avg]]</f>
        <v>32900.134046172338</v>
      </c>
      <c r="AM617" s="507">
        <f>Port[[#This Row],[EAD_Interest (THB)]]*Port[[#This Row],[PD_avg]]</f>
        <v>0</v>
      </c>
      <c r="AN617" s="507">
        <f>Port[[#This Row],[EAD (THB)]]*Port[[#This Row],[LGD_avg]]</f>
        <v>660045.23427600006</v>
      </c>
      <c r="AO617" s="507">
        <f>Port[[#This Row],[EAD_Interest (THB)]]*Port[[#This Row],[LGD_avg]]</f>
        <v>0</v>
      </c>
      <c r="AP617" s="507">
        <f>Port[[#This Row],[EAD_Drawn (THB)]]+Port[[#This Row],[EAD_Interest (THB)]]</f>
        <v>2522262.1836239998</v>
      </c>
      <c r="AQ6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8609.5635993783035</v>
      </c>
      <c r="AR617" s="522">
        <f>MAX(Port[[#This Row],[ECL (THB)]]+Port[[#This Row],[ECL_Interest (THB)]], Port[[#This Row],[ECL CBIRC (THB)]])</f>
        <v>8609.5635993783035</v>
      </c>
    </row>
    <row r="618" spans="1:44">
      <c r="A618" s="2" t="s">
        <v>1300</v>
      </c>
      <c r="B618" s="2" t="s">
        <v>382</v>
      </c>
      <c r="C618" s="2" t="s">
        <v>379</v>
      </c>
      <c r="D618" s="2" t="s">
        <v>30</v>
      </c>
      <c r="E618" s="2" t="s">
        <v>19</v>
      </c>
      <c r="F618" s="2" t="s">
        <v>380</v>
      </c>
      <c r="G618" s="2" t="s">
        <v>21</v>
      </c>
      <c r="H618">
        <v>1</v>
      </c>
      <c r="I618" s="2" t="s">
        <v>526</v>
      </c>
      <c r="J618" s="505">
        <v>1.3043899345507868E-2</v>
      </c>
      <c r="K618" s="505">
        <v>0.21480874710745546</v>
      </c>
      <c r="L618" s="3">
        <v>1</v>
      </c>
      <c r="M618" s="3">
        <v>5.2488000000000001</v>
      </c>
      <c r="N618" s="507">
        <v>159297.46</v>
      </c>
      <c r="O618" s="507">
        <v>0</v>
      </c>
      <c r="P618" s="507">
        <v>159297.46</v>
      </c>
      <c r="Q618" s="507">
        <v>0</v>
      </c>
      <c r="R618" s="507">
        <v>446.34251061868895</v>
      </c>
      <c r="S618" s="507">
        <v>0</v>
      </c>
      <c r="T618" s="507">
        <v>446.34251061868895</v>
      </c>
      <c r="U618" s="507">
        <v>0</v>
      </c>
      <c r="V618" s="507">
        <f>Port[[#This Row],[EAD_Drawn (CNY)]]*Port[[#This Row],[CNY -&gt; FCY]]</f>
        <v>159297.46</v>
      </c>
      <c r="W618" s="507">
        <f>Port[[#This Row],[EAD_Undrawn (CNY)]]*Port[[#This Row],[CNY -&gt; FCY]]</f>
        <v>0</v>
      </c>
      <c r="X618" s="507">
        <f>Port[[#This Row],[EAD (CNY)]]*Port[[#This Row],[CNY -&gt; FCY]]</f>
        <v>159297.46</v>
      </c>
      <c r="Y618" s="507">
        <f>Port[[#This Row],[EAD_Interest (CNY)]]*Port[[#This Row],[CNY -&gt; FCY]]</f>
        <v>0</v>
      </c>
      <c r="Z618" s="507">
        <f>Port[[#This Row],[ECL_Drawn (CNY)]]*Port[[#This Row],[CNY -&gt; FCY]]</f>
        <v>446.34251061868895</v>
      </c>
      <c r="AA618" s="507">
        <f>Port[[#This Row],[ECL_Undrawn (CNY)]]*Port[[#This Row],[CNY -&gt; FCY]]</f>
        <v>0</v>
      </c>
      <c r="AB618" s="507">
        <f>Port[[#This Row],[ECL (CNY)]]*Port[[#This Row],[CNY -&gt; FCY]]</f>
        <v>446.34251061868895</v>
      </c>
      <c r="AC618" s="507">
        <f>Port[[#This Row],[ECL_Interest (CNY)]]*Port[[#This Row],[CNY -&gt; FCY]]</f>
        <v>0</v>
      </c>
      <c r="AD618" s="507">
        <f>Port[[#This Row],[EAD_Drawn (CNY)]]*Port[[#This Row],[CNY -&gt; THB]]</f>
        <v>836120.50804799993</v>
      </c>
      <c r="AE618" s="507">
        <f>Port[[#This Row],[EAD_Undrawn (CNY)]]*Port[[#This Row],[CNY -&gt; THB]]</f>
        <v>0</v>
      </c>
      <c r="AF618" s="507">
        <f>Port[[#This Row],[EAD (CNY)]]*Port[[#This Row],[CNY -&gt; THB]]</f>
        <v>836120.50804799993</v>
      </c>
      <c r="AG618" s="507">
        <f>Port[[#This Row],[EAD_Interest (CNY)]]*Port[[#This Row],[CNY -&gt; THB]]</f>
        <v>0</v>
      </c>
      <c r="AH618" s="507">
        <f>Port[[#This Row],[ECL_Drawn (CNY)]]*Port[[#This Row],[CNY -&gt; THB]]</f>
        <v>2342.7625697353747</v>
      </c>
      <c r="AI618" s="507">
        <f>Port[[#This Row],[ECL_Undrawn (CNY)]]*Port[[#This Row],[CNY -&gt; THB]]</f>
        <v>0</v>
      </c>
      <c r="AJ618" s="507">
        <f>Port[[#This Row],[ECL (CNY)]]*Port[[#This Row],[CNY -&gt; THB]]</f>
        <v>2342.7625697353747</v>
      </c>
      <c r="AK618" s="507">
        <f>Port[[#This Row],[ECL_Interest (CNY)]]*Port[[#This Row],[CNY -&gt; THB]]</f>
        <v>0</v>
      </c>
      <c r="AL618" s="507">
        <f>Port[[#This Row],[EAD (THB)]]*Port[[#This Row],[PD_avg]]</f>
        <v>10906.271747693012</v>
      </c>
      <c r="AM618" s="507">
        <f>Port[[#This Row],[EAD_Interest (THB)]]*Port[[#This Row],[PD_avg]]</f>
        <v>0</v>
      </c>
      <c r="AN618" s="507">
        <f>Port[[#This Row],[EAD (THB)]]*Port[[#This Row],[LGD_avg]]</f>
        <v>179605.99876463998</v>
      </c>
      <c r="AO618" s="507">
        <f>Port[[#This Row],[EAD_Interest (THB)]]*Port[[#This Row],[LGD_avg]]</f>
        <v>0</v>
      </c>
      <c r="AP618" s="507">
        <f>Port[[#This Row],[EAD_Drawn (THB)]]+Port[[#This Row],[EAD_Interest (THB)]]</f>
        <v>836120.50804799993</v>
      </c>
      <c r="AQ6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2342.7625697353747</v>
      </c>
      <c r="AR618" s="522">
        <f>MAX(Port[[#This Row],[ECL (THB)]]+Port[[#This Row],[ECL_Interest (THB)]], Port[[#This Row],[ECL CBIRC (THB)]])</f>
        <v>2342.7625697353747</v>
      </c>
    </row>
    <row r="619" spans="1:44">
      <c r="A619" s="2" t="s">
        <v>1301</v>
      </c>
      <c r="B619" s="2" t="s">
        <v>382</v>
      </c>
      <c r="C619" s="2" t="s">
        <v>379</v>
      </c>
      <c r="D619" s="2" t="s">
        <v>30</v>
      </c>
      <c r="E619" s="2" t="s">
        <v>19</v>
      </c>
      <c r="F619" s="2" t="s">
        <v>380</v>
      </c>
      <c r="G619" s="2" t="s">
        <v>21</v>
      </c>
      <c r="H619">
        <v>1</v>
      </c>
      <c r="I619" s="2" t="s">
        <v>526</v>
      </c>
      <c r="J619" s="505">
        <v>1.3043899345507868E-2</v>
      </c>
      <c r="K619" s="505">
        <v>0.10255464252574988</v>
      </c>
      <c r="L619" s="3">
        <v>1</v>
      </c>
      <c r="M619" s="3">
        <v>5.2488000000000001</v>
      </c>
      <c r="N619" s="507">
        <v>139724.04999999999</v>
      </c>
      <c r="O619" s="507">
        <v>0</v>
      </c>
      <c r="P619" s="507">
        <v>139724.04999999999</v>
      </c>
      <c r="Q619" s="507">
        <v>0</v>
      </c>
      <c r="R619" s="507">
        <v>186.91059908655319</v>
      </c>
      <c r="S619" s="507">
        <v>0</v>
      </c>
      <c r="T619" s="507">
        <v>186.91059908655319</v>
      </c>
      <c r="U619" s="507">
        <v>0</v>
      </c>
      <c r="V619" s="507">
        <f>Port[[#This Row],[EAD_Drawn (CNY)]]*Port[[#This Row],[CNY -&gt; FCY]]</f>
        <v>139724.04999999999</v>
      </c>
      <c r="W619" s="507">
        <f>Port[[#This Row],[EAD_Undrawn (CNY)]]*Port[[#This Row],[CNY -&gt; FCY]]</f>
        <v>0</v>
      </c>
      <c r="X619" s="507">
        <f>Port[[#This Row],[EAD (CNY)]]*Port[[#This Row],[CNY -&gt; FCY]]</f>
        <v>139724.04999999999</v>
      </c>
      <c r="Y619" s="507">
        <f>Port[[#This Row],[EAD_Interest (CNY)]]*Port[[#This Row],[CNY -&gt; FCY]]</f>
        <v>0</v>
      </c>
      <c r="Z619" s="507">
        <f>Port[[#This Row],[ECL_Drawn (CNY)]]*Port[[#This Row],[CNY -&gt; FCY]]</f>
        <v>186.91059908655319</v>
      </c>
      <c r="AA619" s="507">
        <f>Port[[#This Row],[ECL_Undrawn (CNY)]]*Port[[#This Row],[CNY -&gt; FCY]]</f>
        <v>0</v>
      </c>
      <c r="AB619" s="507">
        <f>Port[[#This Row],[ECL (CNY)]]*Port[[#This Row],[CNY -&gt; FCY]]</f>
        <v>186.91059908655319</v>
      </c>
      <c r="AC619" s="507">
        <f>Port[[#This Row],[ECL_Interest (CNY)]]*Port[[#This Row],[CNY -&gt; FCY]]</f>
        <v>0</v>
      </c>
      <c r="AD619" s="507">
        <f>Port[[#This Row],[EAD_Drawn (CNY)]]*Port[[#This Row],[CNY -&gt; THB]]</f>
        <v>733383.59363999998</v>
      </c>
      <c r="AE619" s="507">
        <f>Port[[#This Row],[EAD_Undrawn (CNY)]]*Port[[#This Row],[CNY -&gt; THB]]</f>
        <v>0</v>
      </c>
      <c r="AF619" s="507">
        <f>Port[[#This Row],[EAD (CNY)]]*Port[[#This Row],[CNY -&gt; THB]]</f>
        <v>733383.59363999998</v>
      </c>
      <c r="AG619" s="507">
        <f>Port[[#This Row],[EAD_Interest (CNY)]]*Port[[#This Row],[CNY -&gt; THB]]</f>
        <v>0</v>
      </c>
      <c r="AH619" s="507">
        <f>Port[[#This Row],[ECL_Drawn (CNY)]]*Port[[#This Row],[CNY -&gt; THB]]</f>
        <v>981.05635248550038</v>
      </c>
      <c r="AI619" s="507">
        <f>Port[[#This Row],[ECL_Undrawn (CNY)]]*Port[[#This Row],[CNY -&gt; THB]]</f>
        <v>0</v>
      </c>
      <c r="AJ619" s="507">
        <f>Port[[#This Row],[ECL (CNY)]]*Port[[#This Row],[CNY -&gt; THB]]</f>
        <v>981.05635248550038</v>
      </c>
      <c r="AK619" s="507">
        <f>Port[[#This Row],[ECL_Interest (CNY)]]*Port[[#This Row],[CNY -&gt; THB]]</f>
        <v>0</v>
      </c>
      <c r="AL619" s="507">
        <f>Port[[#This Row],[EAD (THB)]]*Port[[#This Row],[PD_avg]]</f>
        <v>9566.1817770870039</v>
      </c>
      <c r="AM619" s="507">
        <f>Port[[#This Row],[EAD_Interest (THB)]]*Port[[#This Row],[PD_avg]]</f>
        <v>0</v>
      </c>
      <c r="AN619" s="507">
        <f>Port[[#This Row],[EAD (THB)]]*Port[[#This Row],[LGD_avg]]</f>
        <v>75211.892280000015</v>
      </c>
      <c r="AO619" s="507">
        <f>Port[[#This Row],[EAD_Interest (THB)]]*Port[[#This Row],[LGD_avg]]</f>
        <v>0</v>
      </c>
      <c r="AP619" s="507">
        <f>Port[[#This Row],[EAD_Drawn (THB)]]+Port[[#This Row],[EAD_Interest (THB)]]</f>
        <v>733383.59363999998</v>
      </c>
      <c r="AQ6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981.05635248550038</v>
      </c>
      <c r="AR619" s="522">
        <f>MAX(Port[[#This Row],[ECL (THB)]]+Port[[#This Row],[ECL_Interest (THB)]], Port[[#This Row],[ECL CBIRC (THB)]])</f>
        <v>981.05635248550038</v>
      </c>
    </row>
    <row r="620" spans="1:44">
      <c r="A620" s="2" t="s">
        <v>1337</v>
      </c>
      <c r="B620" s="2" t="s">
        <v>951</v>
      </c>
      <c r="C620" s="2" t="s">
        <v>379</v>
      </c>
      <c r="D620" s="2" t="s">
        <v>1338</v>
      </c>
      <c r="E620" s="2" t="s">
        <v>19</v>
      </c>
      <c r="F620" s="2" t="s">
        <v>380</v>
      </c>
      <c r="G620" s="2" t="s">
        <v>21</v>
      </c>
      <c r="H620">
        <v>1</v>
      </c>
      <c r="I620" s="2" t="s">
        <v>526</v>
      </c>
      <c r="J620" s="505">
        <v>4.8109749303825028E-2</v>
      </c>
      <c r="K620" s="505">
        <v>5.7667445733060047E-4</v>
      </c>
      <c r="L620" s="3">
        <v>1</v>
      </c>
      <c r="M620" s="3">
        <v>5.2488000000000001</v>
      </c>
      <c r="N620" s="507">
        <v>20000000</v>
      </c>
      <c r="O620" s="507">
        <v>0</v>
      </c>
      <c r="P620" s="507">
        <v>20000000</v>
      </c>
      <c r="Q620" s="507">
        <v>0</v>
      </c>
      <c r="R620" s="507">
        <v>554.87327144189067</v>
      </c>
      <c r="S620" s="507">
        <v>0</v>
      </c>
      <c r="T620" s="507">
        <v>554.87327144189067</v>
      </c>
      <c r="U620" s="507">
        <v>0</v>
      </c>
      <c r="V620" s="507">
        <f>Port[[#This Row],[EAD_Drawn (CNY)]]*Port[[#This Row],[CNY -&gt; FCY]]</f>
        <v>20000000</v>
      </c>
      <c r="W620" s="507">
        <f>Port[[#This Row],[EAD_Undrawn (CNY)]]*Port[[#This Row],[CNY -&gt; FCY]]</f>
        <v>0</v>
      </c>
      <c r="X620" s="507">
        <f>Port[[#This Row],[EAD (CNY)]]*Port[[#This Row],[CNY -&gt; FCY]]</f>
        <v>20000000</v>
      </c>
      <c r="Y620" s="507">
        <f>Port[[#This Row],[EAD_Interest (CNY)]]*Port[[#This Row],[CNY -&gt; FCY]]</f>
        <v>0</v>
      </c>
      <c r="Z620" s="507">
        <f>Port[[#This Row],[ECL_Drawn (CNY)]]*Port[[#This Row],[CNY -&gt; FCY]]</f>
        <v>554.87327144189067</v>
      </c>
      <c r="AA620" s="507">
        <f>Port[[#This Row],[ECL_Undrawn (CNY)]]*Port[[#This Row],[CNY -&gt; FCY]]</f>
        <v>0</v>
      </c>
      <c r="AB620" s="507">
        <f>Port[[#This Row],[ECL (CNY)]]*Port[[#This Row],[CNY -&gt; FCY]]</f>
        <v>554.87327144189067</v>
      </c>
      <c r="AC620" s="507">
        <f>Port[[#This Row],[ECL_Interest (CNY)]]*Port[[#This Row],[CNY -&gt; FCY]]</f>
        <v>0</v>
      </c>
      <c r="AD620" s="507">
        <f>Port[[#This Row],[EAD_Drawn (CNY)]]*Port[[#This Row],[CNY -&gt; THB]]</f>
        <v>104976000</v>
      </c>
      <c r="AE620" s="507">
        <f>Port[[#This Row],[EAD_Undrawn (CNY)]]*Port[[#This Row],[CNY -&gt; THB]]</f>
        <v>0</v>
      </c>
      <c r="AF620" s="507">
        <f>Port[[#This Row],[EAD (CNY)]]*Port[[#This Row],[CNY -&gt; THB]]</f>
        <v>104976000</v>
      </c>
      <c r="AG620" s="507">
        <f>Port[[#This Row],[EAD_Interest (CNY)]]*Port[[#This Row],[CNY -&gt; THB]]</f>
        <v>0</v>
      </c>
      <c r="AH620" s="507">
        <f>Port[[#This Row],[ECL_Drawn (CNY)]]*Port[[#This Row],[CNY -&gt; THB]]</f>
        <v>2912.4188271441958</v>
      </c>
      <c r="AI620" s="507">
        <f>Port[[#This Row],[ECL_Undrawn (CNY)]]*Port[[#This Row],[CNY -&gt; THB]]</f>
        <v>0</v>
      </c>
      <c r="AJ620" s="507">
        <f>Port[[#This Row],[ECL (CNY)]]*Port[[#This Row],[CNY -&gt; THB]]</f>
        <v>2912.4188271441958</v>
      </c>
      <c r="AK620" s="507">
        <f>Port[[#This Row],[ECL_Interest (CNY)]]*Port[[#This Row],[CNY -&gt; THB]]</f>
        <v>0</v>
      </c>
      <c r="AL620" s="507">
        <f>Port[[#This Row],[EAD (THB)]]*Port[[#This Row],[PD_avg]]</f>
        <v>5050369.0429183366</v>
      </c>
      <c r="AM620" s="507">
        <f>Port[[#This Row],[EAD_Interest (THB)]]*Port[[#This Row],[PD_avg]]</f>
        <v>0</v>
      </c>
      <c r="AN620" s="507">
        <f>Port[[#This Row],[EAD (THB)]]*Port[[#This Row],[LGD_avg]]</f>
        <v>60536.977832737117</v>
      </c>
      <c r="AO620" s="507">
        <f>Port[[#This Row],[EAD_Interest (THB)]]*Port[[#This Row],[LGD_avg]]</f>
        <v>0</v>
      </c>
      <c r="AP620" s="507">
        <f>Port[[#This Row],[EAD_Drawn (THB)]]+Port[[#This Row],[EAD_Interest (THB)]]</f>
        <v>104976000</v>
      </c>
      <c r="AQ6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2912.4188271441958</v>
      </c>
      <c r="AR620" s="522">
        <f>MAX(Port[[#This Row],[ECL (THB)]]+Port[[#This Row],[ECL_Interest (THB)]], Port[[#This Row],[ECL CBIRC (THB)]])</f>
        <v>2912.4188271441958</v>
      </c>
    </row>
    <row r="621" spans="1:44">
      <c r="A621" s="2" t="s">
        <v>430</v>
      </c>
      <c r="B621" s="2" t="s">
        <v>382</v>
      </c>
      <c r="C621" s="2" t="s">
        <v>379</v>
      </c>
      <c r="D621" s="2" t="s">
        <v>30</v>
      </c>
      <c r="E621" s="2" t="s">
        <v>19</v>
      </c>
      <c r="F621" s="2" t="s">
        <v>380</v>
      </c>
      <c r="G621" s="2" t="s">
        <v>57</v>
      </c>
      <c r="H621">
        <v>1</v>
      </c>
      <c r="I621" s="2" t="s">
        <v>526</v>
      </c>
      <c r="J621" s="505">
        <v>1.3043899345507868E-2</v>
      </c>
      <c r="K621" s="505">
        <v>2.6322045226130655</v>
      </c>
      <c r="L621" s="3">
        <v>0.15684552284455039</v>
      </c>
      <c r="M621" s="3">
        <v>5.2488000000000001</v>
      </c>
      <c r="N621" s="507">
        <v>38020.542000000001</v>
      </c>
      <c r="O621" s="507">
        <v>0</v>
      </c>
      <c r="P621" s="507">
        <v>38020.542000000001</v>
      </c>
      <c r="Q621" s="507">
        <v>0</v>
      </c>
      <c r="R621" s="507">
        <v>1305.4053056499815</v>
      </c>
      <c r="S621" s="507">
        <v>0</v>
      </c>
      <c r="T621" s="507">
        <v>1305.4053056499815</v>
      </c>
      <c r="U621" s="507">
        <v>0</v>
      </c>
      <c r="V621" s="507">
        <f>Port[[#This Row],[EAD_Drawn (CNY)]]*Port[[#This Row],[CNY -&gt; FCY]]</f>
        <v>5963.3517888231881</v>
      </c>
      <c r="W621" s="507">
        <f>Port[[#This Row],[EAD_Undrawn (CNY)]]*Port[[#This Row],[CNY -&gt; FCY]]</f>
        <v>0</v>
      </c>
      <c r="X621" s="507">
        <f>Port[[#This Row],[EAD (CNY)]]*Port[[#This Row],[CNY -&gt; FCY]]</f>
        <v>5963.3517888231881</v>
      </c>
      <c r="Y621" s="507">
        <f>Port[[#This Row],[EAD_Interest (CNY)]]*Port[[#This Row],[CNY -&gt; FCY]]</f>
        <v>0</v>
      </c>
      <c r="Z621" s="507">
        <f>Port[[#This Row],[ECL_Drawn (CNY)]]*Port[[#This Row],[CNY -&gt; FCY]]</f>
        <v>204.74697768872147</v>
      </c>
      <c r="AA621" s="507">
        <f>Port[[#This Row],[ECL_Undrawn (CNY)]]*Port[[#This Row],[CNY -&gt; FCY]]</f>
        <v>0</v>
      </c>
      <c r="AB621" s="507">
        <f>Port[[#This Row],[ECL (CNY)]]*Port[[#This Row],[CNY -&gt; FCY]]</f>
        <v>204.74697768872147</v>
      </c>
      <c r="AC621" s="507">
        <f>Port[[#This Row],[ECL_Interest (CNY)]]*Port[[#This Row],[CNY -&gt; FCY]]</f>
        <v>0</v>
      </c>
      <c r="AD621" s="507">
        <f>Port[[#This Row],[EAD_Drawn (CNY)]]*Port[[#This Row],[CNY -&gt; THB]]</f>
        <v>199562.22084960001</v>
      </c>
      <c r="AE621" s="507">
        <f>Port[[#This Row],[EAD_Undrawn (CNY)]]*Port[[#This Row],[CNY -&gt; THB]]</f>
        <v>0</v>
      </c>
      <c r="AF621" s="507">
        <f>Port[[#This Row],[EAD (CNY)]]*Port[[#This Row],[CNY -&gt; THB]]</f>
        <v>199562.22084960001</v>
      </c>
      <c r="AG621" s="507">
        <f>Port[[#This Row],[EAD_Interest (CNY)]]*Port[[#This Row],[CNY -&gt; THB]]</f>
        <v>0</v>
      </c>
      <c r="AH621" s="507">
        <f>Port[[#This Row],[ECL_Drawn (CNY)]]*Port[[#This Row],[CNY -&gt; THB]]</f>
        <v>6851.8113682956237</v>
      </c>
      <c r="AI621" s="507">
        <f>Port[[#This Row],[ECL_Undrawn (CNY)]]*Port[[#This Row],[CNY -&gt; THB]]</f>
        <v>0</v>
      </c>
      <c r="AJ621" s="507">
        <f>Port[[#This Row],[ECL (CNY)]]*Port[[#This Row],[CNY -&gt; THB]]</f>
        <v>6851.8113682956237</v>
      </c>
      <c r="AK621" s="507">
        <f>Port[[#This Row],[ECL_Interest (CNY)]]*Port[[#This Row],[CNY -&gt; THB]]</f>
        <v>0</v>
      </c>
      <c r="AL621" s="507">
        <f>Port[[#This Row],[EAD (THB)]]*Port[[#This Row],[PD_avg]]</f>
        <v>2603.0695219281943</v>
      </c>
      <c r="AM621" s="507">
        <f>Port[[#This Row],[EAD_Interest (THB)]]*Port[[#This Row],[PD_avg]]</f>
        <v>0</v>
      </c>
      <c r="AN621" s="507">
        <f>Port[[#This Row],[EAD (THB)]]*Port[[#This Row],[LGD_avg]]</f>
        <v>525288.58026302455</v>
      </c>
      <c r="AO621" s="507">
        <f>Port[[#This Row],[EAD_Interest (THB)]]*Port[[#This Row],[LGD_avg]]</f>
        <v>0</v>
      </c>
      <c r="AP621" s="507">
        <f>Port[[#This Row],[EAD_Drawn (THB)]]+Port[[#This Row],[EAD_Interest (THB)]]</f>
        <v>199562.22084960001</v>
      </c>
      <c r="AQ6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6851.8113682956237</v>
      </c>
      <c r="AR621" s="522">
        <f>MAX(Port[[#This Row],[ECL (THB)]]+Port[[#This Row],[ECL_Interest (THB)]], Port[[#This Row],[ECL CBIRC (THB)]])</f>
        <v>6851.8113682956237</v>
      </c>
    </row>
    <row r="622" spans="1:44">
      <c r="A622" s="2" t="s">
        <v>431</v>
      </c>
      <c r="B622" s="2" t="s">
        <v>382</v>
      </c>
      <c r="C622" s="2" t="s">
        <v>379</v>
      </c>
      <c r="D622" s="2" t="s">
        <v>30</v>
      </c>
      <c r="E622" s="2" t="s">
        <v>19</v>
      </c>
      <c r="F622" s="2" t="s">
        <v>380</v>
      </c>
      <c r="G622" s="2" t="s">
        <v>57</v>
      </c>
      <c r="H622">
        <v>1</v>
      </c>
      <c r="I622" s="2" t="s">
        <v>526</v>
      </c>
      <c r="J622" s="505">
        <v>1.3043899345507868E-2</v>
      </c>
      <c r="K622" s="505">
        <v>6.3883511999999989</v>
      </c>
      <c r="L622" s="3">
        <v>0.15684552284455039</v>
      </c>
      <c r="M622" s="3">
        <v>5.2488000000000001</v>
      </c>
      <c r="N622" s="507">
        <v>15921.5</v>
      </c>
      <c r="O622" s="507">
        <v>0</v>
      </c>
      <c r="P622" s="507">
        <v>15921.5</v>
      </c>
      <c r="Q622" s="507">
        <v>0</v>
      </c>
      <c r="R622" s="507">
        <v>1326.7228332970008</v>
      </c>
      <c r="S622" s="507">
        <v>0</v>
      </c>
      <c r="T622" s="507">
        <v>1326.7228332970008</v>
      </c>
      <c r="U622" s="507">
        <v>0</v>
      </c>
      <c r="V622" s="507">
        <f>Port[[#This Row],[EAD_Drawn (CNY)]]*Port[[#This Row],[CNY -&gt; FCY]]</f>
        <v>2497.2159919695091</v>
      </c>
      <c r="W622" s="507">
        <f>Port[[#This Row],[EAD_Undrawn (CNY)]]*Port[[#This Row],[CNY -&gt; FCY]]</f>
        <v>0</v>
      </c>
      <c r="X622" s="507">
        <f>Port[[#This Row],[EAD (CNY)]]*Port[[#This Row],[CNY -&gt; FCY]]</f>
        <v>2497.2159919695091</v>
      </c>
      <c r="Y622" s="507">
        <f>Port[[#This Row],[EAD_Interest (CNY)]]*Port[[#This Row],[CNY -&gt; FCY]]</f>
        <v>0</v>
      </c>
      <c r="Z622" s="507">
        <f>Port[[#This Row],[ECL_Drawn (CNY)]]*Port[[#This Row],[CNY -&gt; FCY]]</f>
        <v>208.09053645827134</v>
      </c>
      <c r="AA622" s="507">
        <f>Port[[#This Row],[ECL_Undrawn (CNY)]]*Port[[#This Row],[CNY -&gt; FCY]]</f>
        <v>0</v>
      </c>
      <c r="AB622" s="507">
        <f>Port[[#This Row],[ECL (CNY)]]*Port[[#This Row],[CNY -&gt; FCY]]</f>
        <v>208.09053645827134</v>
      </c>
      <c r="AC622" s="507">
        <f>Port[[#This Row],[ECL_Interest (CNY)]]*Port[[#This Row],[CNY -&gt; FCY]]</f>
        <v>0</v>
      </c>
      <c r="AD622" s="507">
        <f>Port[[#This Row],[EAD_Drawn (CNY)]]*Port[[#This Row],[CNY -&gt; THB]]</f>
        <v>83568.769199999995</v>
      </c>
      <c r="AE622" s="507">
        <f>Port[[#This Row],[EAD_Undrawn (CNY)]]*Port[[#This Row],[CNY -&gt; THB]]</f>
        <v>0</v>
      </c>
      <c r="AF622" s="507">
        <f>Port[[#This Row],[EAD (CNY)]]*Port[[#This Row],[CNY -&gt; THB]]</f>
        <v>83568.769199999995</v>
      </c>
      <c r="AG622" s="507">
        <f>Port[[#This Row],[EAD_Interest (CNY)]]*Port[[#This Row],[CNY -&gt; THB]]</f>
        <v>0</v>
      </c>
      <c r="AH622" s="507">
        <f>Port[[#This Row],[ECL_Drawn (CNY)]]*Port[[#This Row],[CNY -&gt; THB]]</f>
        <v>6963.7028074092977</v>
      </c>
      <c r="AI622" s="507">
        <f>Port[[#This Row],[ECL_Undrawn (CNY)]]*Port[[#This Row],[CNY -&gt; THB]]</f>
        <v>0</v>
      </c>
      <c r="AJ622" s="507">
        <f>Port[[#This Row],[ECL (CNY)]]*Port[[#This Row],[CNY -&gt; THB]]</f>
        <v>6963.7028074092977</v>
      </c>
      <c r="AK622" s="507">
        <f>Port[[#This Row],[ECL_Interest (CNY)]]*Port[[#This Row],[CNY -&gt; THB]]</f>
        <v>0</v>
      </c>
      <c r="AL622" s="507">
        <f>Port[[#This Row],[EAD (THB)]]*Port[[#This Row],[PD_avg]]</f>
        <v>1090.062613872778</v>
      </c>
      <c r="AM622" s="507">
        <f>Port[[#This Row],[EAD_Interest (THB)]]*Port[[#This Row],[PD_avg]]</f>
        <v>0</v>
      </c>
      <c r="AN622" s="507">
        <f>Port[[#This Row],[EAD (THB)]]*Port[[#This Row],[LGD_avg]]</f>
        <v>533866.64700134296</v>
      </c>
      <c r="AO622" s="507">
        <f>Port[[#This Row],[EAD_Interest (THB)]]*Port[[#This Row],[LGD_avg]]</f>
        <v>0</v>
      </c>
      <c r="AP622" s="507">
        <f>Port[[#This Row],[EAD_Drawn (THB)]]+Port[[#This Row],[EAD_Interest (THB)]]</f>
        <v>83568.769199999995</v>
      </c>
      <c r="AQ6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6963.7028074092977</v>
      </c>
      <c r="AR622" s="522">
        <f>MAX(Port[[#This Row],[ECL (THB)]]+Port[[#This Row],[ECL_Interest (THB)]], Port[[#This Row],[ECL CBIRC (THB)]])</f>
        <v>6963.7028074092977</v>
      </c>
    </row>
    <row r="623" spans="1:44">
      <c r="A623" s="2" t="s">
        <v>432</v>
      </c>
      <c r="B623" s="2" t="s">
        <v>382</v>
      </c>
      <c r="C623" s="2" t="s">
        <v>379</v>
      </c>
      <c r="D623" s="2" t="s">
        <v>30</v>
      </c>
      <c r="E623" s="2" t="s">
        <v>19</v>
      </c>
      <c r="F623" s="2" t="s">
        <v>380</v>
      </c>
      <c r="G623" s="2" t="s">
        <v>57</v>
      </c>
      <c r="H623">
        <v>1</v>
      </c>
      <c r="I623" s="2" t="s">
        <v>526</v>
      </c>
      <c r="J623" s="505">
        <v>1.3043899345507868E-2</v>
      </c>
      <c r="K623" s="505">
        <v>2.5917789060099925</v>
      </c>
      <c r="L623" s="3">
        <v>0.15684552284455039</v>
      </c>
      <c r="M623" s="3">
        <v>5.2488000000000001</v>
      </c>
      <c r="N623" s="507">
        <v>47265.456504000002</v>
      </c>
      <c r="O623" s="507">
        <v>0</v>
      </c>
      <c r="P623" s="507">
        <v>47265.456504000002</v>
      </c>
      <c r="Q623" s="507">
        <v>0</v>
      </c>
      <c r="R623" s="507">
        <v>1597.8987115909431</v>
      </c>
      <c r="S623" s="507">
        <v>0</v>
      </c>
      <c r="T623" s="507">
        <v>1597.8987115909431</v>
      </c>
      <c r="U623" s="507">
        <v>0</v>
      </c>
      <c r="V623" s="507">
        <f>Port[[#This Row],[EAD_Drawn (CNY)]]*Port[[#This Row],[CNY -&gt; FCY]]</f>
        <v>7413.3752378562349</v>
      </c>
      <c r="W623" s="507">
        <f>Port[[#This Row],[EAD_Undrawn (CNY)]]*Port[[#This Row],[CNY -&gt; FCY]]</f>
        <v>0</v>
      </c>
      <c r="X623" s="507">
        <f>Port[[#This Row],[EAD (CNY)]]*Port[[#This Row],[CNY -&gt; FCY]]</f>
        <v>7413.3752378562349</v>
      </c>
      <c r="Y623" s="507">
        <f>Port[[#This Row],[EAD_Interest (CNY)]]*Port[[#This Row],[CNY -&gt; FCY]]</f>
        <v>0</v>
      </c>
      <c r="Z623" s="507">
        <f>Port[[#This Row],[ECL_Drawn (CNY)]]*Port[[#This Row],[CNY -&gt; FCY]]</f>
        <v>250.62325887211489</v>
      </c>
      <c r="AA623" s="507">
        <f>Port[[#This Row],[ECL_Undrawn (CNY)]]*Port[[#This Row],[CNY -&gt; FCY]]</f>
        <v>0</v>
      </c>
      <c r="AB623" s="507">
        <f>Port[[#This Row],[ECL (CNY)]]*Port[[#This Row],[CNY -&gt; FCY]]</f>
        <v>250.62325887211489</v>
      </c>
      <c r="AC623" s="507">
        <f>Port[[#This Row],[ECL_Interest (CNY)]]*Port[[#This Row],[CNY -&gt; FCY]]</f>
        <v>0</v>
      </c>
      <c r="AD623" s="507">
        <f>Port[[#This Row],[EAD_Drawn (CNY)]]*Port[[#This Row],[CNY -&gt; THB]]</f>
        <v>248086.9280981952</v>
      </c>
      <c r="AE623" s="507">
        <f>Port[[#This Row],[EAD_Undrawn (CNY)]]*Port[[#This Row],[CNY -&gt; THB]]</f>
        <v>0</v>
      </c>
      <c r="AF623" s="507">
        <f>Port[[#This Row],[EAD (CNY)]]*Port[[#This Row],[CNY -&gt; THB]]</f>
        <v>248086.9280981952</v>
      </c>
      <c r="AG623" s="507">
        <f>Port[[#This Row],[EAD_Interest (CNY)]]*Port[[#This Row],[CNY -&gt; THB]]</f>
        <v>0</v>
      </c>
      <c r="AH623" s="507">
        <f>Port[[#This Row],[ECL_Drawn (CNY)]]*Port[[#This Row],[CNY -&gt; THB]]</f>
        <v>8387.0507573985415</v>
      </c>
      <c r="AI623" s="507">
        <f>Port[[#This Row],[ECL_Undrawn (CNY)]]*Port[[#This Row],[CNY -&gt; THB]]</f>
        <v>0</v>
      </c>
      <c r="AJ623" s="507">
        <f>Port[[#This Row],[ECL (CNY)]]*Port[[#This Row],[CNY -&gt; THB]]</f>
        <v>8387.0507573985415</v>
      </c>
      <c r="AK623" s="507">
        <f>Port[[#This Row],[ECL_Interest (CNY)]]*Port[[#This Row],[CNY -&gt; THB]]</f>
        <v>0</v>
      </c>
      <c r="AL623" s="507">
        <f>Port[[#This Row],[EAD (THB)]]*Port[[#This Row],[PD_avg]]</f>
        <v>3236.0209190491059</v>
      </c>
      <c r="AM623" s="507">
        <f>Port[[#This Row],[EAD_Interest (THB)]]*Port[[#This Row],[PD_avg]]</f>
        <v>0</v>
      </c>
      <c r="AN623" s="507">
        <f>Port[[#This Row],[EAD (THB)]]*Port[[#This Row],[LGD_avg]]</f>
        <v>642986.46710172005</v>
      </c>
      <c r="AO623" s="507">
        <f>Port[[#This Row],[EAD_Interest (THB)]]*Port[[#This Row],[LGD_avg]]</f>
        <v>0</v>
      </c>
      <c r="AP623" s="507">
        <f>Port[[#This Row],[EAD_Drawn (THB)]]+Port[[#This Row],[EAD_Interest (THB)]]</f>
        <v>248086.9280981952</v>
      </c>
      <c r="AQ6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8387.0507573985415</v>
      </c>
      <c r="AR623" s="522">
        <f>MAX(Port[[#This Row],[ECL (THB)]]+Port[[#This Row],[ECL_Interest (THB)]], Port[[#This Row],[ECL CBIRC (THB)]])</f>
        <v>8387.0507573985415</v>
      </c>
    </row>
    <row r="624" spans="1:44">
      <c r="A624" s="2" t="s">
        <v>433</v>
      </c>
      <c r="B624" s="2" t="s">
        <v>382</v>
      </c>
      <c r="C624" s="2" t="s">
        <v>379</v>
      </c>
      <c r="D624" s="2" t="s">
        <v>30</v>
      </c>
      <c r="E624" s="2" t="s">
        <v>19</v>
      </c>
      <c r="F624" s="2" t="s">
        <v>380</v>
      </c>
      <c r="G624" s="2" t="s">
        <v>57</v>
      </c>
      <c r="H624">
        <v>1</v>
      </c>
      <c r="I624" s="2" t="s">
        <v>526</v>
      </c>
      <c r="J624" s="505">
        <v>1.3043899345507868E-2</v>
      </c>
      <c r="K624" s="505">
        <v>3.798438075852812</v>
      </c>
      <c r="L624" s="3">
        <v>0.15684552284455039</v>
      </c>
      <c r="M624" s="3">
        <v>5.2488000000000001</v>
      </c>
      <c r="N624" s="507">
        <v>113013.48181199998</v>
      </c>
      <c r="O624" s="507">
        <v>0</v>
      </c>
      <c r="P624" s="507">
        <v>113013.48181199998</v>
      </c>
      <c r="Q624" s="507">
        <v>0</v>
      </c>
      <c r="R624" s="507">
        <v>5599.4161401096117</v>
      </c>
      <c r="S624" s="507">
        <v>0</v>
      </c>
      <c r="T624" s="507">
        <v>5599.4161401096117</v>
      </c>
      <c r="U624" s="507">
        <v>0</v>
      </c>
      <c r="V624" s="507">
        <f>Port[[#This Row],[EAD_Drawn (CNY)]]*Port[[#This Row],[CNY -&gt; FCY]]</f>
        <v>17725.658643286224</v>
      </c>
      <c r="W624" s="507">
        <f>Port[[#This Row],[EAD_Undrawn (CNY)]]*Port[[#This Row],[CNY -&gt; FCY]]</f>
        <v>0</v>
      </c>
      <c r="X624" s="507">
        <f>Port[[#This Row],[EAD (CNY)]]*Port[[#This Row],[CNY -&gt; FCY]]</f>
        <v>17725.658643286224</v>
      </c>
      <c r="Y624" s="507">
        <f>Port[[#This Row],[EAD_Interest (CNY)]]*Port[[#This Row],[CNY -&gt; FCY]]</f>
        <v>0</v>
      </c>
      <c r="Z624" s="507">
        <f>Port[[#This Row],[ECL_Drawn (CNY)]]*Port[[#This Row],[CNY -&gt; FCY]]</f>
        <v>878.24335211970629</v>
      </c>
      <c r="AA624" s="507">
        <f>Port[[#This Row],[ECL_Undrawn (CNY)]]*Port[[#This Row],[CNY -&gt; FCY]]</f>
        <v>0</v>
      </c>
      <c r="AB624" s="507">
        <f>Port[[#This Row],[ECL (CNY)]]*Port[[#This Row],[CNY -&gt; FCY]]</f>
        <v>878.24335211970629</v>
      </c>
      <c r="AC624" s="507">
        <f>Port[[#This Row],[ECL_Interest (CNY)]]*Port[[#This Row],[CNY -&gt; FCY]]</f>
        <v>0</v>
      </c>
      <c r="AD624" s="507">
        <f>Port[[#This Row],[EAD_Drawn (CNY)]]*Port[[#This Row],[CNY -&gt; THB]]</f>
        <v>593185.16333482554</v>
      </c>
      <c r="AE624" s="507">
        <f>Port[[#This Row],[EAD_Undrawn (CNY)]]*Port[[#This Row],[CNY -&gt; THB]]</f>
        <v>0</v>
      </c>
      <c r="AF624" s="507">
        <f>Port[[#This Row],[EAD (CNY)]]*Port[[#This Row],[CNY -&gt; THB]]</f>
        <v>593185.16333482554</v>
      </c>
      <c r="AG624" s="507">
        <f>Port[[#This Row],[EAD_Interest (CNY)]]*Port[[#This Row],[CNY -&gt; THB]]</f>
        <v>0</v>
      </c>
      <c r="AH624" s="507">
        <f>Port[[#This Row],[ECL_Drawn (CNY)]]*Port[[#This Row],[CNY -&gt; THB]]</f>
        <v>29390.215436207331</v>
      </c>
      <c r="AI624" s="507">
        <f>Port[[#This Row],[ECL_Undrawn (CNY)]]*Port[[#This Row],[CNY -&gt; THB]]</f>
        <v>0</v>
      </c>
      <c r="AJ624" s="507">
        <f>Port[[#This Row],[ECL (CNY)]]*Port[[#This Row],[CNY -&gt; THB]]</f>
        <v>29390.215436207331</v>
      </c>
      <c r="AK624" s="507">
        <f>Port[[#This Row],[ECL_Interest (CNY)]]*Port[[#This Row],[CNY -&gt; THB]]</f>
        <v>0</v>
      </c>
      <c r="AL624" s="507">
        <f>Port[[#This Row],[EAD (THB)]]*Port[[#This Row],[PD_avg]]</f>
        <v>7737.4475637881087</v>
      </c>
      <c r="AM624" s="507">
        <f>Port[[#This Row],[EAD_Interest (THB)]]*Port[[#This Row],[PD_avg]]</f>
        <v>0</v>
      </c>
      <c r="AN624" s="507">
        <f>Port[[#This Row],[EAD (THB)]]*Port[[#This Row],[LGD_avg]]</f>
        <v>2253177.1104419706</v>
      </c>
      <c r="AO624" s="507">
        <f>Port[[#This Row],[EAD_Interest (THB)]]*Port[[#This Row],[LGD_avg]]</f>
        <v>0</v>
      </c>
      <c r="AP624" s="507">
        <f>Port[[#This Row],[EAD_Drawn (THB)]]+Port[[#This Row],[EAD_Interest (THB)]]</f>
        <v>593185.16333482554</v>
      </c>
      <c r="AQ6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29390.215436207331</v>
      </c>
      <c r="AR624" s="522">
        <f>MAX(Port[[#This Row],[ECL (THB)]]+Port[[#This Row],[ECL_Interest (THB)]], Port[[#This Row],[ECL CBIRC (THB)]])</f>
        <v>29390.215436207331</v>
      </c>
    </row>
    <row r="625" spans="1:44">
      <c r="A625" s="2" t="s">
        <v>434</v>
      </c>
      <c r="B625" s="2" t="s">
        <v>382</v>
      </c>
      <c r="C625" s="2" t="s">
        <v>379</v>
      </c>
      <c r="D625" s="2" t="s">
        <v>30</v>
      </c>
      <c r="E625" s="2" t="s">
        <v>19</v>
      </c>
      <c r="F625" s="2" t="s">
        <v>380</v>
      </c>
      <c r="G625" s="2" t="s">
        <v>57</v>
      </c>
      <c r="H625">
        <v>1</v>
      </c>
      <c r="I625" s="2" t="s">
        <v>526</v>
      </c>
      <c r="J625" s="505">
        <v>1.3043899345507868E-2</v>
      </c>
      <c r="K625" s="505">
        <v>1.0111422622528954</v>
      </c>
      <c r="L625" s="3">
        <v>0.15684552284455039</v>
      </c>
      <c r="M625" s="3">
        <v>5.2488000000000001</v>
      </c>
      <c r="N625" s="507">
        <v>136112.90349999999</v>
      </c>
      <c r="O625" s="507">
        <v>0</v>
      </c>
      <c r="P625" s="507">
        <v>136112.90349999999</v>
      </c>
      <c r="Q625" s="507">
        <v>0</v>
      </c>
      <c r="R625" s="507">
        <v>1795.2254645433918</v>
      </c>
      <c r="S625" s="507">
        <v>0</v>
      </c>
      <c r="T625" s="507">
        <v>1795.2254645433918</v>
      </c>
      <c r="U625" s="507">
        <v>0</v>
      </c>
      <c r="V625" s="507">
        <f>Port[[#This Row],[EAD_Drawn (CNY)]]*Port[[#This Row],[CNY -&gt; FCY]]</f>
        <v>21348.699515347329</v>
      </c>
      <c r="W625" s="507">
        <f>Port[[#This Row],[EAD_Undrawn (CNY)]]*Port[[#This Row],[CNY -&gt; FCY]]</f>
        <v>0</v>
      </c>
      <c r="X625" s="507">
        <f>Port[[#This Row],[EAD (CNY)]]*Port[[#This Row],[CNY -&gt; FCY]]</f>
        <v>21348.699515347329</v>
      </c>
      <c r="Y625" s="507">
        <f>Port[[#This Row],[EAD_Interest (CNY)]]*Port[[#This Row],[CNY -&gt; FCY]]</f>
        <v>0</v>
      </c>
      <c r="Z625" s="507">
        <f>Port[[#This Row],[ECL_Drawn (CNY)]]*Port[[#This Row],[CNY -&gt; FCY]]</f>
        <v>281.57307661015915</v>
      </c>
      <c r="AA625" s="507">
        <f>Port[[#This Row],[ECL_Undrawn (CNY)]]*Port[[#This Row],[CNY -&gt; FCY]]</f>
        <v>0</v>
      </c>
      <c r="AB625" s="507">
        <f>Port[[#This Row],[ECL (CNY)]]*Port[[#This Row],[CNY -&gt; FCY]]</f>
        <v>281.57307661015915</v>
      </c>
      <c r="AC625" s="507">
        <f>Port[[#This Row],[ECL_Interest (CNY)]]*Port[[#This Row],[CNY -&gt; FCY]]</f>
        <v>0</v>
      </c>
      <c r="AD625" s="507">
        <f>Port[[#This Row],[EAD_Drawn (CNY)]]*Port[[#This Row],[CNY -&gt; THB]]</f>
        <v>714429.40789079992</v>
      </c>
      <c r="AE625" s="507">
        <f>Port[[#This Row],[EAD_Undrawn (CNY)]]*Port[[#This Row],[CNY -&gt; THB]]</f>
        <v>0</v>
      </c>
      <c r="AF625" s="507">
        <f>Port[[#This Row],[EAD (CNY)]]*Port[[#This Row],[CNY -&gt; THB]]</f>
        <v>714429.40789079992</v>
      </c>
      <c r="AG625" s="507">
        <f>Port[[#This Row],[EAD_Interest (CNY)]]*Port[[#This Row],[CNY -&gt; THB]]</f>
        <v>0</v>
      </c>
      <c r="AH625" s="507">
        <f>Port[[#This Row],[ECL_Drawn (CNY)]]*Port[[#This Row],[CNY -&gt; THB]]</f>
        <v>9422.7794182953548</v>
      </c>
      <c r="AI625" s="507">
        <f>Port[[#This Row],[ECL_Undrawn (CNY)]]*Port[[#This Row],[CNY -&gt; THB]]</f>
        <v>0</v>
      </c>
      <c r="AJ625" s="507">
        <f>Port[[#This Row],[ECL (CNY)]]*Port[[#This Row],[CNY -&gt; THB]]</f>
        <v>9422.7794182953548</v>
      </c>
      <c r="AK625" s="507">
        <f>Port[[#This Row],[ECL_Interest (CNY)]]*Port[[#This Row],[CNY -&gt; THB]]</f>
        <v>0</v>
      </c>
      <c r="AL625" s="507">
        <f>Port[[#This Row],[EAD (THB)]]*Port[[#This Row],[PD_avg]]</f>
        <v>9318.9452859983794</v>
      </c>
      <c r="AM625" s="507">
        <f>Port[[#This Row],[EAD_Interest (THB)]]*Port[[#This Row],[PD_avg]]</f>
        <v>0</v>
      </c>
      <c r="AN625" s="507">
        <f>Port[[#This Row],[EAD (THB)]]*Port[[#This Row],[LGD_avg]]</f>
        <v>722389.76771469996</v>
      </c>
      <c r="AO625" s="507">
        <f>Port[[#This Row],[EAD_Interest (THB)]]*Port[[#This Row],[LGD_avg]]</f>
        <v>0</v>
      </c>
      <c r="AP625" s="507">
        <f>Port[[#This Row],[EAD_Drawn (THB)]]+Port[[#This Row],[EAD_Interest (THB)]]</f>
        <v>714429.40789079992</v>
      </c>
      <c r="AQ6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9422.7794182953548</v>
      </c>
      <c r="AR625" s="522">
        <f>MAX(Port[[#This Row],[ECL (THB)]]+Port[[#This Row],[ECL_Interest (THB)]], Port[[#This Row],[ECL CBIRC (THB)]])</f>
        <v>9422.7794182953548</v>
      </c>
    </row>
    <row r="626" spans="1:44">
      <c r="A626" s="2" t="s">
        <v>435</v>
      </c>
      <c r="B626" s="2" t="s">
        <v>382</v>
      </c>
      <c r="C626" s="2" t="s">
        <v>379</v>
      </c>
      <c r="D626" s="2" t="s">
        <v>30</v>
      </c>
      <c r="E626" s="2" t="s">
        <v>19</v>
      </c>
      <c r="F626" s="2" t="s">
        <v>380</v>
      </c>
      <c r="G626" s="2" t="s">
        <v>57</v>
      </c>
      <c r="H626">
        <v>1</v>
      </c>
      <c r="I626" s="2" t="s">
        <v>526</v>
      </c>
      <c r="J626" s="505">
        <v>1.3043899345507868E-2</v>
      </c>
      <c r="K626" s="505">
        <v>4.6796345409951701E-2</v>
      </c>
      <c r="L626" s="3">
        <v>0.15684552284455039</v>
      </c>
      <c r="M626" s="3">
        <v>5.2488000000000001</v>
      </c>
      <c r="N626" s="507">
        <v>476971.90266599995</v>
      </c>
      <c r="O626" s="507">
        <v>0</v>
      </c>
      <c r="P626" s="507">
        <v>476971.90266599995</v>
      </c>
      <c r="Q626" s="507">
        <v>0</v>
      </c>
      <c r="R626" s="507">
        <v>291.14690198514211</v>
      </c>
      <c r="S626" s="507">
        <v>0</v>
      </c>
      <c r="T626" s="507">
        <v>291.14690198514211</v>
      </c>
      <c r="U626" s="507">
        <v>0</v>
      </c>
      <c r="V626" s="507">
        <f>Port[[#This Row],[EAD_Drawn (CNY)]]*Port[[#This Row],[CNY -&gt; FCY]]</f>
        <v>74810.90745580876</v>
      </c>
      <c r="W626" s="507">
        <f>Port[[#This Row],[EAD_Undrawn (CNY)]]*Port[[#This Row],[CNY -&gt; FCY]]</f>
        <v>0</v>
      </c>
      <c r="X626" s="507">
        <f>Port[[#This Row],[EAD (CNY)]]*Port[[#This Row],[CNY -&gt; FCY]]</f>
        <v>74810.90745580876</v>
      </c>
      <c r="Y626" s="507">
        <f>Port[[#This Row],[EAD_Interest (CNY)]]*Port[[#This Row],[CNY -&gt; FCY]]</f>
        <v>0</v>
      </c>
      <c r="Z626" s="507">
        <f>Port[[#This Row],[ECL_Drawn (CNY)]]*Port[[#This Row],[CNY -&gt; FCY]]</f>
        <v>45.665088066430677</v>
      </c>
      <c r="AA626" s="507">
        <f>Port[[#This Row],[ECL_Undrawn (CNY)]]*Port[[#This Row],[CNY -&gt; FCY]]</f>
        <v>0</v>
      </c>
      <c r="AB626" s="507">
        <f>Port[[#This Row],[ECL (CNY)]]*Port[[#This Row],[CNY -&gt; FCY]]</f>
        <v>45.665088066430677</v>
      </c>
      <c r="AC626" s="507">
        <f>Port[[#This Row],[ECL_Interest (CNY)]]*Port[[#This Row],[CNY -&gt; FCY]]</f>
        <v>0</v>
      </c>
      <c r="AD626" s="507">
        <f>Port[[#This Row],[EAD_Drawn (CNY)]]*Port[[#This Row],[CNY -&gt; THB]]</f>
        <v>2503530.1227133004</v>
      </c>
      <c r="AE626" s="507">
        <f>Port[[#This Row],[EAD_Undrawn (CNY)]]*Port[[#This Row],[CNY -&gt; THB]]</f>
        <v>0</v>
      </c>
      <c r="AF626" s="507">
        <f>Port[[#This Row],[EAD (CNY)]]*Port[[#This Row],[CNY -&gt; THB]]</f>
        <v>2503530.1227133004</v>
      </c>
      <c r="AG626" s="507">
        <f>Port[[#This Row],[EAD_Interest (CNY)]]*Port[[#This Row],[CNY -&gt; THB]]</f>
        <v>0</v>
      </c>
      <c r="AH626" s="507">
        <f>Port[[#This Row],[ECL_Drawn (CNY)]]*Port[[#This Row],[CNY -&gt; THB]]</f>
        <v>1528.1718591396138</v>
      </c>
      <c r="AI626" s="507">
        <f>Port[[#This Row],[ECL_Undrawn (CNY)]]*Port[[#This Row],[CNY -&gt; THB]]</f>
        <v>0</v>
      </c>
      <c r="AJ626" s="507">
        <f>Port[[#This Row],[ECL (CNY)]]*Port[[#This Row],[CNY -&gt; THB]]</f>
        <v>1528.1718591396138</v>
      </c>
      <c r="AK626" s="507">
        <f>Port[[#This Row],[ECL_Interest (CNY)]]*Port[[#This Row],[CNY -&gt; THB]]</f>
        <v>0</v>
      </c>
      <c r="AL626" s="507">
        <f>Port[[#This Row],[EAD (THB)]]*Port[[#This Row],[PD_avg]]</f>
        <v>32655.794929119253</v>
      </c>
      <c r="AM626" s="507">
        <f>Port[[#This Row],[EAD_Interest (THB)]]*Port[[#This Row],[PD_avg]]</f>
        <v>0</v>
      </c>
      <c r="AN626" s="507">
        <f>Port[[#This Row],[EAD (THB)]]*Port[[#This Row],[LGD_avg]]</f>
        <v>117156.06036671037</v>
      </c>
      <c r="AO626" s="507">
        <f>Port[[#This Row],[EAD_Interest (THB)]]*Port[[#This Row],[LGD_avg]]</f>
        <v>0</v>
      </c>
      <c r="AP626" s="507">
        <f>Port[[#This Row],[EAD_Drawn (THB)]]+Port[[#This Row],[EAD_Interest (THB)]]</f>
        <v>2503530.1227133004</v>
      </c>
      <c r="AQ6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1528.1718591396138</v>
      </c>
      <c r="AR626" s="522">
        <f>MAX(Port[[#This Row],[ECL (THB)]]+Port[[#This Row],[ECL_Interest (THB)]], Port[[#This Row],[ECL CBIRC (THB)]])</f>
        <v>1528.1718591396138</v>
      </c>
    </row>
    <row r="627" spans="1:44">
      <c r="A627" s="2" t="s">
        <v>436</v>
      </c>
      <c r="B627" s="2" t="s">
        <v>382</v>
      </c>
      <c r="C627" s="2" t="s">
        <v>379</v>
      </c>
      <c r="D627" s="2" t="s">
        <v>30</v>
      </c>
      <c r="E627" s="2" t="s">
        <v>19</v>
      </c>
      <c r="F627" s="2" t="s">
        <v>380</v>
      </c>
      <c r="G627" s="2" t="s">
        <v>57</v>
      </c>
      <c r="H627">
        <v>1</v>
      </c>
      <c r="I627" s="2" t="s">
        <v>526</v>
      </c>
      <c r="J627" s="505">
        <v>1.3043899345507868E-2</v>
      </c>
      <c r="K627" s="505">
        <v>0.56731759608392862</v>
      </c>
      <c r="L627" s="3">
        <v>0.15684552284455039</v>
      </c>
      <c r="M627" s="3">
        <v>5.2488000000000001</v>
      </c>
      <c r="N627" s="507">
        <v>152921.676852</v>
      </c>
      <c r="O627" s="507">
        <v>0</v>
      </c>
      <c r="P627" s="507">
        <v>152921.676852</v>
      </c>
      <c r="Q627" s="507">
        <v>0</v>
      </c>
      <c r="R627" s="507">
        <v>1131.6255499704566</v>
      </c>
      <c r="S627" s="507">
        <v>0</v>
      </c>
      <c r="T627" s="507">
        <v>1131.6255499704566</v>
      </c>
      <c r="U627" s="507">
        <v>0</v>
      </c>
      <c r="V627" s="507">
        <f>Port[[#This Row],[EAD_Drawn (CNY)]]*Port[[#This Row],[CNY -&gt; FCY]]</f>
        <v>23985.080360117317</v>
      </c>
      <c r="W627" s="507">
        <f>Port[[#This Row],[EAD_Undrawn (CNY)]]*Port[[#This Row],[CNY -&gt; FCY]]</f>
        <v>0</v>
      </c>
      <c r="X627" s="507">
        <f>Port[[#This Row],[EAD (CNY)]]*Port[[#This Row],[CNY -&gt; FCY]]</f>
        <v>23985.080360117317</v>
      </c>
      <c r="Y627" s="507">
        <f>Port[[#This Row],[EAD_Interest (CNY)]]*Port[[#This Row],[CNY -&gt; FCY]]</f>
        <v>0</v>
      </c>
      <c r="Z627" s="507">
        <f>Port[[#This Row],[ECL_Drawn (CNY)]]*Port[[#This Row],[CNY -&gt; FCY]]</f>
        <v>177.49040104936816</v>
      </c>
      <c r="AA627" s="507">
        <f>Port[[#This Row],[ECL_Undrawn (CNY)]]*Port[[#This Row],[CNY -&gt; FCY]]</f>
        <v>0</v>
      </c>
      <c r="AB627" s="507">
        <f>Port[[#This Row],[ECL (CNY)]]*Port[[#This Row],[CNY -&gt; FCY]]</f>
        <v>177.49040104936816</v>
      </c>
      <c r="AC627" s="507">
        <f>Port[[#This Row],[ECL_Interest (CNY)]]*Port[[#This Row],[CNY -&gt; FCY]]</f>
        <v>0</v>
      </c>
      <c r="AD627" s="507">
        <f>Port[[#This Row],[EAD_Drawn (CNY)]]*Port[[#This Row],[CNY -&gt; THB]]</f>
        <v>802655.29746077769</v>
      </c>
      <c r="AE627" s="507">
        <f>Port[[#This Row],[EAD_Undrawn (CNY)]]*Port[[#This Row],[CNY -&gt; THB]]</f>
        <v>0</v>
      </c>
      <c r="AF627" s="507">
        <f>Port[[#This Row],[EAD (CNY)]]*Port[[#This Row],[CNY -&gt; THB]]</f>
        <v>802655.29746077769</v>
      </c>
      <c r="AG627" s="507">
        <f>Port[[#This Row],[EAD_Interest (CNY)]]*Port[[#This Row],[CNY -&gt; THB]]</f>
        <v>0</v>
      </c>
      <c r="AH627" s="507">
        <f>Port[[#This Row],[ECL_Drawn (CNY)]]*Port[[#This Row],[CNY -&gt; THB]]</f>
        <v>5939.6761866849329</v>
      </c>
      <c r="AI627" s="507">
        <f>Port[[#This Row],[ECL_Undrawn (CNY)]]*Port[[#This Row],[CNY -&gt; THB]]</f>
        <v>0</v>
      </c>
      <c r="AJ627" s="507">
        <f>Port[[#This Row],[ECL (CNY)]]*Port[[#This Row],[CNY -&gt; THB]]</f>
        <v>5939.6761866849329</v>
      </c>
      <c r="AK627" s="507">
        <f>Port[[#This Row],[ECL_Interest (CNY)]]*Port[[#This Row],[CNY -&gt; THB]]</f>
        <v>0</v>
      </c>
      <c r="AL627" s="507">
        <f>Port[[#This Row],[EAD (THB)]]*Port[[#This Row],[PD_avg]]</f>
        <v>10469.754909217061</v>
      </c>
      <c r="AM627" s="507">
        <f>Port[[#This Row],[EAD_Interest (THB)]]*Port[[#This Row],[PD_avg]]</f>
        <v>0</v>
      </c>
      <c r="AN627" s="507">
        <f>Port[[#This Row],[EAD (THB)]]*Port[[#This Row],[LGD_avg]]</f>
        <v>455360.47383947903</v>
      </c>
      <c r="AO627" s="507">
        <f>Port[[#This Row],[EAD_Interest (THB)]]*Port[[#This Row],[LGD_avg]]</f>
        <v>0</v>
      </c>
      <c r="AP627" s="507">
        <f>Port[[#This Row],[EAD_Drawn (THB)]]+Port[[#This Row],[EAD_Interest (THB)]]</f>
        <v>802655.29746077769</v>
      </c>
      <c r="AQ6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5939.6761866849329</v>
      </c>
      <c r="AR627" s="522">
        <f>MAX(Port[[#This Row],[ECL (THB)]]+Port[[#This Row],[ECL_Interest (THB)]], Port[[#This Row],[ECL CBIRC (THB)]])</f>
        <v>5939.6761866849329</v>
      </c>
    </row>
    <row r="628" spans="1:44">
      <c r="A628" s="2" t="s">
        <v>437</v>
      </c>
      <c r="B628" s="2" t="s">
        <v>382</v>
      </c>
      <c r="C628" s="2" t="s">
        <v>379</v>
      </c>
      <c r="D628" s="2" t="s">
        <v>30</v>
      </c>
      <c r="E628" s="2" t="s">
        <v>19</v>
      </c>
      <c r="F628" s="2" t="s">
        <v>380</v>
      </c>
      <c r="G628" s="2" t="s">
        <v>57</v>
      </c>
      <c r="H628">
        <v>1</v>
      </c>
      <c r="I628" s="2" t="s">
        <v>526</v>
      </c>
      <c r="J628" s="505">
        <v>1.3043899345507868E-2</v>
      </c>
      <c r="K628" s="505">
        <v>8.825731108515372</v>
      </c>
      <c r="L628" s="3">
        <v>0.15684552284455039</v>
      </c>
      <c r="M628" s="3">
        <v>5.2488000000000001</v>
      </c>
      <c r="N628" s="507">
        <v>96394.620112000004</v>
      </c>
      <c r="O628" s="507">
        <v>0</v>
      </c>
      <c r="P628" s="507">
        <v>96394.620112000004</v>
      </c>
      <c r="Q628" s="507">
        <v>0</v>
      </c>
      <c r="R628" s="507">
        <v>11097.13646618342</v>
      </c>
      <c r="S628" s="507">
        <v>0</v>
      </c>
      <c r="T628" s="507">
        <v>11097.13646618342</v>
      </c>
      <c r="U628" s="507">
        <v>0</v>
      </c>
      <c r="V628" s="507">
        <f>Port[[#This Row],[EAD_Drawn (CNY)]]*Port[[#This Row],[CNY -&gt; FCY]]</f>
        <v>15119.064590868453</v>
      </c>
      <c r="W628" s="507">
        <f>Port[[#This Row],[EAD_Undrawn (CNY)]]*Port[[#This Row],[CNY -&gt; FCY]]</f>
        <v>0</v>
      </c>
      <c r="X628" s="507">
        <f>Port[[#This Row],[EAD (CNY)]]*Port[[#This Row],[CNY -&gt; FCY]]</f>
        <v>15119.064590868453</v>
      </c>
      <c r="Y628" s="507">
        <f>Port[[#This Row],[EAD_Interest (CNY)]]*Port[[#This Row],[CNY -&gt; FCY]]</f>
        <v>0</v>
      </c>
      <c r="Z628" s="507">
        <f>Port[[#This Row],[ECL_Drawn (CNY)]]*Port[[#This Row],[CNY -&gt; FCY]]</f>
        <v>1740.5361711158648</v>
      </c>
      <c r="AA628" s="507">
        <f>Port[[#This Row],[ECL_Undrawn (CNY)]]*Port[[#This Row],[CNY -&gt; FCY]]</f>
        <v>0</v>
      </c>
      <c r="AB628" s="507">
        <f>Port[[#This Row],[ECL (CNY)]]*Port[[#This Row],[CNY -&gt; FCY]]</f>
        <v>1740.5361711158648</v>
      </c>
      <c r="AC628" s="507">
        <f>Port[[#This Row],[ECL_Interest (CNY)]]*Port[[#This Row],[CNY -&gt; FCY]]</f>
        <v>0</v>
      </c>
      <c r="AD628" s="507">
        <f>Port[[#This Row],[EAD_Drawn (CNY)]]*Port[[#This Row],[CNY -&gt; THB]]</f>
        <v>505956.08204386564</v>
      </c>
      <c r="AE628" s="507">
        <f>Port[[#This Row],[EAD_Undrawn (CNY)]]*Port[[#This Row],[CNY -&gt; THB]]</f>
        <v>0</v>
      </c>
      <c r="AF628" s="507">
        <f>Port[[#This Row],[EAD (CNY)]]*Port[[#This Row],[CNY -&gt; THB]]</f>
        <v>505956.08204386564</v>
      </c>
      <c r="AG628" s="507">
        <f>Port[[#This Row],[EAD_Interest (CNY)]]*Port[[#This Row],[CNY -&gt; THB]]</f>
        <v>0</v>
      </c>
      <c r="AH628" s="507">
        <f>Port[[#This Row],[ECL_Drawn (CNY)]]*Port[[#This Row],[CNY -&gt; THB]]</f>
        <v>58246.649883703532</v>
      </c>
      <c r="AI628" s="507">
        <f>Port[[#This Row],[ECL_Undrawn (CNY)]]*Port[[#This Row],[CNY -&gt; THB]]</f>
        <v>0</v>
      </c>
      <c r="AJ628" s="507">
        <f>Port[[#This Row],[ECL (CNY)]]*Port[[#This Row],[CNY -&gt; THB]]</f>
        <v>58246.649883703532</v>
      </c>
      <c r="AK628" s="507">
        <f>Port[[#This Row],[ECL_Interest (CNY)]]*Port[[#This Row],[CNY -&gt; THB]]</f>
        <v>0</v>
      </c>
      <c r="AL628" s="507">
        <f>Port[[#This Row],[EAD (THB)]]*Port[[#This Row],[PD_avg]]</f>
        <v>6599.6402074277039</v>
      </c>
      <c r="AM628" s="507">
        <f>Port[[#This Row],[EAD_Interest (THB)]]*Port[[#This Row],[PD_avg]]</f>
        <v>0</v>
      </c>
      <c r="AN628" s="507">
        <f>Port[[#This Row],[EAD (THB)]]*Port[[#This Row],[LGD_avg]]</f>
        <v>4465432.3328371011</v>
      </c>
      <c r="AO628" s="507">
        <f>Port[[#This Row],[EAD_Interest (THB)]]*Port[[#This Row],[LGD_avg]]</f>
        <v>0</v>
      </c>
      <c r="AP628" s="507">
        <f>Port[[#This Row],[EAD_Drawn (THB)]]+Port[[#This Row],[EAD_Interest (THB)]]</f>
        <v>505956.08204386564</v>
      </c>
      <c r="AQ6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58246.649883703532</v>
      </c>
      <c r="AR628" s="522">
        <f>MAX(Port[[#This Row],[ECL (THB)]]+Port[[#This Row],[ECL_Interest (THB)]], Port[[#This Row],[ECL CBIRC (THB)]])</f>
        <v>58246.649883703532</v>
      </c>
    </row>
    <row r="629" spans="1:44">
      <c r="A629" s="2" t="s">
        <v>438</v>
      </c>
      <c r="B629" s="2" t="s">
        <v>382</v>
      </c>
      <c r="C629" s="2" t="s">
        <v>379</v>
      </c>
      <c r="D629" s="2" t="s">
        <v>30</v>
      </c>
      <c r="E629" s="2" t="s">
        <v>19</v>
      </c>
      <c r="F629" s="2" t="s">
        <v>380</v>
      </c>
      <c r="G629" s="2" t="s">
        <v>57</v>
      </c>
      <c r="H629">
        <v>1</v>
      </c>
      <c r="I629" s="2" t="s">
        <v>526</v>
      </c>
      <c r="J629" s="505">
        <v>1.3043899345507868E-2</v>
      </c>
      <c r="K629" s="505">
        <v>4.1039605628033458E-2</v>
      </c>
      <c r="L629" s="3">
        <v>0.15684552284455039</v>
      </c>
      <c r="M629" s="3">
        <v>5.2488000000000001</v>
      </c>
      <c r="N629" s="507">
        <v>945281.10823999997</v>
      </c>
      <c r="O629" s="507">
        <v>0</v>
      </c>
      <c r="P629" s="507">
        <v>945281.10823999997</v>
      </c>
      <c r="Q629" s="507">
        <v>0</v>
      </c>
      <c r="R629" s="507">
        <v>506.02456019181818</v>
      </c>
      <c r="S629" s="507">
        <v>0</v>
      </c>
      <c r="T629" s="507">
        <v>506.02456019181818</v>
      </c>
      <c r="U629" s="507">
        <v>0</v>
      </c>
      <c r="V629" s="507">
        <f>Port[[#This Row],[EAD_Drawn (CNY)]]*Port[[#This Row],[CNY -&gt; FCY]]</f>
        <v>148263.10965697884</v>
      </c>
      <c r="W629" s="507">
        <f>Port[[#This Row],[EAD_Undrawn (CNY)]]*Port[[#This Row],[CNY -&gt; FCY]]</f>
        <v>0</v>
      </c>
      <c r="X629" s="507">
        <f>Port[[#This Row],[EAD (CNY)]]*Port[[#This Row],[CNY -&gt; FCY]]</f>
        <v>148263.10965697884</v>
      </c>
      <c r="Y629" s="507">
        <f>Port[[#This Row],[EAD_Interest (CNY)]]*Port[[#This Row],[CNY -&gt; FCY]]</f>
        <v>0</v>
      </c>
      <c r="Z629" s="507">
        <f>Port[[#This Row],[ECL_Drawn (CNY)]]*Port[[#This Row],[CNY -&gt; FCY]]</f>
        <v>79.367686715469375</v>
      </c>
      <c r="AA629" s="507">
        <f>Port[[#This Row],[ECL_Undrawn (CNY)]]*Port[[#This Row],[CNY -&gt; FCY]]</f>
        <v>0</v>
      </c>
      <c r="AB629" s="507">
        <f>Port[[#This Row],[ECL (CNY)]]*Port[[#This Row],[CNY -&gt; FCY]]</f>
        <v>79.367686715469375</v>
      </c>
      <c r="AC629" s="507">
        <f>Port[[#This Row],[ECL_Interest (CNY)]]*Port[[#This Row],[CNY -&gt; FCY]]</f>
        <v>0</v>
      </c>
      <c r="AD629" s="507">
        <f>Port[[#This Row],[EAD_Drawn (CNY)]]*Port[[#This Row],[CNY -&gt; THB]]</f>
        <v>4961591.4809301123</v>
      </c>
      <c r="AE629" s="507">
        <f>Port[[#This Row],[EAD_Undrawn (CNY)]]*Port[[#This Row],[CNY -&gt; THB]]</f>
        <v>0</v>
      </c>
      <c r="AF629" s="507">
        <f>Port[[#This Row],[EAD (CNY)]]*Port[[#This Row],[CNY -&gt; THB]]</f>
        <v>4961591.4809301123</v>
      </c>
      <c r="AG629" s="507">
        <f>Port[[#This Row],[EAD_Interest (CNY)]]*Port[[#This Row],[CNY -&gt; THB]]</f>
        <v>0</v>
      </c>
      <c r="AH629" s="507">
        <f>Port[[#This Row],[ECL_Drawn (CNY)]]*Port[[#This Row],[CNY -&gt; THB]]</f>
        <v>2656.0217115348155</v>
      </c>
      <c r="AI629" s="507">
        <f>Port[[#This Row],[ECL_Undrawn (CNY)]]*Port[[#This Row],[CNY -&gt; THB]]</f>
        <v>0</v>
      </c>
      <c r="AJ629" s="507">
        <f>Port[[#This Row],[ECL (CNY)]]*Port[[#This Row],[CNY -&gt; THB]]</f>
        <v>2656.0217115348155</v>
      </c>
      <c r="AK629" s="507">
        <f>Port[[#This Row],[ECL_Interest (CNY)]]*Port[[#This Row],[CNY -&gt; THB]]</f>
        <v>0</v>
      </c>
      <c r="AL629" s="507">
        <f>Port[[#This Row],[EAD (THB)]]*Port[[#This Row],[PD_avg]]</f>
        <v>64718.499870781707</v>
      </c>
      <c r="AM629" s="507">
        <f>Port[[#This Row],[EAD_Interest (THB)]]*Port[[#This Row],[PD_avg]]</f>
        <v>0</v>
      </c>
      <c r="AN629" s="507">
        <f>Port[[#This Row],[EAD (THB)]]*Port[[#This Row],[LGD_avg]]</f>
        <v>203621.75766478229</v>
      </c>
      <c r="AO629" s="507">
        <f>Port[[#This Row],[EAD_Interest (THB)]]*Port[[#This Row],[LGD_avg]]</f>
        <v>0</v>
      </c>
      <c r="AP629" s="507">
        <f>Port[[#This Row],[EAD_Drawn (THB)]]+Port[[#This Row],[EAD_Interest (THB)]]</f>
        <v>4961591.4809301123</v>
      </c>
      <c r="AQ6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2656.0217115348155</v>
      </c>
      <c r="AR629" s="522">
        <f>MAX(Port[[#This Row],[ECL (THB)]]+Port[[#This Row],[ECL_Interest (THB)]], Port[[#This Row],[ECL CBIRC (THB)]])</f>
        <v>2656.0217115348155</v>
      </c>
    </row>
    <row r="630" spans="1:44">
      <c r="A630" s="2" t="s">
        <v>439</v>
      </c>
      <c r="B630" s="2" t="s">
        <v>382</v>
      </c>
      <c r="C630" s="2" t="s">
        <v>379</v>
      </c>
      <c r="D630" s="2" t="s">
        <v>30</v>
      </c>
      <c r="E630" s="2" t="s">
        <v>19</v>
      </c>
      <c r="F630" s="2" t="s">
        <v>380</v>
      </c>
      <c r="G630" s="2" t="s">
        <v>57</v>
      </c>
      <c r="H630">
        <v>1</v>
      </c>
      <c r="I630" s="2" t="s">
        <v>526</v>
      </c>
      <c r="J630" s="505">
        <v>1.3043899345507868E-2</v>
      </c>
      <c r="K630" s="505">
        <v>0.9</v>
      </c>
      <c r="L630" s="3">
        <v>0.15684552284455039</v>
      </c>
      <c r="M630" s="3">
        <v>5.2488000000000001</v>
      </c>
      <c r="N630" s="507">
        <v>104856.13312999999</v>
      </c>
      <c r="O630" s="507">
        <v>0</v>
      </c>
      <c r="P630" s="507">
        <v>104856.13312999999</v>
      </c>
      <c r="Q630" s="507">
        <v>0</v>
      </c>
      <c r="R630" s="507">
        <v>1230.9595616762035</v>
      </c>
      <c r="S630" s="507">
        <v>0</v>
      </c>
      <c r="T630" s="507">
        <v>1230.9595616762035</v>
      </c>
      <c r="U630" s="507">
        <v>0</v>
      </c>
      <c r="V630" s="507">
        <f>Port[[#This Row],[EAD_Drawn (CNY)]]*Port[[#This Row],[CNY -&gt; FCY]]</f>
        <v>16446.215024232632</v>
      </c>
      <c r="W630" s="507">
        <f>Port[[#This Row],[EAD_Undrawn (CNY)]]*Port[[#This Row],[CNY -&gt; FCY]]</f>
        <v>0</v>
      </c>
      <c r="X630" s="507">
        <f>Port[[#This Row],[EAD (CNY)]]*Port[[#This Row],[CNY -&gt; FCY]]</f>
        <v>16446.215024232632</v>
      </c>
      <c r="Y630" s="507">
        <f>Port[[#This Row],[EAD_Interest (CNY)]]*Port[[#This Row],[CNY -&gt; FCY]]</f>
        <v>0</v>
      </c>
      <c r="Z630" s="507">
        <f>Port[[#This Row],[ECL_Drawn (CNY)]]*Port[[#This Row],[CNY -&gt; FCY]]</f>
        <v>193.0704960516027</v>
      </c>
      <c r="AA630" s="507">
        <f>Port[[#This Row],[ECL_Undrawn (CNY)]]*Port[[#This Row],[CNY -&gt; FCY]]</f>
        <v>0</v>
      </c>
      <c r="AB630" s="507">
        <f>Port[[#This Row],[ECL (CNY)]]*Port[[#This Row],[CNY -&gt; FCY]]</f>
        <v>193.0704960516027</v>
      </c>
      <c r="AC630" s="507">
        <f>Port[[#This Row],[ECL_Interest (CNY)]]*Port[[#This Row],[CNY -&gt; FCY]]</f>
        <v>0</v>
      </c>
      <c r="AD630" s="507">
        <f>Port[[#This Row],[EAD_Drawn (CNY)]]*Port[[#This Row],[CNY -&gt; THB]]</f>
        <v>550368.87157274398</v>
      </c>
      <c r="AE630" s="507">
        <f>Port[[#This Row],[EAD_Undrawn (CNY)]]*Port[[#This Row],[CNY -&gt; THB]]</f>
        <v>0</v>
      </c>
      <c r="AF630" s="507">
        <f>Port[[#This Row],[EAD (CNY)]]*Port[[#This Row],[CNY -&gt; THB]]</f>
        <v>550368.87157274398</v>
      </c>
      <c r="AG630" s="507">
        <f>Port[[#This Row],[EAD_Interest (CNY)]]*Port[[#This Row],[CNY -&gt; THB]]</f>
        <v>0</v>
      </c>
      <c r="AH630" s="507">
        <f>Port[[#This Row],[ECL_Drawn (CNY)]]*Port[[#This Row],[CNY -&gt; THB]]</f>
        <v>6461.0605473260575</v>
      </c>
      <c r="AI630" s="507">
        <f>Port[[#This Row],[ECL_Undrawn (CNY)]]*Port[[#This Row],[CNY -&gt; THB]]</f>
        <v>0</v>
      </c>
      <c r="AJ630" s="507">
        <f>Port[[#This Row],[ECL (CNY)]]*Port[[#This Row],[CNY -&gt; THB]]</f>
        <v>6461.0605473260575</v>
      </c>
      <c r="AK630" s="507">
        <f>Port[[#This Row],[ECL_Interest (CNY)]]*Port[[#This Row],[CNY -&gt; THB]]</f>
        <v>0</v>
      </c>
      <c r="AL630" s="507">
        <f>Port[[#This Row],[EAD (THB)]]*Port[[#This Row],[PD_avg]]</f>
        <v>7178.9561636956196</v>
      </c>
      <c r="AM630" s="507">
        <f>Port[[#This Row],[EAD_Interest (THB)]]*Port[[#This Row],[PD_avg]]</f>
        <v>0</v>
      </c>
      <c r="AN630" s="507">
        <f>Port[[#This Row],[EAD (THB)]]*Port[[#This Row],[LGD_avg]]</f>
        <v>495331.98441546957</v>
      </c>
      <c r="AO630" s="507">
        <f>Port[[#This Row],[EAD_Interest (THB)]]*Port[[#This Row],[LGD_avg]]</f>
        <v>0</v>
      </c>
      <c r="AP630" s="507">
        <f>Port[[#This Row],[EAD_Drawn (THB)]]+Port[[#This Row],[EAD_Interest (THB)]]</f>
        <v>550368.87157274398</v>
      </c>
      <c r="AQ6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6461.0605473260575</v>
      </c>
      <c r="AR630" s="522">
        <f>MAX(Port[[#This Row],[ECL (THB)]]+Port[[#This Row],[ECL_Interest (THB)]], Port[[#This Row],[ECL CBIRC (THB)]])</f>
        <v>6461.0605473260575</v>
      </c>
    </row>
    <row r="631" spans="1:44">
      <c r="A631" s="2" t="s">
        <v>440</v>
      </c>
      <c r="B631" s="2" t="s">
        <v>382</v>
      </c>
      <c r="C631" s="2" t="s">
        <v>379</v>
      </c>
      <c r="D631" s="2" t="s">
        <v>30</v>
      </c>
      <c r="E631" s="2" t="s">
        <v>19</v>
      </c>
      <c r="F631" s="2" t="s">
        <v>380</v>
      </c>
      <c r="G631" s="2" t="s">
        <v>57</v>
      </c>
      <c r="H631">
        <v>1</v>
      </c>
      <c r="I631" s="2" t="s">
        <v>526</v>
      </c>
      <c r="J631" s="505">
        <v>1.3043899345507868E-2</v>
      </c>
      <c r="K631" s="505">
        <v>0.9</v>
      </c>
      <c r="L631" s="3">
        <v>0.15684552284455039</v>
      </c>
      <c r="M631" s="3">
        <v>5.2488000000000001</v>
      </c>
      <c r="N631" s="507">
        <v>36761.023977999997</v>
      </c>
      <c r="O631" s="507">
        <v>0</v>
      </c>
      <c r="P631" s="507">
        <v>36761.023977999997</v>
      </c>
      <c r="Q631" s="507">
        <v>0</v>
      </c>
      <c r="R631" s="507">
        <v>431.55638694614993</v>
      </c>
      <c r="S631" s="507">
        <v>0</v>
      </c>
      <c r="T631" s="507">
        <v>431.55638694614993</v>
      </c>
      <c r="U631" s="507">
        <v>0</v>
      </c>
      <c r="V631" s="507">
        <f>Port[[#This Row],[EAD_Drawn (CNY)]]*Port[[#This Row],[CNY -&gt; FCY]]</f>
        <v>5765.8020261304628</v>
      </c>
      <c r="W631" s="507">
        <f>Port[[#This Row],[EAD_Undrawn (CNY)]]*Port[[#This Row],[CNY -&gt; FCY]]</f>
        <v>0</v>
      </c>
      <c r="X631" s="507">
        <f>Port[[#This Row],[EAD (CNY)]]*Port[[#This Row],[CNY -&gt; FCY]]</f>
        <v>5765.8020261304628</v>
      </c>
      <c r="Y631" s="507">
        <f>Port[[#This Row],[EAD_Interest (CNY)]]*Port[[#This Row],[CNY -&gt; FCY]]</f>
        <v>0</v>
      </c>
      <c r="Z631" s="507">
        <f>Port[[#This Row],[ECL_Drawn (CNY)]]*Port[[#This Row],[CNY -&gt; FCY]]</f>
        <v>67.68768714747398</v>
      </c>
      <c r="AA631" s="507">
        <f>Port[[#This Row],[ECL_Undrawn (CNY)]]*Port[[#This Row],[CNY -&gt; FCY]]</f>
        <v>0</v>
      </c>
      <c r="AB631" s="507">
        <f>Port[[#This Row],[ECL (CNY)]]*Port[[#This Row],[CNY -&gt; FCY]]</f>
        <v>67.68768714747398</v>
      </c>
      <c r="AC631" s="507">
        <f>Port[[#This Row],[ECL_Interest (CNY)]]*Port[[#This Row],[CNY -&gt; FCY]]</f>
        <v>0</v>
      </c>
      <c r="AD631" s="507">
        <f>Port[[#This Row],[EAD_Drawn (CNY)]]*Port[[#This Row],[CNY -&gt; THB]]</f>
        <v>192951.2626557264</v>
      </c>
      <c r="AE631" s="507">
        <f>Port[[#This Row],[EAD_Undrawn (CNY)]]*Port[[#This Row],[CNY -&gt; THB]]</f>
        <v>0</v>
      </c>
      <c r="AF631" s="507">
        <f>Port[[#This Row],[EAD (CNY)]]*Port[[#This Row],[CNY -&gt; THB]]</f>
        <v>192951.2626557264</v>
      </c>
      <c r="AG631" s="507">
        <f>Port[[#This Row],[EAD_Interest (CNY)]]*Port[[#This Row],[CNY -&gt; THB]]</f>
        <v>0</v>
      </c>
      <c r="AH631" s="507">
        <f>Port[[#This Row],[ECL_Drawn (CNY)]]*Port[[#This Row],[CNY -&gt; THB]]</f>
        <v>2265.1531638029519</v>
      </c>
      <c r="AI631" s="507">
        <f>Port[[#This Row],[ECL_Undrawn (CNY)]]*Port[[#This Row],[CNY -&gt; THB]]</f>
        <v>0</v>
      </c>
      <c r="AJ631" s="507">
        <f>Port[[#This Row],[ECL (CNY)]]*Port[[#This Row],[CNY -&gt; THB]]</f>
        <v>2265.1531638029519</v>
      </c>
      <c r="AK631" s="507">
        <f>Port[[#This Row],[ECL_Interest (CNY)]]*Port[[#This Row],[CNY -&gt; THB]]</f>
        <v>0</v>
      </c>
      <c r="AL631" s="507">
        <f>Port[[#This Row],[EAD (THB)]]*Port[[#This Row],[PD_avg]]</f>
        <v>2516.8368486699464</v>
      </c>
      <c r="AM631" s="507">
        <f>Port[[#This Row],[EAD_Interest (THB)]]*Port[[#This Row],[PD_avg]]</f>
        <v>0</v>
      </c>
      <c r="AN631" s="507">
        <f>Port[[#This Row],[EAD (THB)]]*Port[[#This Row],[LGD_avg]]</f>
        <v>173656.13639015376</v>
      </c>
      <c r="AO631" s="507">
        <f>Port[[#This Row],[EAD_Interest (THB)]]*Port[[#This Row],[LGD_avg]]</f>
        <v>0</v>
      </c>
      <c r="AP631" s="507">
        <f>Port[[#This Row],[EAD_Drawn (THB)]]+Port[[#This Row],[EAD_Interest (THB)]]</f>
        <v>192951.2626557264</v>
      </c>
      <c r="AQ6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2265.1531638029519</v>
      </c>
      <c r="AR631" s="522">
        <f>MAX(Port[[#This Row],[ECL (THB)]]+Port[[#This Row],[ECL_Interest (THB)]], Port[[#This Row],[ECL CBIRC (THB)]])</f>
        <v>2265.1531638029519</v>
      </c>
    </row>
    <row r="632" spans="1:44">
      <c r="A632" s="2" t="s">
        <v>441</v>
      </c>
      <c r="B632" s="2" t="s">
        <v>382</v>
      </c>
      <c r="C632" s="2" t="s">
        <v>379</v>
      </c>
      <c r="D632" s="2" t="s">
        <v>30</v>
      </c>
      <c r="E632" s="2" t="s">
        <v>19</v>
      </c>
      <c r="F632" s="2" t="s">
        <v>380</v>
      </c>
      <c r="G632" s="2" t="s">
        <v>57</v>
      </c>
      <c r="H632">
        <v>1</v>
      </c>
      <c r="I632" s="2" t="s">
        <v>526</v>
      </c>
      <c r="J632" s="505">
        <v>1.3043899345507868E-2</v>
      </c>
      <c r="K632" s="505">
        <v>0.90000000000000013</v>
      </c>
      <c r="L632" s="3">
        <v>0.15684552284455039</v>
      </c>
      <c r="M632" s="3">
        <v>5.2488000000000001</v>
      </c>
      <c r="N632" s="507">
        <v>229144.329638</v>
      </c>
      <c r="O632" s="507">
        <v>0</v>
      </c>
      <c r="P632" s="507">
        <v>229144.329638</v>
      </c>
      <c r="Q632" s="507">
        <v>0</v>
      </c>
      <c r="R632" s="507">
        <v>2690.0420142527528</v>
      </c>
      <c r="S632" s="507">
        <v>0</v>
      </c>
      <c r="T632" s="507">
        <v>2690.0420142527528</v>
      </c>
      <c r="U632" s="507">
        <v>0</v>
      </c>
      <c r="V632" s="507">
        <f>Port[[#This Row],[EAD_Drawn (CNY)]]*Port[[#This Row],[CNY -&gt; FCY]]</f>
        <v>35940.262188936111</v>
      </c>
      <c r="W632" s="507">
        <f>Port[[#This Row],[EAD_Undrawn (CNY)]]*Port[[#This Row],[CNY -&gt; FCY]]</f>
        <v>0</v>
      </c>
      <c r="X632" s="507">
        <f>Port[[#This Row],[EAD (CNY)]]*Port[[#This Row],[CNY -&gt; FCY]]</f>
        <v>35940.262188936111</v>
      </c>
      <c r="Y632" s="507">
        <f>Port[[#This Row],[EAD_Interest (CNY)]]*Port[[#This Row],[CNY -&gt; FCY]]</f>
        <v>0</v>
      </c>
      <c r="Z632" s="507">
        <f>Port[[#This Row],[ECL_Drawn (CNY)]]*Port[[#This Row],[CNY -&gt; FCY]]</f>
        <v>421.92104619928045</v>
      </c>
      <c r="AA632" s="507">
        <f>Port[[#This Row],[ECL_Undrawn (CNY)]]*Port[[#This Row],[CNY -&gt; FCY]]</f>
        <v>0</v>
      </c>
      <c r="AB632" s="507">
        <f>Port[[#This Row],[ECL (CNY)]]*Port[[#This Row],[CNY -&gt; FCY]]</f>
        <v>421.92104619928045</v>
      </c>
      <c r="AC632" s="507">
        <f>Port[[#This Row],[ECL_Interest (CNY)]]*Port[[#This Row],[CNY -&gt; FCY]]</f>
        <v>0</v>
      </c>
      <c r="AD632" s="507">
        <f>Port[[#This Row],[EAD_Drawn (CNY)]]*Port[[#This Row],[CNY -&gt; THB]]</f>
        <v>1202732.7574039344</v>
      </c>
      <c r="AE632" s="507">
        <f>Port[[#This Row],[EAD_Undrawn (CNY)]]*Port[[#This Row],[CNY -&gt; THB]]</f>
        <v>0</v>
      </c>
      <c r="AF632" s="507">
        <f>Port[[#This Row],[EAD (CNY)]]*Port[[#This Row],[CNY -&gt; THB]]</f>
        <v>1202732.7574039344</v>
      </c>
      <c r="AG632" s="507">
        <f>Port[[#This Row],[EAD_Interest (CNY)]]*Port[[#This Row],[CNY -&gt; THB]]</f>
        <v>0</v>
      </c>
      <c r="AH632" s="507">
        <f>Port[[#This Row],[ECL_Drawn (CNY)]]*Port[[#This Row],[CNY -&gt; THB]]</f>
        <v>14119.492524409849</v>
      </c>
      <c r="AI632" s="507">
        <f>Port[[#This Row],[ECL_Undrawn (CNY)]]*Port[[#This Row],[CNY -&gt; THB]]</f>
        <v>0</v>
      </c>
      <c r="AJ632" s="507">
        <f>Port[[#This Row],[ECL (CNY)]]*Port[[#This Row],[CNY -&gt; THB]]</f>
        <v>14119.492524409849</v>
      </c>
      <c r="AK632" s="507">
        <f>Port[[#This Row],[ECL_Interest (CNY)]]*Port[[#This Row],[CNY -&gt; THB]]</f>
        <v>0</v>
      </c>
      <c r="AL632" s="507">
        <f>Port[[#This Row],[EAD (THB)]]*Port[[#This Row],[PD_avg]]</f>
        <v>15688.325027122053</v>
      </c>
      <c r="AM632" s="507">
        <f>Port[[#This Row],[EAD_Interest (THB)]]*Port[[#This Row],[PD_avg]]</f>
        <v>0</v>
      </c>
      <c r="AN632" s="507">
        <f>Port[[#This Row],[EAD (THB)]]*Port[[#This Row],[LGD_avg]]</f>
        <v>1082459.4816635412</v>
      </c>
      <c r="AO632" s="507">
        <f>Port[[#This Row],[EAD_Interest (THB)]]*Port[[#This Row],[LGD_avg]]</f>
        <v>0</v>
      </c>
      <c r="AP632" s="507">
        <f>Port[[#This Row],[EAD_Drawn (THB)]]+Port[[#This Row],[EAD_Interest (THB)]]</f>
        <v>1202732.7574039344</v>
      </c>
      <c r="AQ6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14119.492524409849</v>
      </c>
      <c r="AR632" s="522">
        <f>MAX(Port[[#This Row],[ECL (THB)]]+Port[[#This Row],[ECL_Interest (THB)]], Port[[#This Row],[ECL CBIRC (THB)]])</f>
        <v>14119.492524409849</v>
      </c>
    </row>
    <row r="633" spans="1:44">
      <c r="A633" s="2" t="s">
        <v>442</v>
      </c>
      <c r="B633" s="2" t="s">
        <v>382</v>
      </c>
      <c r="C633" s="2" t="s">
        <v>379</v>
      </c>
      <c r="D633" s="2" t="s">
        <v>30</v>
      </c>
      <c r="E633" s="2" t="s">
        <v>19</v>
      </c>
      <c r="F633" s="2" t="s">
        <v>380</v>
      </c>
      <c r="G633" s="2" t="s">
        <v>57</v>
      </c>
      <c r="H633">
        <v>1</v>
      </c>
      <c r="I633" s="2" t="s">
        <v>526</v>
      </c>
      <c r="J633" s="505">
        <v>1.3043899345507868E-2</v>
      </c>
      <c r="K633" s="505">
        <v>0.12960389876908782</v>
      </c>
      <c r="L633" s="3">
        <v>0.15684552284455039</v>
      </c>
      <c r="M633" s="3">
        <v>5.2488000000000001</v>
      </c>
      <c r="N633" s="507">
        <v>188060.427352</v>
      </c>
      <c r="O633" s="507">
        <v>0</v>
      </c>
      <c r="P633" s="507">
        <v>188060.427352</v>
      </c>
      <c r="Q633" s="507">
        <v>0</v>
      </c>
      <c r="R633" s="507">
        <v>317.92371441028178</v>
      </c>
      <c r="S633" s="507">
        <v>0</v>
      </c>
      <c r="T633" s="507">
        <v>317.92371441028178</v>
      </c>
      <c r="U633" s="507">
        <v>0</v>
      </c>
      <c r="V633" s="507">
        <f>Port[[#This Row],[EAD_Drawn (CNY)]]*Port[[#This Row],[CNY -&gt; FCY]]</f>
        <v>29496.436054394024</v>
      </c>
      <c r="W633" s="507">
        <f>Port[[#This Row],[EAD_Undrawn (CNY)]]*Port[[#This Row],[CNY -&gt; FCY]]</f>
        <v>0</v>
      </c>
      <c r="X633" s="507">
        <f>Port[[#This Row],[EAD (CNY)]]*Port[[#This Row],[CNY -&gt; FCY]]</f>
        <v>29496.436054394024</v>
      </c>
      <c r="Y633" s="507">
        <f>Port[[#This Row],[EAD_Interest (CNY)]]*Port[[#This Row],[CNY -&gt; FCY]]</f>
        <v>0</v>
      </c>
      <c r="Z633" s="507">
        <f>Port[[#This Row],[ECL_Drawn (CNY)]]*Port[[#This Row],[CNY -&gt; FCY]]</f>
        <v>49.864911211362163</v>
      </c>
      <c r="AA633" s="507">
        <f>Port[[#This Row],[ECL_Undrawn (CNY)]]*Port[[#This Row],[CNY -&gt; FCY]]</f>
        <v>0</v>
      </c>
      <c r="AB633" s="507">
        <f>Port[[#This Row],[ECL (CNY)]]*Port[[#This Row],[CNY -&gt; FCY]]</f>
        <v>49.864911211362163</v>
      </c>
      <c r="AC633" s="507">
        <f>Port[[#This Row],[ECL_Interest (CNY)]]*Port[[#This Row],[CNY -&gt; FCY]]</f>
        <v>0</v>
      </c>
      <c r="AD633" s="507">
        <f>Port[[#This Row],[EAD_Drawn (CNY)]]*Port[[#This Row],[CNY -&gt; THB]]</f>
        <v>987091.57108517759</v>
      </c>
      <c r="AE633" s="507">
        <f>Port[[#This Row],[EAD_Undrawn (CNY)]]*Port[[#This Row],[CNY -&gt; THB]]</f>
        <v>0</v>
      </c>
      <c r="AF633" s="507">
        <f>Port[[#This Row],[EAD (CNY)]]*Port[[#This Row],[CNY -&gt; THB]]</f>
        <v>987091.57108517759</v>
      </c>
      <c r="AG633" s="507">
        <f>Port[[#This Row],[EAD_Interest (CNY)]]*Port[[#This Row],[CNY -&gt; THB]]</f>
        <v>0</v>
      </c>
      <c r="AH633" s="507">
        <f>Port[[#This Row],[ECL_Drawn (CNY)]]*Port[[#This Row],[CNY -&gt; THB]]</f>
        <v>1668.717992196687</v>
      </c>
      <c r="AI633" s="507">
        <f>Port[[#This Row],[ECL_Undrawn (CNY)]]*Port[[#This Row],[CNY -&gt; THB]]</f>
        <v>0</v>
      </c>
      <c r="AJ633" s="507">
        <f>Port[[#This Row],[ECL (CNY)]]*Port[[#This Row],[CNY -&gt; THB]]</f>
        <v>1668.717992196687</v>
      </c>
      <c r="AK633" s="507">
        <f>Port[[#This Row],[ECL_Interest (CNY)]]*Port[[#This Row],[CNY -&gt; THB]]</f>
        <v>0</v>
      </c>
      <c r="AL633" s="507">
        <f>Port[[#This Row],[EAD (THB)]]*Port[[#This Row],[PD_avg]]</f>
        <v>12875.523098034282</v>
      </c>
      <c r="AM633" s="507">
        <f>Port[[#This Row],[EAD_Interest (THB)]]*Port[[#This Row],[PD_avg]]</f>
        <v>0</v>
      </c>
      <c r="AN633" s="507">
        <f>Port[[#This Row],[EAD (THB)]]*Port[[#This Row],[LGD_avg]]</f>
        <v>127930.91605474321</v>
      </c>
      <c r="AO633" s="507">
        <f>Port[[#This Row],[EAD_Interest (THB)]]*Port[[#This Row],[LGD_avg]]</f>
        <v>0</v>
      </c>
      <c r="AP633" s="507">
        <f>Port[[#This Row],[EAD_Drawn (THB)]]+Port[[#This Row],[EAD_Interest (THB)]]</f>
        <v>987091.57108517759</v>
      </c>
      <c r="AQ6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1668.717992196687</v>
      </c>
      <c r="AR633" s="522">
        <f>MAX(Port[[#This Row],[ECL (THB)]]+Port[[#This Row],[ECL_Interest (THB)]], Port[[#This Row],[ECL CBIRC (THB)]])</f>
        <v>1668.717992196687</v>
      </c>
    </row>
    <row r="634" spans="1:44">
      <c r="A634" s="2" t="s">
        <v>443</v>
      </c>
      <c r="B634" s="2" t="s">
        <v>382</v>
      </c>
      <c r="C634" s="2" t="s">
        <v>379</v>
      </c>
      <c r="D634" s="2" t="s">
        <v>30</v>
      </c>
      <c r="E634" s="2" t="s">
        <v>19</v>
      </c>
      <c r="F634" s="2" t="s">
        <v>380</v>
      </c>
      <c r="G634" s="2" t="s">
        <v>57</v>
      </c>
      <c r="H634">
        <v>1</v>
      </c>
      <c r="I634" s="2" t="s">
        <v>526</v>
      </c>
      <c r="J634" s="505">
        <v>1.3043899345507868E-2</v>
      </c>
      <c r="K634" s="505">
        <v>6.9209343750000016</v>
      </c>
      <c r="L634" s="3">
        <v>0.15684552284455039</v>
      </c>
      <c r="M634" s="3">
        <v>5.2488000000000001</v>
      </c>
      <c r="N634" s="507">
        <v>24455.423999999999</v>
      </c>
      <c r="O634" s="507">
        <v>0</v>
      </c>
      <c r="P634" s="507">
        <v>24455.423999999999</v>
      </c>
      <c r="Q634" s="507">
        <v>0</v>
      </c>
      <c r="R634" s="507">
        <v>2207.7371567274149</v>
      </c>
      <c r="S634" s="507">
        <v>0</v>
      </c>
      <c r="T634" s="507">
        <v>2207.7371567274149</v>
      </c>
      <c r="U634" s="507">
        <v>0</v>
      </c>
      <c r="V634" s="507">
        <f>Port[[#This Row],[EAD_Drawn (CNY)]]*Port[[#This Row],[CNY -&gt; FCY]]</f>
        <v>3835.7237636651657</v>
      </c>
      <c r="W634" s="507">
        <f>Port[[#This Row],[EAD_Undrawn (CNY)]]*Port[[#This Row],[CNY -&gt; FCY]]</f>
        <v>0</v>
      </c>
      <c r="X634" s="507">
        <f>Port[[#This Row],[EAD (CNY)]]*Port[[#This Row],[CNY -&gt; FCY]]</f>
        <v>3835.7237636651657</v>
      </c>
      <c r="Y634" s="507">
        <f>Port[[#This Row],[EAD_Interest (CNY)]]*Port[[#This Row],[CNY -&gt; FCY]]</f>
        <v>0</v>
      </c>
      <c r="Z634" s="507">
        <f>Port[[#This Row],[ECL_Drawn (CNY)]]*Port[[#This Row],[CNY -&gt; FCY]]</f>
        <v>346.2736886502525</v>
      </c>
      <c r="AA634" s="507">
        <f>Port[[#This Row],[ECL_Undrawn (CNY)]]*Port[[#This Row],[CNY -&gt; FCY]]</f>
        <v>0</v>
      </c>
      <c r="AB634" s="507">
        <f>Port[[#This Row],[ECL (CNY)]]*Port[[#This Row],[CNY -&gt; FCY]]</f>
        <v>346.2736886502525</v>
      </c>
      <c r="AC634" s="507">
        <f>Port[[#This Row],[ECL_Interest (CNY)]]*Port[[#This Row],[CNY -&gt; FCY]]</f>
        <v>0</v>
      </c>
      <c r="AD634" s="507">
        <f>Port[[#This Row],[EAD_Drawn (CNY)]]*Port[[#This Row],[CNY -&gt; THB]]</f>
        <v>128361.6294912</v>
      </c>
      <c r="AE634" s="507">
        <f>Port[[#This Row],[EAD_Undrawn (CNY)]]*Port[[#This Row],[CNY -&gt; THB]]</f>
        <v>0</v>
      </c>
      <c r="AF634" s="507">
        <f>Port[[#This Row],[EAD (CNY)]]*Port[[#This Row],[CNY -&gt; THB]]</f>
        <v>128361.6294912</v>
      </c>
      <c r="AG634" s="507">
        <f>Port[[#This Row],[EAD_Interest (CNY)]]*Port[[#This Row],[CNY -&gt; THB]]</f>
        <v>0</v>
      </c>
      <c r="AH634" s="507">
        <f>Port[[#This Row],[ECL_Drawn (CNY)]]*Port[[#This Row],[CNY -&gt; THB]]</f>
        <v>11587.970788230856</v>
      </c>
      <c r="AI634" s="507">
        <f>Port[[#This Row],[ECL_Undrawn (CNY)]]*Port[[#This Row],[CNY -&gt; THB]]</f>
        <v>0</v>
      </c>
      <c r="AJ634" s="507">
        <f>Port[[#This Row],[ECL (CNY)]]*Port[[#This Row],[CNY -&gt; THB]]</f>
        <v>11587.970788230856</v>
      </c>
      <c r="AK634" s="507">
        <f>Port[[#This Row],[ECL_Interest (CNY)]]*Port[[#This Row],[CNY -&gt; THB]]</f>
        <v>0</v>
      </c>
      <c r="AL634" s="507">
        <f>Port[[#This Row],[EAD (THB)]]*Port[[#This Row],[PD_avg]]</f>
        <v>1674.3361749085873</v>
      </c>
      <c r="AM634" s="507">
        <f>Port[[#This Row],[EAD_Interest (THB)]]*Port[[#This Row],[PD_avg]]</f>
        <v>0</v>
      </c>
      <c r="AN634" s="507">
        <f>Port[[#This Row],[EAD (THB)]]*Port[[#This Row],[LGD_avg]]</f>
        <v>888382.41397666011</v>
      </c>
      <c r="AO634" s="507">
        <f>Port[[#This Row],[EAD_Interest (THB)]]*Port[[#This Row],[LGD_avg]]</f>
        <v>0</v>
      </c>
      <c r="AP634" s="507">
        <f>Port[[#This Row],[EAD_Drawn (THB)]]+Port[[#This Row],[EAD_Interest (THB)]]</f>
        <v>128361.6294912</v>
      </c>
      <c r="AQ6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11587.970788230856</v>
      </c>
      <c r="AR634" s="522">
        <f>MAX(Port[[#This Row],[ECL (THB)]]+Port[[#This Row],[ECL_Interest (THB)]], Port[[#This Row],[ECL CBIRC (THB)]])</f>
        <v>11587.970788230856</v>
      </c>
    </row>
    <row r="635" spans="1:44">
      <c r="A635" s="2" t="s">
        <v>444</v>
      </c>
      <c r="B635" s="2" t="s">
        <v>382</v>
      </c>
      <c r="C635" s="2" t="s">
        <v>379</v>
      </c>
      <c r="D635" s="2" t="s">
        <v>30</v>
      </c>
      <c r="E635" s="2" t="s">
        <v>19</v>
      </c>
      <c r="F635" s="2" t="s">
        <v>380</v>
      </c>
      <c r="G635" s="2" t="s">
        <v>57</v>
      </c>
      <c r="H635">
        <v>1</v>
      </c>
      <c r="I635" s="2" t="s">
        <v>526</v>
      </c>
      <c r="J635" s="505">
        <v>1.3043899345507868E-2</v>
      </c>
      <c r="K635" s="505">
        <v>2.0652927405101695</v>
      </c>
      <c r="L635" s="3">
        <v>0.15684552284455039</v>
      </c>
      <c r="M635" s="3">
        <v>5.2488000000000001</v>
      </c>
      <c r="N635" s="507">
        <v>96570.902960000007</v>
      </c>
      <c r="O635" s="507">
        <v>0</v>
      </c>
      <c r="P635" s="507">
        <v>96570.902960000007</v>
      </c>
      <c r="Q635" s="507">
        <v>0</v>
      </c>
      <c r="R635" s="507">
        <v>2601.5690036387277</v>
      </c>
      <c r="S635" s="507">
        <v>0</v>
      </c>
      <c r="T635" s="507">
        <v>2601.5690036387277</v>
      </c>
      <c r="U635" s="507">
        <v>0</v>
      </c>
      <c r="V635" s="507">
        <f>Port[[#This Row],[EAD_Drawn (CNY)]]*Port[[#This Row],[CNY -&gt; FCY]]</f>
        <v>15146.713766331541</v>
      </c>
      <c r="W635" s="507">
        <f>Port[[#This Row],[EAD_Undrawn (CNY)]]*Port[[#This Row],[CNY -&gt; FCY]]</f>
        <v>0</v>
      </c>
      <c r="X635" s="507">
        <f>Port[[#This Row],[EAD (CNY)]]*Port[[#This Row],[CNY -&gt; FCY]]</f>
        <v>15146.713766331541</v>
      </c>
      <c r="Y635" s="507">
        <f>Port[[#This Row],[EAD_Interest (CNY)]]*Port[[#This Row],[CNY -&gt; FCY]]</f>
        <v>0</v>
      </c>
      <c r="Z635" s="507">
        <f>Port[[#This Row],[ECL_Drawn (CNY)]]*Port[[#This Row],[CNY -&gt; FCY]]</f>
        <v>408.04445059189226</v>
      </c>
      <c r="AA635" s="507">
        <f>Port[[#This Row],[ECL_Undrawn (CNY)]]*Port[[#This Row],[CNY -&gt; FCY]]</f>
        <v>0</v>
      </c>
      <c r="AB635" s="507">
        <f>Port[[#This Row],[ECL (CNY)]]*Port[[#This Row],[CNY -&gt; FCY]]</f>
        <v>408.04445059189226</v>
      </c>
      <c r="AC635" s="507">
        <f>Port[[#This Row],[ECL_Interest (CNY)]]*Port[[#This Row],[CNY -&gt; FCY]]</f>
        <v>0</v>
      </c>
      <c r="AD635" s="507">
        <f>Port[[#This Row],[EAD_Drawn (CNY)]]*Port[[#This Row],[CNY -&gt; THB]]</f>
        <v>506881.35545644804</v>
      </c>
      <c r="AE635" s="507">
        <f>Port[[#This Row],[EAD_Undrawn (CNY)]]*Port[[#This Row],[CNY -&gt; THB]]</f>
        <v>0</v>
      </c>
      <c r="AF635" s="507">
        <f>Port[[#This Row],[EAD (CNY)]]*Port[[#This Row],[CNY -&gt; THB]]</f>
        <v>506881.35545644804</v>
      </c>
      <c r="AG635" s="507">
        <f>Port[[#This Row],[EAD_Interest (CNY)]]*Port[[#This Row],[CNY -&gt; THB]]</f>
        <v>0</v>
      </c>
      <c r="AH635" s="507">
        <f>Port[[#This Row],[ECL_Drawn (CNY)]]*Port[[#This Row],[CNY -&gt; THB]]</f>
        <v>13655.115386298954</v>
      </c>
      <c r="AI635" s="507">
        <f>Port[[#This Row],[ECL_Undrawn (CNY)]]*Port[[#This Row],[CNY -&gt; THB]]</f>
        <v>0</v>
      </c>
      <c r="AJ635" s="507">
        <f>Port[[#This Row],[ECL (CNY)]]*Port[[#This Row],[CNY -&gt; THB]]</f>
        <v>13655.115386298954</v>
      </c>
      <c r="AK635" s="507">
        <f>Port[[#This Row],[ECL_Interest (CNY)]]*Port[[#This Row],[CNY -&gt; THB]]</f>
        <v>0</v>
      </c>
      <c r="AL635" s="507">
        <f>Port[[#This Row],[EAD (THB)]]*Port[[#This Row],[PD_avg]]</f>
        <v>6611.7093806885041</v>
      </c>
      <c r="AM635" s="507">
        <f>Port[[#This Row],[EAD_Interest (THB)]]*Port[[#This Row],[PD_avg]]</f>
        <v>0</v>
      </c>
      <c r="AN635" s="507">
        <f>Port[[#This Row],[EAD (THB)]]*Port[[#This Row],[LGD_avg]]</f>
        <v>1046858.383724157</v>
      </c>
      <c r="AO635" s="507">
        <f>Port[[#This Row],[EAD_Interest (THB)]]*Port[[#This Row],[LGD_avg]]</f>
        <v>0</v>
      </c>
      <c r="AP635" s="507">
        <f>Port[[#This Row],[EAD_Drawn (THB)]]+Port[[#This Row],[EAD_Interest (THB)]]</f>
        <v>506881.35545644804</v>
      </c>
      <c r="AQ6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13655.115386298954</v>
      </c>
      <c r="AR635" s="522">
        <f>MAX(Port[[#This Row],[ECL (THB)]]+Port[[#This Row],[ECL_Interest (THB)]], Port[[#This Row],[ECL CBIRC (THB)]])</f>
        <v>13655.115386298954</v>
      </c>
    </row>
    <row r="636" spans="1:44">
      <c r="A636" s="2" t="s">
        <v>445</v>
      </c>
      <c r="B636" s="2" t="s">
        <v>382</v>
      </c>
      <c r="C636" s="2" t="s">
        <v>379</v>
      </c>
      <c r="D636" s="2" t="s">
        <v>30</v>
      </c>
      <c r="E636" s="2" t="s">
        <v>19</v>
      </c>
      <c r="F636" s="2" t="s">
        <v>380</v>
      </c>
      <c r="G636" s="2" t="s">
        <v>57</v>
      </c>
      <c r="H636">
        <v>1</v>
      </c>
      <c r="I636" s="2" t="s">
        <v>526</v>
      </c>
      <c r="J636" s="505">
        <v>1.3043899345507868E-2</v>
      </c>
      <c r="K636" s="505">
        <v>5.119090697815306E-2</v>
      </c>
      <c r="L636" s="3">
        <v>0.15684552284455039</v>
      </c>
      <c r="M636" s="3">
        <v>5.2488000000000001</v>
      </c>
      <c r="N636" s="507">
        <v>429956.85951400001</v>
      </c>
      <c r="O636" s="507">
        <v>0</v>
      </c>
      <c r="P636" s="507">
        <v>429956.85951400001</v>
      </c>
      <c r="Q636" s="507">
        <v>0</v>
      </c>
      <c r="R636" s="507">
        <v>287.09468019694566</v>
      </c>
      <c r="S636" s="507">
        <v>0</v>
      </c>
      <c r="T636" s="507">
        <v>287.09468019694566</v>
      </c>
      <c r="U636" s="507">
        <v>0</v>
      </c>
      <c r="V636" s="507">
        <f>Port[[#This Row],[EAD_Drawn (CNY)]]*Port[[#This Row],[CNY -&gt; FCY]]</f>
        <v>67436.808431074227</v>
      </c>
      <c r="W636" s="507">
        <f>Port[[#This Row],[EAD_Undrawn (CNY)]]*Port[[#This Row],[CNY -&gt; FCY]]</f>
        <v>0</v>
      </c>
      <c r="X636" s="507">
        <f>Port[[#This Row],[EAD (CNY)]]*Port[[#This Row],[CNY -&gt; FCY]]</f>
        <v>67436.808431074227</v>
      </c>
      <c r="Y636" s="507">
        <f>Port[[#This Row],[EAD_Interest (CNY)]]*Port[[#This Row],[CNY -&gt; FCY]]</f>
        <v>0</v>
      </c>
      <c r="Z636" s="507">
        <f>Port[[#This Row],[ECL_Drawn (CNY)]]*Port[[#This Row],[CNY -&gt; FCY]]</f>
        <v>45.029515221378929</v>
      </c>
      <c r="AA636" s="507">
        <f>Port[[#This Row],[ECL_Undrawn (CNY)]]*Port[[#This Row],[CNY -&gt; FCY]]</f>
        <v>0</v>
      </c>
      <c r="AB636" s="507">
        <f>Port[[#This Row],[ECL (CNY)]]*Port[[#This Row],[CNY -&gt; FCY]]</f>
        <v>45.029515221378929</v>
      </c>
      <c r="AC636" s="507">
        <f>Port[[#This Row],[ECL_Interest (CNY)]]*Port[[#This Row],[CNY -&gt; FCY]]</f>
        <v>0</v>
      </c>
      <c r="AD636" s="507">
        <f>Port[[#This Row],[EAD_Drawn (CNY)]]*Port[[#This Row],[CNY -&gt; THB]]</f>
        <v>2256757.5642170832</v>
      </c>
      <c r="AE636" s="507">
        <f>Port[[#This Row],[EAD_Undrawn (CNY)]]*Port[[#This Row],[CNY -&gt; THB]]</f>
        <v>0</v>
      </c>
      <c r="AF636" s="507">
        <f>Port[[#This Row],[EAD (CNY)]]*Port[[#This Row],[CNY -&gt; THB]]</f>
        <v>2256757.5642170832</v>
      </c>
      <c r="AG636" s="507">
        <f>Port[[#This Row],[EAD_Interest (CNY)]]*Port[[#This Row],[CNY -&gt; THB]]</f>
        <v>0</v>
      </c>
      <c r="AH636" s="507">
        <f>Port[[#This Row],[ECL_Drawn (CNY)]]*Port[[#This Row],[CNY -&gt; THB]]</f>
        <v>1506.9025574177285</v>
      </c>
      <c r="AI636" s="507">
        <f>Port[[#This Row],[ECL_Undrawn (CNY)]]*Port[[#This Row],[CNY -&gt; THB]]</f>
        <v>0</v>
      </c>
      <c r="AJ636" s="507">
        <f>Port[[#This Row],[ECL (CNY)]]*Port[[#This Row],[CNY -&gt; THB]]</f>
        <v>1506.9025574177285</v>
      </c>
      <c r="AK636" s="507">
        <f>Port[[#This Row],[ECL_Interest (CNY)]]*Port[[#This Row],[CNY -&gt; THB]]</f>
        <v>0</v>
      </c>
      <c r="AL636" s="507">
        <f>Port[[#This Row],[EAD (THB)]]*Port[[#This Row],[PD_avg]]</f>
        <v>29436.918514861143</v>
      </c>
      <c r="AM636" s="507">
        <f>Port[[#This Row],[EAD_Interest (THB)]]*Port[[#This Row],[PD_avg]]</f>
        <v>0</v>
      </c>
      <c r="AN636" s="507">
        <f>Port[[#This Row],[EAD (THB)]]*Port[[#This Row],[LGD_avg]]</f>
        <v>115525.46654207999</v>
      </c>
      <c r="AO636" s="507">
        <f>Port[[#This Row],[EAD_Interest (THB)]]*Port[[#This Row],[LGD_avg]]</f>
        <v>0</v>
      </c>
      <c r="AP636" s="507">
        <f>Port[[#This Row],[EAD_Drawn (THB)]]+Port[[#This Row],[EAD_Interest (THB)]]</f>
        <v>2256757.5642170832</v>
      </c>
      <c r="AQ6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1506.9025574177285</v>
      </c>
      <c r="AR636" s="522">
        <f>MAX(Port[[#This Row],[ECL (THB)]]+Port[[#This Row],[ECL_Interest (THB)]], Port[[#This Row],[ECL CBIRC (THB)]])</f>
        <v>1506.9025574177285</v>
      </c>
    </row>
    <row r="637" spans="1:44">
      <c r="A637" s="2" t="s">
        <v>446</v>
      </c>
      <c r="B637" s="2" t="s">
        <v>382</v>
      </c>
      <c r="C637" s="2" t="s">
        <v>379</v>
      </c>
      <c r="D637" s="2" t="s">
        <v>30</v>
      </c>
      <c r="E637" s="2" t="s">
        <v>19</v>
      </c>
      <c r="F637" s="2" t="s">
        <v>380</v>
      </c>
      <c r="G637" s="2" t="s">
        <v>57</v>
      </c>
      <c r="H637">
        <v>1</v>
      </c>
      <c r="I637" s="2" t="s">
        <v>526</v>
      </c>
      <c r="J637" s="505">
        <v>1.3043899345507868E-2</v>
      </c>
      <c r="K637" s="505">
        <v>4.8745933425846291</v>
      </c>
      <c r="L637" s="3">
        <v>0.15684552284455039</v>
      </c>
      <c r="M637" s="3">
        <v>5.2488000000000001</v>
      </c>
      <c r="N637" s="507">
        <v>137588.380748</v>
      </c>
      <c r="O637" s="507">
        <v>0</v>
      </c>
      <c r="P637" s="507">
        <v>137588.380748</v>
      </c>
      <c r="Q637" s="507">
        <v>0</v>
      </c>
      <c r="R637" s="507">
        <v>8748.3790006571817</v>
      </c>
      <c r="S637" s="507">
        <v>0</v>
      </c>
      <c r="T637" s="507">
        <v>8748.3790006571817</v>
      </c>
      <c r="U637" s="507">
        <v>0</v>
      </c>
      <c r="V637" s="507">
        <f>Port[[#This Row],[EAD_Drawn (CNY)]]*Port[[#This Row],[CNY -&gt; FCY]]</f>
        <v>21580.121515755131</v>
      </c>
      <c r="W637" s="507">
        <f>Port[[#This Row],[EAD_Undrawn (CNY)]]*Port[[#This Row],[CNY -&gt; FCY]]</f>
        <v>0</v>
      </c>
      <c r="X637" s="507">
        <f>Port[[#This Row],[EAD (CNY)]]*Port[[#This Row],[CNY -&gt; FCY]]</f>
        <v>21580.121515755131</v>
      </c>
      <c r="Y637" s="507">
        <f>Port[[#This Row],[EAD_Interest (CNY)]]*Port[[#This Row],[CNY -&gt; FCY]]</f>
        <v>0</v>
      </c>
      <c r="Z637" s="507">
        <f>Port[[#This Row],[ECL_Drawn (CNY)]]*Port[[#This Row],[CNY -&gt; FCY]]</f>
        <v>1372.144078400361</v>
      </c>
      <c r="AA637" s="507">
        <f>Port[[#This Row],[ECL_Undrawn (CNY)]]*Port[[#This Row],[CNY -&gt; FCY]]</f>
        <v>0</v>
      </c>
      <c r="AB637" s="507">
        <f>Port[[#This Row],[ECL (CNY)]]*Port[[#This Row],[CNY -&gt; FCY]]</f>
        <v>1372.144078400361</v>
      </c>
      <c r="AC637" s="507">
        <f>Port[[#This Row],[ECL_Interest (CNY)]]*Port[[#This Row],[CNY -&gt; FCY]]</f>
        <v>0</v>
      </c>
      <c r="AD637" s="507">
        <f>Port[[#This Row],[EAD_Drawn (CNY)]]*Port[[#This Row],[CNY -&gt; THB]]</f>
        <v>722173.89287010243</v>
      </c>
      <c r="AE637" s="507">
        <f>Port[[#This Row],[EAD_Undrawn (CNY)]]*Port[[#This Row],[CNY -&gt; THB]]</f>
        <v>0</v>
      </c>
      <c r="AF637" s="507">
        <f>Port[[#This Row],[EAD (CNY)]]*Port[[#This Row],[CNY -&gt; THB]]</f>
        <v>722173.89287010243</v>
      </c>
      <c r="AG637" s="507">
        <f>Port[[#This Row],[EAD_Interest (CNY)]]*Port[[#This Row],[CNY -&gt; THB]]</f>
        <v>0</v>
      </c>
      <c r="AH637" s="507">
        <f>Port[[#This Row],[ECL_Drawn (CNY)]]*Port[[#This Row],[CNY -&gt; THB]]</f>
        <v>45918.491698649414</v>
      </c>
      <c r="AI637" s="507">
        <f>Port[[#This Row],[ECL_Undrawn (CNY)]]*Port[[#This Row],[CNY -&gt; THB]]</f>
        <v>0</v>
      </c>
      <c r="AJ637" s="507">
        <f>Port[[#This Row],[ECL (CNY)]]*Port[[#This Row],[CNY -&gt; THB]]</f>
        <v>45918.491698649414</v>
      </c>
      <c r="AK637" s="507">
        <f>Port[[#This Row],[ECL_Interest (CNY)]]*Port[[#This Row],[CNY -&gt; THB]]</f>
        <v>0</v>
      </c>
      <c r="AL637" s="507">
        <f>Port[[#This Row],[EAD (THB)]]*Port[[#This Row],[PD_avg]]</f>
        <v>9419.9635685511985</v>
      </c>
      <c r="AM637" s="507">
        <f>Port[[#This Row],[EAD_Interest (THB)]]*Port[[#This Row],[PD_avg]]</f>
        <v>0</v>
      </c>
      <c r="AN637" s="507">
        <f>Port[[#This Row],[EAD (THB)]]*Port[[#This Row],[LGD_avg]]</f>
        <v>3520304.0503730266</v>
      </c>
      <c r="AO637" s="507">
        <f>Port[[#This Row],[EAD_Interest (THB)]]*Port[[#This Row],[LGD_avg]]</f>
        <v>0</v>
      </c>
      <c r="AP637" s="507">
        <f>Port[[#This Row],[EAD_Drawn (THB)]]+Port[[#This Row],[EAD_Interest (THB)]]</f>
        <v>722173.89287010243</v>
      </c>
      <c r="AQ6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45918.491698649414</v>
      </c>
      <c r="AR637" s="522">
        <f>MAX(Port[[#This Row],[ECL (THB)]]+Port[[#This Row],[ECL_Interest (THB)]], Port[[#This Row],[ECL CBIRC (THB)]])</f>
        <v>45918.491698649414</v>
      </c>
    </row>
    <row r="638" spans="1:44">
      <c r="A638" s="2" t="s">
        <v>447</v>
      </c>
      <c r="B638" s="2" t="s">
        <v>382</v>
      </c>
      <c r="C638" s="2" t="s">
        <v>379</v>
      </c>
      <c r="D638" s="2" t="s">
        <v>30</v>
      </c>
      <c r="E638" s="2" t="s">
        <v>19</v>
      </c>
      <c r="F638" s="2" t="s">
        <v>380</v>
      </c>
      <c r="G638" s="2" t="s">
        <v>57</v>
      </c>
      <c r="H638">
        <v>1</v>
      </c>
      <c r="I638" s="2" t="s">
        <v>526</v>
      </c>
      <c r="J638" s="505">
        <v>1.3043899345507868E-2</v>
      </c>
      <c r="K638" s="505">
        <v>0.8253646853908122</v>
      </c>
      <c r="L638" s="3">
        <v>0.15684552284455039</v>
      </c>
      <c r="M638" s="3">
        <v>5.2488000000000001</v>
      </c>
      <c r="N638" s="507">
        <v>105303.52727999999</v>
      </c>
      <c r="O638" s="507">
        <v>0</v>
      </c>
      <c r="P638" s="507">
        <v>105303.52727999999</v>
      </c>
      <c r="Q638" s="507">
        <v>0</v>
      </c>
      <c r="R638" s="507">
        <v>1133.6950241235431</v>
      </c>
      <c r="S638" s="507">
        <v>0</v>
      </c>
      <c r="T638" s="507">
        <v>1133.6950241235431</v>
      </c>
      <c r="U638" s="507">
        <v>0</v>
      </c>
      <c r="V638" s="507">
        <f>Port[[#This Row],[EAD_Drawn (CNY)]]*Port[[#This Row],[CNY -&gt; FCY]]</f>
        <v>16516.386793606973</v>
      </c>
      <c r="W638" s="507">
        <f>Port[[#This Row],[EAD_Undrawn (CNY)]]*Port[[#This Row],[CNY -&gt; FCY]]</f>
        <v>0</v>
      </c>
      <c r="X638" s="507">
        <f>Port[[#This Row],[EAD (CNY)]]*Port[[#This Row],[CNY -&gt; FCY]]</f>
        <v>16516.386793606973</v>
      </c>
      <c r="Y638" s="507">
        <f>Port[[#This Row],[EAD_Interest (CNY)]]*Port[[#This Row],[CNY -&gt; FCY]]</f>
        <v>0</v>
      </c>
      <c r="Z638" s="507">
        <f>Port[[#This Row],[ECL_Drawn (CNY)]]*Port[[#This Row],[CNY -&gt; FCY]]</f>
        <v>177.81498880492228</v>
      </c>
      <c r="AA638" s="507">
        <f>Port[[#This Row],[ECL_Undrawn (CNY)]]*Port[[#This Row],[CNY -&gt; FCY]]</f>
        <v>0</v>
      </c>
      <c r="AB638" s="507">
        <f>Port[[#This Row],[ECL (CNY)]]*Port[[#This Row],[CNY -&gt; FCY]]</f>
        <v>177.81498880492228</v>
      </c>
      <c r="AC638" s="507">
        <f>Port[[#This Row],[ECL_Interest (CNY)]]*Port[[#This Row],[CNY -&gt; FCY]]</f>
        <v>0</v>
      </c>
      <c r="AD638" s="507">
        <f>Port[[#This Row],[EAD_Drawn (CNY)]]*Port[[#This Row],[CNY -&gt; THB]]</f>
        <v>552717.15398726403</v>
      </c>
      <c r="AE638" s="507">
        <f>Port[[#This Row],[EAD_Undrawn (CNY)]]*Port[[#This Row],[CNY -&gt; THB]]</f>
        <v>0</v>
      </c>
      <c r="AF638" s="507">
        <f>Port[[#This Row],[EAD (CNY)]]*Port[[#This Row],[CNY -&gt; THB]]</f>
        <v>552717.15398726403</v>
      </c>
      <c r="AG638" s="507">
        <f>Port[[#This Row],[EAD_Interest (CNY)]]*Port[[#This Row],[CNY -&gt; THB]]</f>
        <v>0</v>
      </c>
      <c r="AH638" s="507">
        <f>Port[[#This Row],[ECL_Drawn (CNY)]]*Port[[#This Row],[CNY -&gt; THB]]</f>
        <v>5950.5384426196533</v>
      </c>
      <c r="AI638" s="507">
        <f>Port[[#This Row],[ECL_Undrawn (CNY)]]*Port[[#This Row],[CNY -&gt; THB]]</f>
        <v>0</v>
      </c>
      <c r="AJ638" s="507">
        <f>Port[[#This Row],[ECL (CNY)]]*Port[[#This Row],[CNY -&gt; THB]]</f>
        <v>5950.5384426196533</v>
      </c>
      <c r="AK638" s="507">
        <f>Port[[#This Row],[ECL_Interest (CNY)]]*Port[[#This Row],[CNY -&gt; THB]]</f>
        <v>0</v>
      </c>
      <c r="AL638" s="507">
        <f>Port[[#This Row],[EAD (THB)]]*Port[[#This Row],[PD_avg]]</f>
        <v>7209.5869231454453</v>
      </c>
      <c r="AM638" s="507">
        <f>Port[[#This Row],[EAD_Interest (THB)]]*Port[[#This Row],[PD_avg]]</f>
        <v>0</v>
      </c>
      <c r="AN638" s="507">
        <f>Port[[#This Row],[EAD (THB)]]*Port[[#This Row],[LGD_avg]]</f>
        <v>456193.21991080325</v>
      </c>
      <c r="AO638" s="507">
        <f>Port[[#This Row],[EAD_Interest (THB)]]*Port[[#This Row],[LGD_avg]]</f>
        <v>0</v>
      </c>
      <c r="AP638" s="507">
        <f>Port[[#This Row],[EAD_Drawn (THB)]]+Port[[#This Row],[EAD_Interest (THB)]]</f>
        <v>552717.15398726403</v>
      </c>
      <c r="AQ6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5950.5384426196533</v>
      </c>
      <c r="AR638" s="522">
        <f>MAX(Port[[#This Row],[ECL (THB)]]+Port[[#This Row],[ECL_Interest (THB)]], Port[[#This Row],[ECL CBIRC (THB)]])</f>
        <v>5950.5384426196533</v>
      </c>
    </row>
    <row r="639" spans="1:44">
      <c r="A639" s="2" t="s">
        <v>448</v>
      </c>
      <c r="B639" s="2" t="s">
        <v>382</v>
      </c>
      <c r="C639" s="2" t="s">
        <v>379</v>
      </c>
      <c r="D639" s="2" t="s">
        <v>30</v>
      </c>
      <c r="E639" s="2" t="s">
        <v>19</v>
      </c>
      <c r="F639" s="2" t="s">
        <v>380</v>
      </c>
      <c r="G639" s="2" t="s">
        <v>57</v>
      </c>
      <c r="H639">
        <v>1</v>
      </c>
      <c r="I639" s="2" t="s">
        <v>526</v>
      </c>
      <c r="J639" s="505">
        <v>1.3043899345507868E-2</v>
      </c>
      <c r="K639" s="505">
        <v>3.4519293284051007</v>
      </c>
      <c r="L639" s="3">
        <v>0.15684552284455039</v>
      </c>
      <c r="M639" s="3">
        <v>5.2488000000000001</v>
      </c>
      <c r="N639" s="507">
        <v>112099.969828</v>
      </c>
      <c r="O639" s="507">
        <v>0</v>
      </c>
      <c r="P639" s="507">
        <v>112099.969828</v>
      </c>
      <c r="Q639" s="507">
        <v>0</v>
      </c>
      <c r="R639" s="507">
        <v>5047.4825985701555</v>
      </c>
      <c r="S639" s="507">
        <v>0</v>
      </c>
      <c r="T639" s="507">
        <v>5047.4825985701555</v>
      </c>
      <c r="U639" s="507">
        <v>0</v>
      </c>
      <c r="V639" s="507">
        <f>Port[[#This Row],[EAD_Drawn (CNY)]]*Port[[#This Row],[CNY -&gt; FCY]]</f>
        <v>17582.378378530982</v>
      </c>
      <c r="W639" s="507">
        <f>Port[[#This Row],[EAD_Undrawn (CNY)]]*Port[[#This Row],[CNY -&gt; FCY]]</f>
        <v>0</v>
      </c>
      <c r="X639" s="507">
        <f>Port[[#This Row],[EAD (CNY)]]*Port[[#This Row],[CNY -&gt; FCY]]</f>
        <v>17582.378378530982</v>
      </c>
      <c r="Y639" s="507">
        <f>Port[[#This Row],[EAD_Interest (CNY)]]*Port[[#This Row],[CNY -&gt; FCY]]</f>
        <v>0</v>
      </c>
      <c r="Z639" s="507">
        <f>Port[[#This Row],[ECL_Drawn (CNY)]]*Port[[#This Row],[CNY -&gt; FCY]]</f>
        <v>791.67504722150591</v>
      </c>
      <c r="AA639" s="507">
        <f>Port[[#This Row],[ECL_Undrawn (CNY)]]*Port[[#This Row],[CNY -&gt; FCY]]</f>
        <v>0</v>
      </c>
      <c r="AB639" s="507">
        <f>Port[[#This Row],[ECL (CNY)]]*Port[[#This Row],[CNY -&gt; FCY]]</f>
        <v>791.67504722150591</v>
      </c>
      <c r="AC639" s="507">
        <f>Port[[#This Row],[ECL_Interest (CNY)]]*Port[[#This Row],[CNY -&gt; FCY]]</f>
        <v>0</v>
      </c>
      <c r="AD639" s="507">
        <f>Port[[#This Row],[EAD_Drawn (CNY)]]*Port[[#This Row],[CNY -&gt; THB]]</f>
        <v>588390.32163320645</v>
      </c>
      <c r="AE639" s="507">
        <f>Port[[#This Row],[EAD_Undrawn (CNY)]]*Port[[#This Row],[CNY -&gt; THB]]</f>
        <v>0</v>
      </c>
      <c r="AF639" s="507">
        <f>Port[[#This Row],[EAD (CNY)]]*Port[[#This Row],[CNY -&gt; THB]]</f>
        <v>588390.32163320645</v>
      </c>
      <c r="AG639" s="507">
        <f>Port[[#This Row],[EAD_Interest (CNY)]]*Port[[#This Row],[CNY -&gt; THB]]</f>
        <v>0</v>
      </c>
      <c r="AH639" s="507">
        <f>Port[[#This Row],[ECL_Drawn (CNY)]]*Port[[#This Row],[CNY -&gt; THB]]</f>
        <v>26493.226663375033</v>
      </c>
      <c r="AI639" s="507">
        <f>Port[[#This Row],[ECL_Undrawn (CNY)]]*Port[[#This Row],[CNY -&gt; THB]]</f>
        <v>0</v>
      </c>
      <c r="AJ639" s="507">
        <f>Port[[#This Row],[ECL (CNY)]]*Port[[#This Row],[CNY -&gt; THB]]</f>
        <v>26493.226663375033</v>
      </c>
      <c r="AK639" s="507">
        <f>Port[[#This Row],[ECL_Interest (CNY)]]*Port[[#This Row],[CNY -&gt; THB]]</f>
        <v>0</v>
      </c>
      <c r="AL639" s="507">
        <f>Port[[#This Row],[EAD (THB)]]*Port[[#This Row],[PD_avg]]</f>
        <v>7674.904131254546</v>
      </c>
      <c r="AM639" s="507">
        <f>Port[[#This Row],[EAD_Interest (THB)]]*Port[[#This Row],[PD_avg]]</f>
        <v>0</v>
      </c>
      <c r="AN639" s="507">
        <f>Port[[#This Row],[EAD (THB)]]*Port[[#This Row],[LGD_avg]]</f>
        <v>2031081.8077953756</v>
      </c>
      <c r="AO639" s="507">
        <f>Port[[#This Row],[EAD_Interest (THB)]]*Port[[#This Row],[LGD_avg]]</f>
        <v>0</v>
      </c>
      <c r="AP639" s="507">
        <f>Port[[#This Row],[EAD_Drawn (THB)]]+Port[[#This Row],[EAD_Interest (THB)]]</f>
        <v>588390.32163320645</v>
      </c>
      <c r="AQ6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26493.226663375033</v>
      </c>
      <c r="AR639" s="522">
        <f>MAX(Port[[#This Row],[ECL (THB)]]+Port[[#This Row],[ECL_Interest (THB)]], Port[[#This Row],[ECL CBIRC (THB)]])</f>
        <v>26493.226663375033</v>
      </c>
    </row>
    <row r="640" spans="1:44">
      <c r="A640" s="2" t="s">
        <v>449</v>
      </c>
      <c r="B640" s="2" t="s">
        <v>382</v>
      </c>
      <c r="C640" s="2" t="s">
        <v>379</v>
      </c>
      <c r="D640" s="2" t="s">
        <v>30</v>
      </c>
      <c r="E640" s="2" t="s">
        <v>19</v>
      </c>
      <c r="F640" s="2" t="s">
        <v>380</v>
      </c>
      <c r="G640" s="2" t="s">
        <v>57</v>
      </c>
      <c r="H640">
        <v>1</v>
      </c>
      <c r="I640" s="2" t="s">
        <v>526</v>
      </c>
      <c r="J640" s="505">
        <v>1.3043899345507868E-2</v>
      </c>
      <c r="K640" s="505">
        <v>0.72830934572717965</v>
      </c>
      <c r="L640" s="3">
        <v>0.15684552284455039</v>
      </c>
      <c r="M640" s="3">
        <v>5.2488000000000001</v>
      </c>
      <c r="N640" s="507">
        <v>170023.27843199999</v>
      </c>
      <c r="O640" s="507">
        <v>0</v>
      </c>
      <c r="P640" s="507">
        <v>170023.27843199999</v>
      </c>
      <c r="Q640" s="507">
        <v>0</v>
      </c>
      <c r="R640" s="507">
        <v>1615.2200906294922</v>
      </c>
      <c r="S640" s="507">
        <v>0</v>
      </c>
      <c r="T640" s="507">
        <v>1615.2200906294922</v>
      </c>
      <c r="U640" s="507">
        <v>0</v>
      </c>
      <c r="V640" s="507">
        <f>Port[[#This Row],[EAD_Drawn (CNY)]]*Port[[#This Row],[CNY -&gt; FCY]]</f>
        <v>26667.390001411608</v>
      </c>
      <c r="W640" s="507">
        <f>Port[[#This Row],[EAD_Undrawn (CNY)]]*Port[[#This Row],[CNY -&gt; FCY]]</f>
        <v>0</v>
      </c>
      <c r="X640" s="507">
        <f>Port[[#This Row],[EAD (CNY)]]*Port[[#This Row],[CNY -&gt; FCY]]</f>
        <v>26667.390001411608</v>
      </c>
      <c r="Y640" s="507">
        <f>Port[[#This Row],[EAD_Interest (CNY)]]*Port[[#This Row],[CNY -&gt; FCY]]</f>
        <v>0</v>
      </c>
      <c r="Z640" s="507">
        <f>Port[[#This Row],[ECL_Drawn (CNY)]]*Port[[#This Row],[CNY -&gt; FCY]]</f>
        <v>253.34003962380478</v>
      </c>
      <c r="AA640" s="507">
        <f>Port[[#This Row],[ECL_Undrawn (CNY)]]*Port[[#This Row],[CNY -&gt; FCY]]</f>
        <v>0</v>
      </c>
      <c r="AB640" s="507">
        <f>Port[[#This Row],[ECL (CNY)]]*Port[[#This Row],[CNY -&gt; FCY]]</f>
        <v>253.34003962380478</v>
      </c>
      <c r="AC640" s="507">
        <f>Port[[#This Row],[ECL_Interest (CNY)]]*Port[[#This Row],[CNY -&gt; FCY]]</f>
        <v>0</v>
      </c>
      <c r="AD640" s="507">
        <f>Port[[#This Row],[EAD_Drawn (CNY)]]*Port[[#This Row],[CNY -&gt; THB]]</f>
        <v>892418.18383388163</v>
      </c>
      <c r="AE640" s="507">
        <f>Port[[#This Row],[EAD_Undrawn (CNY)]]*Port[[#This Row],[CNY -&gt; THB]]</f>
        <v>0</v>
      </c>
      <c r="AF640" s="507">
        <f>Port[[#This Row],[EAD (CNY)]]*Port[[#This Row],[CNY -&gt; THB]]</f>
        <v>892418.18383388163</v>
      </c>
      <c r="AG640" s="507">
        <f>Port[[#This Row],[EAD_Interest (CNY)]]*Port[[#This Row],[CNY -&gt; THB]]</f>
        <v>0</v>
      </c>
      <c r="AH640" s="507">
        <f>Port[[#This Row],[ECL_Drawn (CNY)]]*Port[[#This Row],[CNY -&gt; THB]]</f>
        <v>8477.9672116960792</v>
      </c>
      <c r="AI640" s="507">
        <f>Port[[#This Row],[ECL_Undrawn (CNY)]]*Port[[#This Row],[CNY -&gt; THB]]</f>
        <v>0</v>
      </c>
      <c r="AJ640" s="507">
        <f>Port[[#This Row],[ECL (CNY)]]*Port[[#This Row],[CNY -&gt; THB]]</f>
        <v>8477.9672116960792</v>
      </c>
      <c r="AK640" s="507">
        <f>Port[[#This Row],[ECL_Interest (CNY)]]*Port[[#This Row],[CNY -&gt; THB]]</f>
        <v>0</v>
      </c>
      <c r="AL640" s="507">
        <f>Port[[#This Row],[EAD (THB)]]*Port[[#This Row],[PD_avg]]</f>
        <v>11640.61296403009</v>
      </c>
      <c r="AM640" s="507">
        <f>Port[[#This Row],[EAD_Interest (THB)]]*Port[[#This Row],[PD_avg]]</f>
        <v>0</v>
      </c>
      <c r="AN640" s="507">
        <f>Port[[#This Row],[EAD (THB)]]*Port[[#This Row],[LGD_avg]]</f>
        <v>649956.50358309224</v>
      </c>
      <c r="AO640" s="507">
        <f>Port[[#This Row],[EAD_Interest (THB)]]*Port[[#This Row],[LGD_avg]]</f>
        <v>0</v>
      </c>
      <c r="AP640" s="507">
        <f>Port[[#This Row],[EAD_Drawn (THB)]]+Port[[#This Row],[EAD_Interest (THB)]]</f>
        <v>892418.18383388163</v>
      </c>
      <c r="AQ6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8477.9672116960792</v>
      </c>
      <c r="AR640" s="522">
        <f>MAX(Port[[#This Row],[ECL (THB)]]+Port[[#This Row],[ECL_Interest (THB)]], Port[[#This Row],[ECL CBIRC (THB)]])</f>
        <v>8477.9672116960792</v>
      </c>
    </row>
    <row r="641" spans="1:44">
      <c r="A641" s="2" t="s">
        <v>450</v>
      </c>
      <c r="B641" s="2" t="s">
        <v>382</v>
      </c>
      <c r="C641" s="2" t="s">
        <v>379</v>
      </c>
      <c r="D641" s="2" t="s">
        <v>30</v>
      </c>
      <c r="E641" s="2" t="s">
        <v>19</v>
      </c>
      <c r="F641" s="2" t="s">
        <v>380</v>
      </c>
      <c r="G641" s="2" t="s">
        <v>57</v>
      </c>
      <c r="H641">
        <v>1</v>
      </c>
      <c r="I641" s="2" t="s">
        <v>526</v>
      </c>
      <c r="J641" s="505">
        <v>1.3043899345507868E-2</v>
      </c>
      <c r="K641" s="505">
        <v>1.8452233042934838</v>
      </c>
      <c r="L641" s="3">
        <v>0.15684552284455039</v>
      </c>
      <c r="M641" s="3">
        <v>5.2488000000000001</v>
      </c>
      <c r="N641" s="507">
        <v>51361.357907999998</v>
      </c>
      <c r="O641" s="507">
        <v>0</v>
      </c>
      <c r="P641" s="507">
        <v>51361.357907999998</v>
      </c>
      <c r="Q641" s="507">
        <v>0</v>
      </c>
      <c r="R641" s="507">
        <v>1236.2117495105358</v>
      </c>
      <c r="S641" s="507">
        <v>0</v>
      </c>
      <c r="T641" s="507">
        <v>1236.2117495105358</v>
      </c>
      <c r="U641" s="507">
        <v>0</v>
      </c>
      <c r="V641" s="507">
        <f>Port[[#This Row],[EAD_Drawn (CNY)]]*Port[[#This Row],[CNY -&gt; FCY]]</f>
        <v>8055.7990350863429</v>
      </c>
      <c r="W641" s="507">
        <f>Port[[#This Row],[EAD_Undrawn (CNY)]]*Port[[#This Row],[CNY -&gt; FCY]]</f>
        <v>0</v>
      </c>
      <c r="X641" s="507">
        <f>Port[[#This Row],[EAD (CNY)]]*Port[[#This Row],[CNY -&gt; FCY]]</f>
        <v>8055.7990350863429</v>
      </c>
      <c r="Y641" s="507">
        <f>Port[[#This Row],[EAD_Interest (CNY)]]*Port[[#This Row],[CNY -&gt; FCY]]</f>
        <v>0</v>
      </c>
      <c r="Z641" s="507">
        <f>Port[[#This Row],[ECL_Drawn (CNY)]]*Port[[#This Row],[CNY -&gt; FCY]]</f>
        <v>193.89427819855635</v>
      </c>
      <c r="AA641" s="507">
        <f>Port[[#This Row],[ECL_Undrawn (CNY)]]*Port[[#This Row],[CNY -&gt; FCY]]</f>
        <v>0</v>
      </c>
      <c r="AB641" s="507">
        <f>Port[[#This Row],[ECL (CNY)]]*Port[[#This Row],[CNY -&gt; FCY]]</f>
        <v>193.89427819855635</v>
      </c>
      <c r="AC641" s="507">
        <f>Port[[#This Row],[ECL_Interest (CNY)]]*Port[[#This Row],[CNY -&gt; FCY]]</f>
        <v>0</v>
      </c>
      <c r="AD641" s="507">
        <f>Port[[#This Row],[EAD_Drawn (CNY)]]*Port[[#This Row],[CNY -&gt; THB]]</f>
        <v>269585.4953875104</v>
      </c>
      <c r="AE641" s="507">
        <f>Port[[#This Row],[EAD_Undrawn (CNY)]]*Port[[#This Row],[CNY -&gt; THB]]</f>
        <v>0</v>
      </c>
      <c r="AF641" s="507">
        <f>Port[[#This Row],[EAD (CNY)]]*Port[[#This Row],[CNY -&gt; THB]]</f>
        <v>269585.4953875104</v>
      </c>
      <c r="AG641" s="507">
        <f>Port[[#This Row],[EAD_Interest (CNY)]]*Port[[#This Row],[CNY -&gt; THB]]</f>
        <v>0</v>
      </c>
      <c r="AH641" s="507">
        <f>Port[[#This Row],[ECL_Drawn (CNY)]]*Port[[#This Row],[CNY -&gt; THB]]</f>
        <v>6488.628230830901</v>
      </c>
      <c r="AI641" s="507">
        <f>Port[[#This Row],[ECL_Undrawn (CNY)]]*Port[[#This Row],[CNY -&gt; THB]]</f>
        <v>0</v>
      </c>
      <c r="AJ641" s="507">
        <f>Port[[#This Row],[ECL (CNY)]]*Port[[#This Row],[CNY -&gt; THB]]</f>
        <v>6488.628230830901</v>
      </c>
      <c r="AK641" s="507">
        <f>Port[[#This Row],[ECL_Interest (CNY)]]*Port[[#This Row],[CNY -&gt; THB]]</f>
        <v>0</v>
      </c>
      <c r="AL641" s="507">
        <f>Port[[#This Row],[EAD (THB)]]*Port[[#This Row],[PD_avg]]</f>
        <v>3516.4460668435613</v>
      </c>
      <c r="AM641" s="507">
        <f>Port[[#This Row],[EAD_Interest (THB)]]*Port[[#This Row],[PD_avg]]</f>
        <v>0</v>
      </c>
      <c r="AN641" s="507">
        <f>Port[[#This Row],[EAD (THB)]]*Port[[#This Row],[LGD_avg]]</f>
        <v>497445.43858853768</v>
      </c>
      <c r="AO641" s="507">
        <f>Port[[#This Row],[EAD_Interest (THB)]]*Port[[#This Row],[LGD_avg]]</f>
        <v>0</v>
      </c>
      <c r="AP641" s="507">
        <f>Port[[#This Row],[EAD_Drawn (THB)]]+Port[[#This Row],[EAD_Interest (THB)]]</f>
        <v>269585.4953875104</v>
      </c>
      <c r="AQ6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6488.628230830901</v>
      </c>
      <c r="AR641" s="522">
        <f>MAX(Port[[#This Row],[ECL (THB)]]+Port[[#This Row],[ECL_Interest (THB)]], Port[[#This Row],[ECL CBIRC (THB)]])</f>
        <v>6488.628230830901</v>
      </c>
    </row>
    <row r="642" spans="1:44">
      <c r="A642" s="2" t="s">
        <v>451</v>
      </c>
      <c r="B642" s="2" t="s">
        <v>382</v>
      </c>
      <c r="C642" s="2" t="s">
        <v>379</v>
      </c>
      <c r="D642" s="2" t="s">
        <v>30</v>
      </c>
      <c r="E642" s="2" t="s">
        <v>19</v>
      </c>
      <c r="F642" s="2" t="s">
        <v>380</v>
      </c>
      <c r="G642" s="2" t="s">
        <v>57</v>
      </c>
      <c r="H642">
        <v>1</v>
      </c>
      <c r="I642" s="2" t="s">
        <v>526</v>
      </c>
      <c r="J642" s="505">
        <v>1.3043899345507868E-2</v>
      </c>
      <c r="K642" s="505">
        <v>0.16670972850207322</v>
      </c>
      <c r="L642" s="3">
        <v>0.15684552284455039</v>
      </c>
      <c r="M642" s="3">
        <v>5.2488000000000001</v>
      </c>
      <c r="N642" s="507">
        <v>605183.47520400002</v>
      </c>
      <c r="O642" s="507">
        <v>0</v>
      </c>
      <c r="P642" s="507">
        <v>605183.47520400002</v>
      </c>
      <c r="Q642" s="507">
        <v>0</v>
      </c>
      <c r="R642" s="507">
        <v>1315.9986507638109</v>
      </c>
      <c r="S642" s="507">
        <v>0</v>
      </c>
      <c r="T642" s="507">
        <v>1315.9986507638109</v>
      </c>
      <c r="U642" s="507">
        <v>0</v>
      </c>
      <c r="V642" s="507">
        <f>Port[[#This Row],[EAD_Drawn (CNY)]]*Port[[#This Row],[CNY -&gt; FCY]]</f>
        <v>94920.318585253379</v>
      </c>
      <c r="W642" s="507">
        <f>Port[[#This Row],[EAD_Undrawn (CNY)]]*Port[[#This Row],[CNY -&gt; FCY]]</f>
        <v>0</v>
      </c>
      <c r="X642" s="507">
        <f>Port[[#This Row],[EAD (CNY)]]*Port[[#This Row],[CNY -&gt; FCY]]</f>
        <v>94920.318585253379</v>
      </c>
      <c r="Y642" s="507">
        <f>Port[[#This Row],[EAD_Interest (CNY)]]*Port[[#This Row],[CNY -&gt; FCY]]</f>
        <v>0</v>
      </c>
      <c r="Z642" s="507">
        <f>Port[[#This Row],[ECL_Drawn (CNY)]]*Port[[#This Row],[CNY -&gt; FCY]]</f>
        <v>206.4084964417728</v>
      </c>
      <c r="AA642" s="507">
        <f>Port[[#This Row],[ECL_Undrawn (CNY)]]*Port[[#This Row],[CNY -&gt; FCY]]</f>
        <v>0</v>
      </c>
      <c r="AB642" s="507">
        <f>Port[[#This Row],[ECL (CNY)]]*Port[[#This Row],[CNY -&gt; FCY]]</f>
        <v>206.4084964417728</v>
      </c>
      <c r="AC642" s="507">
        <f>Port[[#This Row],[ECL_Interest (CNY)]]*Port[[#This Row],[CNY -&gt; FCY]]</f>
        <v>0</v>
      </c>
      <c r="AD642" s="507">
        <f>Port[[#This Row],[EAD_Drawn (CNY)]]*Port[[#This Row],[CNY -&gt; THB]]</f>
        <v>3176487.0246507553</v>
      </c>
      <c r="AE642" s="507">
        <f>Port[[#This Row],[EAD_Undrawn (CNY)]]*Port[[#This Row],[CNY -&gt; THB]]</f>
        <v>0</v>
      </c>
      <c r="AF642" s="507">
        <f>Port[[#This Row],[EAD (CNY)]]*Port[[#This Row],[CNY -&gt; THB]]</f>
        <v>3176487.0246507553</v>
      </c>
      <c r="AG642" s="507">
        <f>Port[[#This Row],[EAD_Interest (CNY)]]*Port[[#This Row],[CNY -&gt; THB]]</f>
        <v>0</v>
      </c>
      <c r="AH642" s="507">
        <f>Port[[#This Row],[ECL_Drawn (CNY)]]*Port[[#This Row],[CNY -&gt; THB]]</f>
        <v>6907.4137181290907</v>
      </c>
      <c r="AI642" s="507">
        <f>Port[[#This Row],[ECL_Undrawn (CNY)]]*Port[[#This Row],[CNY -&gt; THB]]</f>
        <v>0</v>
      </c>
      <c r="AJ642" s="507">
        <f>Port[[#This Row],[ECL (CNY)]]*Port[[#This Row],[CNY -&gt; THB]]</f>
        <v>6907.4137181290907</v>
      </c>
      <c r="AK642" s="507">
        <f>Port[[#This Row],[ECL_Interest (CNY)]]*Port[[#This Row],[CNY -&gt; THB]]</f>
        <v>0</v>
      </c>
      <c r="AL642" s="507">
        <f>Port[[#This Row],[EAD (THB)]]*Port[[#This Row],[PD_avg]]</f>
        <v>41433.777021856222</v>
      </c>
      <c r="AM642" s="507">
        <f>Port[[#This Row],[EAD_Interest (THB)]]*Port[[#This Row],[PD_avg]]</f>
        <v>0</v>
      </c>
      <c r="AN642" s="507">
        <f>Port[[#This Row],[EAD (THB)]]*Port[[#This Row],[LGD_avg]]</f>
        <v>529551.28946988576</v>
      </c>
      <c r="AO642" s="507">
        <f>Port[[#This Row],[EAD_Interest (THB)]]*Port[[#This Row],[LGD_avg]]</f>
        <v>0</v>
      </c>
      <c r="AP642" s="507">
        <f>Port[[#This Row],[EAD_Drawn (THB)]]+Port[[#This Row],[EAD_Interest (THB)]]</f>
        <v>3176487.0246507553</v>
      </c>
      <c r="AQ6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6907.4137181290907</v>
      </c>
      <c r="AR642" s="522">
        <f>MAX(Port[[#This Row],[ECL (THB)]]+Port[[#This Row],[ECL_Interest (THB)]], Port[[#This Row],[ECL CBIRC (THB)]])</f>
        <v>6907.4137181290907</v>
      </c>
    </row>
    <row r="643" spans="1:44">
      <c r="A643" s="2" t="s">
        <v>452</v>
      </c>
      <c r="B643" s="2" t="s">
        <v>382</v>
      </c>
      <c r="C643" s="2" t="s">
        <v>379</v>
      </c>
      <c r="D643" s="2" t="s">
        <v>30</v>
      </c>
      <c r="E643" s="2" t="s">
        <v>19</v>
      </c>
      <c r="F643" s="2" t="s">
        <v>380</v>
      </c>
      <c r="G643" s="2" t="s">
        <v>170</v>
      </c>
      <c r="H643">
        <v>1</v>
      </c>
      <c r="I643" s="2" t="s">
        <v>526</v>
      </c>
      <c r="J643" s="505">
        <v>1.3043899345507868E-2</v>
      </c>
      <c r="K643" s="505">
        <v>1.0216905426445579</v>
      </c>
      <c r="L643" s="3">
        <v>5.2308000000000003</v>
      </c>
      <c r="M643" s="3">
        <v>5.2488000000000001</v>
      </c>
      <c r="N643" s="507">
        <v>149772.30795610425</v>
      </c>
      <c r="O643" s="507">
        <v>0</v>
      </c>
      <c r="P643" s="507">
        <v>149772.30795610425</v>
      </c>
      <c r="Q643" s="507">
        <v>0</v>
      </c>
      <c r="R643" s="507">
        <v>1995.9898772342403</v>
      </c>
      <c r="S643" s="507">
        <v>0</v>
      </c>
      <c r="T643" s="507">
        <v>1995.9898772342403</v>
      </c>
      <c r="U643" s="507">
        <v>0</v>
      </c>
      <c r="V643" s="507">
        <f>Port[[#This Row],[EAD_Drawn (CNY)]]*Port[[#This Row],[CNY -&gt; FCY]]</f>
        <v>783428.98845679022</v>
      </c>
      <c r="W643" s="507">
        <f>Port[[#This Row],[EAD_Undrawn (CNY)]]*Port[[#This Row],[CNY -&gt; FCY]]</f>
        <v>0</v>
      </c>
      <c r="X643" s="507">
        <f>Port[[#This Row],[EAD (CNY)]]*Port[[#This Row],[CNY -&gt; FCY]]</f>
        <v>783428.98845679022</v>
      </c>
      <c r="Y643" s="507">
        <f>Port[[#This Row],[EAD_Interest (CNY)]]*Port[[#This Row],[CNY -&gt; FCY]]</f>
        <v>0</v>
      </c>
      <c r="Z643" s="507">
        <f>Port[[#This Row],[ECL_Drawn (CNY)]]*Port[[#This Row],[CNY -&gt; FCY]]</f>
        <v>10440.623849836866</v>
      </c>
      <c r="AA643" s="507">
        <f>Port[[#This Row],[ECL_Undrawn (CNY)]]*Port[[#This Row],[CNY -&gt; FCY]]</f>
        <v>0</v>
      </c>
      <c r="AB643" s="507">
        <f>Port[[#This Row],[ECL (CNY)]]*Port[[#This Row],[CNY -&gt; FCY]]</f>
        <v>10440.623849836866</v>
      </c>
      <c r="AC643" s="507">
        <f>Port[[#This Row],[ECL_Interest (CNY)]]*Port[[#This Row],[CNY -&gt; FCY]]</f>
        <v>0</v>
      </c>
      <c r="AD643" s="507">
        <f>Port[[#This Row],[EAD_Drawn (CNY)]]*Port[[#This Row],[CNY -&gt; THB]]</f>
        <v>786124.89</v>
      </c>
      <c r="AE643" s="507">
        <f>Port[[#This Row],[EAD_Undrawn (CNY)]]*Port[[#This Row],[CNY -&gt; THB]]</f>
        <v>0</v>
      </c>
      <c r="AF643" s="507">
        <f>Port[[#This Row],[EAD (CNY)]]*Port[[#This Row],[CNY -&gt; THB]]</f>
        <v>786124.89</v>
      </c>
      <c r="AG643" s="507">
        <f>Port[[#This Row],[EAD_Interest (CNY)]]*Port[[#This Row],[CNY -&gt; THB]]</f>
        <v>0</v>
      </c>
      <c r="AH643" s="507">
        <f>Port[[#This Row],[ECL_Drawn (CNY)]]*Port[[#This Row],[CNY -&gt; THB]]</f>
        <v>10476.551667627082</v>
      </c>
      <c r="AI643" s="507">
        <f>Port[[#This Row],[ECL_Undrawn (CNY)]]*Port[[#This Row],[CNY -&gt; THB]]</f>
        <v>0</v>
      </c>
      <c r="AJ643" s="507">
        <f>Port[[#This Row],[ECL (CNY)]]*Port[[#This Row],[CNY -&gt; THB]]</f>
        <v>10476.551667627082</v>
      </c>
      <c r="AK643" s="507">
        <f>Port[[#This Row],[ECL_Interest (CNY)]]*Port[[#This Row],[CNY -&gt; THB]]</f>
        <v>0</v>
      </c>
      <c r="AL643" s="507">
        <f>Port[[#This Row],[EAD (THB)]]*Port[[#This Row],[PD_avg]]</f>
        <v>10254.133938158446</v>
      </c>
      <c r="AM643" s="507">
        <f>Port[[#This Row],[EAD_Interest (THB)]]*Port[[#This Row],[PD_avg]]</f>
        <v>0</v>
      </c>
      <c r="AN643" s="507">
        <f>Port[[#This Row],[EAD (THB)]]*Port[[#This Row],[LGD_avg]]</f>
        <v>803176.36545049341</v>
      </c>
      <c r="AO643" s="507">
        <f>Port[[#This Row],[EAD_Interest (THB)]]*Port[[#This Row],[LGD_avg]]</f>
        <v>0</v>
      </c>
      <c r="AP643" s="507">
        <f>Port[[#This Row],[EAD_Drawn (THB)]]+Port[[#This Row],[EAD_Interest (THB)]]</f>
        <v>786124.89</v>
      </c>
      <c r="AQ6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10476.551667627082</v>
      </c>
      <c r="AR643" s="522">
        <f>MAX(Port[[#This Row],[ECL (THB)]]+Port[[#This Row],[ECL_Interest (THB)]], Port[[#This Row],[ECL CBIRC (THB)]])</f>
        <v>10476.551667627082</v>
      </c>
    </row>
    <row r="644" spans="1:44">
      <c r="A644" s="2" t="s">
        <v>453</v>
      </c>
      <c r="B644" s="2" t="s">
        <v>382</v>
      </c>
      <c r="C644" s="2" t="s">
        <v>379</v>
      </c>
      <c r="D644" s="2" t="s">
        <v>30</v>
      </c>
      <c r="E644" s="2" t="s">
        <v>19</v>
      </c>
      <c r="F644" s="2" t="s">
        <v>380</v>
      </c>
      <c r="G644" s="2" t="s">
        <v>57</v>
      </c>
      <c r="H644">
        <v>1</v>
      </c>
      <c r="I644" s="2" t="s">
        <v>526</v>
      </c>
      <c r="J644" s="505">
        <v>1.3043899345507868E-2</v>
      </c>
      <c r="K644" s="505">
        <v>0.2485719863013699</v>
      </c>
      <c r="L644" s="3">
        <v>0.15684552284455039</v>
      </c>
      <c r="M644" s="3">
        <v>5.2488000000000001</v>
      </c>
      <c r="N644" s="507">
        <v>185963.12</v>
      </c>
      <c r="O644" s="507">
        <v>0</v>
      </c>
      <c r="P644" s="507">
        <v>185963.12</v>
      </c>
      <c r="Q644" s="507">
        <v>0</v>
      </c>
      <c r="R644" s="507">
        <v>602.95714452050095</v>
      </c>
      <c r="S644" s="507">
        <v>0</v>
      </c>
      <c r="T644" s="507">
        <v>602.95714452050095</v>
      </c>
      <c r="U644" s="507">
        <v>0</v>
      </c>
      <c r="V644" s="507">
        <f>Port[[#This Row],[EAD_Drawn (CNY)]]*Port[[#This Row],[CNY -&gt; FCY]]</f>
        <v>29167.482786203866</v>
      </c>
      <c r="W644" s="507">
        <f>Port[[#This Row],[EAD_Undrawn (CNY)]]*Port[[#This Row],[CNY -&gt; FCY]]</f>
        <v>0</v>
      </c>
      <c r="X644" s="507">
        <f>Port[[#This Row],[EAD (CNY)]]*Port[[#This Row],[CNY -&gt; FCY]]</f>
        <v>29167.482786203866</v>
      </c>
      <c r="Y644" s="507">
        <f>Port[[#This Row],[EAD_Interest (CNY)]]*Port[[#This Row],[CNY -&gt; FCY]]</f>
        <v>0</v>
      </c>
      <c r="Z644" s="507">
        <f>Port[[#This Row],[ECL_Drawn (CNY)]]*Port[[#This Row],[CNY -&gt; FCY]]</f>
        <v>94.571128585175103</v>
      </c>
      <c r="AA644" s="507">
        <f>Port[[#This Row],[ECL_Undrawn (CNY)]]*Port[[#This Row],[CNY -&gt; FCY]]</f>
        <v>0</v>
      </c>
      <c r="AB644" s="507">
        <f>Port[[#This Row],[ECL (CNY)]]*Port[[#This Row],[CNY -&gt; FCY]]</f>
        <v>94.571128585175103</v>
      </c>
      <c r="AC644" s="507">
        <f>Port[[#This Row],[ECL_Interest (CNY)]]*Port[[#This Row],[CNY -&gt; FCY]]</f>
        <v>0</v>
      </c>
      <c r="AD644" s="507">
        <f>Port[[#This Row],[EAD_Drawn (CNY)]]*Port[[#This Row],[CNY -&gt; THB]]</f>
        <v>976083.22425600002</v>
      </c>
      <c r="AE644" s="507">
        <f>Port[[#This Row],[EAD_Undrawn (CNY)]]*Port[[#This Row],[CNY -&gt; THB]]</f>
        <v>0</v>
      </c>
      <c r="AF644" s="507">
        <f>Port[[#This Row],[EAD (CNY)]]*Port[[#This Row],[CNY -&gt; THB]]</f>
        <v>976083.22425600002</v>
      </c>
      <c r="AG644" s="507">
        <f>Port[[#This Row],[EAD_Interest (CNY)]]*Port[[#This Row],[CNY -&gt; THB]]</f>
        <v>0</v>
      </c>
      <c r="AH644" s="507">
        <f>Port[[#This Row],[ECL_Drawn (CNY)]]*Port[[#This Row],[CNY -&gt; THB]]</f>
        <v>3164.8014601592054</v>
      </c>
      <c r="AI644" s="507">
        <f>Port[[#This Row],[ECL_Undrawn (CNY)]]*Port[[#This Row],[CNY -&gt; THB]]</f>
        <v>0</v>
      </c>
      <c r="AJ644" s="507">
        <f>Port[[#This Row],[ECL (CNY)]]*Port[[#This Row],[CNY -&gt; THB]]</f>
        <v>3164.8014601592054</v>
      </c>
      <c r="AK644" s="507">
        <f>Port[[#This Row],[ECL_Interest (CNY)]]*Port[[#This Row],[CNY -&gt; THB]]</f>
        <v>0</v>
      </c>
      <c r="AL644" s="507">
        <f>Port[[#This Row],[EAD (THB)]]*Port[[#This Row],[PD_avg]]</f>
        <v>12731.931330034049</v>
      </c>
      <c r="AM644" s="507">
        <f>Port[[#This Row],[EAD_Interest (THB)]]*Port[[#This Row],[PD_avg]]</f>
        <v>0</v>
      </c>
      <c r="AN644" s="507">
        <f>Port[[#This Row],[EAD (THB)]]*Port[[#This Row],[LGD_avg]]</f>
        <v>242626.94584875941</v>
      </c>
      <c r="AO644" s="507">
        <f>Port[[#This Row],[EAD_Interest (THB)]]*Port[[#This Row],[LGD_avg]]</f>
        <v>0</v>
      </c>
      <c r="AP644" s="507">
        <f>Port[[#This Row],[EAD_Drawn (THB)]]+Port[[#This Row],[EAD_Interest (THB)]]</f>
        <v>976083.22425600002</v>
      </c>
      <c r="AQ6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3164.8014601592054</v>
      </c>
      <c r="AR644" s="522">
        <f>MAX(Port[[#This Row],[ECL (THB)]]+Port[[#This Row],[ECL_Interest (THB)]], Port[[#This Row],[ECL CBIRC (THB)]])</f>
        <v>3164.8014601592054</v>
      </c>
    </row>
    <row r="645" spans="1:44">
      <c r="A645" s="2" t="s">
        <v>454</v>
      </c>
      <c r="B645" s="2" t="s">
        <v>382</v>
      </c>
      <c r="C645" s="2" t="s">
        <v>379</v>
      </c>
      <c r="D645" s="2" t="s">
        <v>30</v>
      </c>
      <c r="E645" s="2" t="s">
        <v>19</v>
      </c>
      <c r="F645" s="2" t="s">
        <v>380</v>
      </c>
      <c r="G645" s="2" t="s">
        <v>57</v>
      </c>
      <c r="H645">
        <v>1</v>
      </c>
      <c r="I645" s="2" t="s">
        <v>526</v>
      </c>
      <c r="J645" s="505">
        <v>1.3043899345507868E-2</v>
      </c>
      <c r="K645" s="505">
        <v>3.403914658876301</v>
      </c>
      <c r="L645" s="3">
        <v>0.15684552284455039</v>
      </c>
      <c r="M645" s="3">
        <v>5.2488000000000001</v>
      </c>
      <c r="N645" s="507">
        <v>160011.39343</v>
      </c>
      <c r="O645" s="507">
        <v>0</v>
      </c>
      <c r="P645" s="507">
        <v>160011.39343</v>
      </c>
      <c r="Q645" s="507">
        <v>0</v>
      </c>
      <c r="R645" s="507">
        <v>7104.5571025130694</v>
      </c>
      <c r="S645" s="507">
        <v>0</v>
      </c>
      <c r="T645" s="507">
        <v>7104.5571025130694</v>
      </c>
      <c r="U645" s="507">
        <v>0</v>
      </c>
      <c r="V645" s="507">
        <f>Port[[#This Row],[EAD_Drawn (CNY)]]*Port[[#This Row],[CNY -&gt; FCY]]</f>
        <v>25097.070663613405</v>
      </c>
      <c r="W645" s="507">
        <f>Port[[#This Row],[EAD_Undrawn (CNY)]]*Port[[#This Row],[CNY -&gt; FCY]]</f>
        <v>0</v>
      </c>
      <c r="X645" s="507">
        <f>Port[[#This Row],[EAD (CNY)]]*Port[[#This Row],[CNY -&gt; FCY]]</f>
        <v>25097.070663613405</v>
      </c>
      <c r="Y645" s="507">
        <f>Port[[#This Row],[EAD_Interest (CNY)]]*Port[[#This Row],[CNY -&gt; FCY]]</f>
        <v>0</v>
      </c>
      <c r="Z645" s="507">
        <f>Port[[#This Row],[ECL_Drawn (CNY)]]*Port[[#This Row],[CNY -&gt; FCY]]</f>
        <v>1114.3179733226264</v>
      </c>
      <c r="AA645" s="507">
        <f>Port[[#This Row],[ECL_Undrawn (CNY)]]*Port[[#This Row],[CNY -&gt; FCY]]</f>
        <v>0</v>
      </c>
      <c r="AB645" s="507">
        <f>Port[[#This Row],[ECL (CNY)]]*Port[[#This Row],[CNY -&gt; FCY]]</f>
        <v>1114.3179733226264</v>
      </c>
      <c r="AC645" s="507">
        <f>Port[[#This Row],[ECL_Interest (CNY)]]*Port[[#This Row],[CNY -&gt; FCY]]</f>
        <v>0</v>
      </c>
      <c r="AD645" s="507">
        <f>Port[[#This Row],[EAD_Drawn (CNY)]]*Port[[#This Row],[CNY -&gt; THB]]</f>
        <v>839867.80183538399</v>
      </c>
      <c r="AE645" s="507">
        <f>Port[[#This Row],[EAD_Undrawn (CNY)]]*Port[[#This Row],[CNY -&gt; THB]]</f>
        <v>0</v>
      </c>
      <c r="AF645" s="507">
        <f>Port[[#This Row],[EAD (CNY)]]*Port[[#This Row],[CNY -&gt; THB]]</f>
        <v>839867.80183538399</v>
      </c>
      <c r="AG645" s="507">
        <f>Port[[#This Row],[EAD_Interest (CNY)]]*Port[[#This Row],[CNY -&gt; THB]]</f>
        <v>0</v>
      </c>
      <c r="AH645" s="507">
        <f>Port[[#This Row],[ECL_Drawn (CNY)]]*Port[[#This Row],[CNY -&gt; THB]]</f>
        <v>37290.3993196706</v>
      </c>
      <c r="AI645" s="507">
        <f>Port[[#This Row],[ECL_Undrawn (CNY)]]*Port[[#This Row],[CNY -&gt; THB]]</f>
        <v>0</v>
      </c>
      <c r="AJ645" s="507">
        <f>Port[[#This Row],[ECL (CNY)]]*Port[[#This Row],[CNY -&gt; THB]]</f>
        <v>37290.3993196706</v>
      </c>
      <c r="AK645" s="507">
        <f>Port[[#This Row],[ECL_Interest (CNY)]]*Port[[#This Row],[CNY -&gt; THB]]</f>
        <v>0</v>
      </c>
      <c r="AL645" s="507">
        <f>Port[[#This Row],[EAD (THB)]]*Port[[#This Row],[PD_avg]]</f>
        <v>10955.151070673697</v>
      </c>
      <c r="AM645" s="507">
        <f>Port[[#This Row],[EAD_Interest (THB)]]*Port[[#This Row],[PD_avg]]</f>
        <v>0</v>
      </c>
      <c r="AN645" s="507">
        <f>Port[[#This Row],[EAD (THB)]]*Port[[#This Row],[LGD_avg]]</f>
        <v>2858838.3221856798</v>
      </c>
      <c r="AO645" s="507">
        <f>Port[[#This Row],[EAD_Interest (THB)]]*Port[[#This Row],[LGD_avg]]</f>
        <v>0</v>
      </c>
      <c r="AP645" s="507">
        <f>Port[[#This Row],[EAD_Drawn (THB)]]+Port[[#This Row],[EAD_Interest (THB)]]</f>
        <v>839867.80183538399</v>
      </c>
      <c r="AQ6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37290.3993196706</v>
      </c>
      <c r="AR645" s="522">
        <f>MAX(Port[[#This Row],[ECL (THB)]]+Port[[#This Row],[ECL_Interest (THB)]], Port[[#This Row],[ECL CBIRC (THB)]])</f>
        <v>37290.3993196706</v>
      </c>
    </row>
    <row r="646" spans="1:44">
      <c r="A646" s="2" t="s">
        <v>455</v>
      </c>
      <c r="B646" s="2" t="s">
        <v>382</v>
      </c>
      <c r="C646" s="2" t="s">
        <v>379</v>
      </c>
      <c r="D646" s="2" t="s">
        <v>30</v>
      </c>
      <c r="E646" s="2" t="s">
        <v>19</v>
      </c>
      <c r="F646" s="2" t="s">
        <v>380</v>
      </c>
      <c r="G646" s="2" t="s">
        <v>57</v>
      </c>
      <c r="H646">
        <v>1</v>
      </c>
      <c r="I646" s="2" t="s">
        <v>526</v>
      </c>
      <c r="J646" s="505">
        <v>1.3043899345507868E-2</v>
      </c>
      <c r="K646" s="505">
        <v>1.9827663177525507</v>
      </c>
      <c r="L646" s="3">
        <v>0.15684552284455039</v>
      </c>
      <c r="M646" s="3">
        <v>5.2488000000000001</v>
      </c>
      <c r="N646" s="507">
        <v>67983.340221999999</v>
      </c>
      <c r="O646" s="507">
        <v>0</v>
      </c>
      <c r="P646" s="507">
        <v>67983.340221999999</v>
      </c>
      <c r="Q646" s="507">
        <v>0</v>
      </c>
      <c r="R646" s="507">
        <v>1758.253418751448</v>
      </c>
      <c r="S646" s="507">
        <v>0</v>
      </c>
      <c r="T646" s="507">
        <v>1758.253418751448</v>
      </c>
      <c r="U646" s="507">
        <v>0</v>
      </c>
      <c r="V646" s="507">
        <f>Port[[#This Row],[EAD_Drawn (CNY)]]*Port[[#This Row],[CNY -&gt; FCY]]</f>
        <v>10662.882541838542</v>
      </c>
      <c r="W646" s="507">
        <f>Port[[#This Row],[EAD_Undrawn (CNY)]]*Port[[#This Row],[CNY -&gt; FCY]]</f>
        <v>0</v>
      </c>
      <c r="X646" s="507">
        <f>Port[[#This Row],[EAD (CNY)]]*Port[[#This Row],[CNY -&gt; FCY]]</f>
        <v>10662.882541838542</v>
      </c>
      <c r="Y646" s="507">
        <f>Port[[#This Row],[EAD_Interest (CNY)]]*Port[[#This Row],[CNY -&gt; FCY]]</f>
        <v>0</v>
      </c>
      <c r="Z646" s="507">
        <f>Port[[#This Row],[ECL_Drawn (CNY)]]*Port[[#This Row],[CNY -&gt; FCY]]</f>
        <v>275.77417675728907</v>
      </c>
      <c r="AA646" s="507">
        <f>Port[[#This Row],[ECL_Undrawn (CNY)]]*Port[[#This Row],[CNY -&gt; FCY]]</f>
        <v>0</v>
      </c>
      <c r="AB646" s="507">
        <f>Port[[#This Row],[ECL (CNY)]]*Port[[#This Row],[CNY -&gt; FCY]]</f>
        <v>275.77417675728907</v>
      </c>
      <c r="AC646" s="507">
        <f>Port[[#This Row],[ECL_Interest (CNY)]]*Port[[#This Row],[CNY -&gt; FCY]]</f>
        <v>0</v>
      </c>
      <c r="AD646" s="507">
        <f>Port[[#This Row],[EAD_Drawn (CNY)]]*Port[[#This Row],[CNY -&gt; THB]]</f>
        <v>356830.95615723362</v>
      </c>
      <c r="AE646" s="507">
        <f>Port[[#This Row],[EAD_Undrawn (CNY)]]*Port[[#This Row],[CNY -&gt; THB]]</f>
        <v>0</v>
      </c>
      <c r="AF646" s="507">
        <f>Port[[#This Row],[EAD (CNY)]]*Port[[#This Row],[CNY -&gt; THB]]</f>
        <v>356830.95615723362</v>
      </c>
      <c r="AG646" s="507">
        <f>Port[[#This Row],[EAD_Interest (CNY)]]*Port[[#This Row],[CNY -&gt; THB]]</f>
        <v>0</v>
      </c>
      <c r="AH646" s="507">
        <f>Port[[#This Row],[ECL_Drawn (CNY)]]*Port[[#This Row],[CNY -&gt; THB]]</f>
        <v>9228.720544342601</v>
      </c>
      <c r="AI646" s="507">
        <f>Port[[#This Row],[ECL_Undrawn (CNY)]]*Port[[#This Row],[CNY -&gt; THB]]</f>
        <v>0</v>
      </c>
      <c r="AJ646" s="507">
        <f>Port[[#This Row],[ECL (CNY)]]*Port[[#This Row],[CNY -&gt; THB]]</f>
        <v>9228.720544342601</v>
      </c>
      <c r="AK646" s="507">
        <f>Port[[#This Row],[ECL_Interest (CNY)]]*Port[[#This Row],[CNY -&gt; THB]]</f>
        <v>0</v>
      </c>
      <c r="AL646" s="507">
        <f>Port[[#This Row],[EAD (THB)]]*Port[[#This Row],[PD_avg]]</f>
        <v>4654.4670754762865</v>
      </c>
      <c r="AM646" s="507">
        <f>Port[[#This Row],[EAD_Interest (THB)]]*Port[[#This Row],[PD_avg]]</f>
        <v>0</v>
      </c>
      <c r="AN646" s="507">
        <f>Port[[#This Row],[EAD (THB)]]*Port[[#This Row],[LGD_avg]]</f>
        <v>707512.40099999995</v>
      </c>
      <c r="AO646" s="507">
        <f>Port[[#This Row],[EAD_Interest (THB)]]*Port[[#This Row],[LGD_avg]]</f>
        <v>0</v>
      </c>
      <c r="AP646" s="507">
        <f>Port[[#This Row],[EAD_Drawn (THB)]]+Port[[#This Row],[EAD_Interest (THB)]]</f>
        <v>356830.95615723362</v>
      </c>
      <c r="AQ6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9228.720544342601</v>
      </c>
      <c r="AR646" s="522">
        <f>MAX(Port[[#This Row],[ECL (THB)]]+Port[[#This Row],[ECL_Interest (THB)]], Port[[#This Row],[ECL CBIRC (THB)]])</f>
        <v>9228.720544342601</v>
      </c>
    </row>
    <row r="647" spans="1:44">
      <c r="A647" s="2" t="s">
        <v>456</v>
      </c>
      <c r="B647" s="2" t="s">
        <v>382</v>
      </c>
      <c r="C647" s="2" t="s">
        <v>379</v>
      </c>
      <c r="D647" s="2" t="s">
        <v>30</v>
      </c>
      <c r="E647" s="2" t="s">
        <v>19</v>
      </c>
      <c r="F647" s="2" t="s">
        <v>380</v>
      </c>
      <c r="G647" s="2" t="s">
        <v>57</v>
      </c>
      <c r="H647">
        <v>1</v>
      </c>
      <c r="I647" s="2" t="s">
        <v>526</v>
      </c>
      <c r="J647" s="505">
        <v>1.3043899345507868E-2</v>
      </c>
      <c r="K647" s="505">
        <v>3.1840909090909086E-2</v>
      </c>
      <c r="L647" s="3">
        <v>0.15684552284455039</v>
      </c>
      <c r="M647" s="3">
        <v>5.2488000000000001</v>
      </c>
      <c r="N647" s="507">
        <v>1681310.4</v>
      </c>
      <c r="O647" s="507">
        <v>0</v>
      </c>
      <c r="P647" s="507">
        <v>1681310.4</v>
      </c>
      <c r="Q647" s="507">
        <v>0</v>
      </c>
      <c r="R647" s="507">
        <v>698.29799818736262</v>
      </c>
      <c r="S647" s="507">
        <v>0</v>
      </c>
      <c r="T647" s="507">
        <v>698.29799818736262</v>
      </c>
      <c r="U647" s="507">
        <v>0</v>
      </c>
      <c r="V647" s="507">
        <f>Port[[#This Row],[EAD_Drawn (CNY)]]*Port[[#This Row],[CNY -&gt; FCY]]</f>
        <v>263706.00875198015</v>
      </c>
      <c r="W647" s="507">
        <f>Port[[#This Row],[EAD_Undrawn (CNY)]]*Port[[#This Row],[CNY -&gt; FCY]]</f>
        <v>0</v>
      </c>
      <c r="X647" s="507">
        <f>Port[[#This Row],[EAD (CNY)]]*Port[[#This Row],[CNY -&gt; FCY]]</f>
        <v>263706.00875198015</v>
      </c>
      <c r="Y647" s="507">
        <f>Port[[#This Row],[EAD_Interest (CNY)]]*Port[[#This Row],[CNY -&gt; FCY]]</f>
        <v>0</v>
      </c>
      <c r="Z647" s="507">
        <f>Port[[#This Row],[ECL_Drawn (CNY)]]*Port[[#This Row],[CNY -&gt; FCY]]</f>
        <v>109.52491462699979</v>
      </c>
      <c r="AA647" s="507">
        <f>Port[[#This Row],[ECL_Undrawn (CNY)]]*Port[[#This Row],[CNY -&gt; FCY]]</f>
        <v>0</v>
      </c>
      <c r="AB647" s="507">
        <f>Port[[#This Row],[ECL (CNY)]]*Port[[#This Row],[CNY -&gt; FCY]]</f>
        <v>109.52491462699979</v>
      </c>
      <c r="AC647" s="507">
        <f>Port[[#This Row],[ECL_Interest (CNY)]]*Port[[#This Row],[CNY -&gt; FCY]]</f>
        <v>0</v>
      </c>
      <c r="AD647" s="507">
        <f>Port[[#This Row],[EAD_Drawn (CNY)]]*Port[[#This Row],[CNY -&gt; THB]]</f>
        <v>8824862.0275199991</v>
      </c>
      <c r="AE647" s="507">
        <f>Port[[#This Row],[EAD_Undrawn (CNY)]]*Port[[#This Row],[CNY -&gt; THB]]</f>
        <v>0</v>
      </c>
      <c r="AF647" s="507">
        <f>Port[[#This Row],[EAD (CNY)]]*Port[[#This Row],[CNY -&gt; THB]]</f>
        <v>8824862.0275199991</v>
      </c>
      <c r="AG647" s="507">
        <f>Port[[#This Row],[EAD_Interest (CNY)]]*Port[[#This Row],[CNY -&gt; THB]]</f>
        <v>0</v>
      </c>
      <c r="AH647" s="507">
        <f>Port[[#This Row],[ECL_Drawn (CNY)]]*Port[[#This Row],[CNY -&gt; THB]]</f>
        <v>3665.2265328858289</v>
      </c>
      <c r="AI647" s="507">
        <f>Port[[#This Row],[ECL_Undrawn (CNY)]]*Port[[#This Row],[CNY -&gt; THB]]</f>
        <v>0</v>
      </c>
      <c r="AJ647" s="507">
        <f>Port[[#This Row],[ECL (CNY)]]*Port[[#This Row],[CNY -&gt; THB]]</f>
        <v>3665.2265328858289</v>
      </c>
      <c r="AK647" s="507">
        <f>Port[[#This Row],[ECL_Interest (CNY)]]*Port[[#This Row],[CNY -&gt; THB]]</f>
        <v>0</v>
      </c>
      <c r="AL647" s="507">
        <f>Port[[#This Row],[EAD (THB)]]*Port[[#This Row],[PD_avg]]</f>
        <v>115110.61202496536</v>
      </c>
      <c r="AM647" s="507">
        <f>Port[[#This Row],[EAD_Interest (THB)]]*Port[[#This Row],[PD_avg]]</f>
        <v>0</v>
      </c>
      <c r="AN647" s="507">
        <f>Port[[#This Row],[EAD (THB)]]*Port[[#This Row],[LGD_avg]]</f>
        <v>280991.62955807993</v>
      </c>
      <c r="AO647" s="507">
        <f>Port[[#This Row],[EAD_Interest (THB)]]*Port[[#This Row],[LGD_avg]]</f>
        <v>0</v>
      </c>
      <c r="AP647" s="507">
        <f>Port[[#This Row],[EAD_Drawn (THB)]]+Port[[#This Row],[EAD_Interest (THB)]]</f>
        <v>8824862.0275199991</v>
      </c>
      <c r="AQ6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3665.2265328858289</v>
      </c>
      <c r="AR647" s="522">
        <f>MAX(Port[[#This Row],[ECL (THB)]]+Port[[#This Row],[ECL_Interest (THB)]], Port[[#This Row],[ECL CBIRC (THB)]])</f>
        <v>3665.2265328858289</v>
      </c>
    </row>
    <row r="648" spans="1:44">
      <c r="A648" s="2" t="s">
        <v>457</v>
      </c>
      <c r="B648" s="2" t="s">
        <v>382</v>
      </c>
      <c r="C648" s="2" t="s">
        <v>379</v>
      </c>
      <c r="D648" s="2" t="s">
        <v>30</v>
      </c>
      <c r="E648" s="2" t="s">
        <v>19</v>
      </c>
      <c r="F648" s="2" t="s">
        <v>380</v>
      </c>
      <c r="G648" s="2" t="s">
        <v>57</v>
      </c>
      <c r="H648">
        <v>1</v>
      </c>
      <c r="I648" s="2" t="s">
        <v>526</v>
      </c>
      <c r="J648" s="505">
        <v>1.3043899345507868E-2</v>
      </c>
      <c r="K648" s="505">
        <v>0.23457338572138947</v>
      </c>
      <c r="L648" s="3">
        <v>0.15684552284455039</v>
      </c>
      <c r="M648" s="3">
        <v>5.2488000000000001</v>
      </c>
      <c r="N648" s="507">
        <v>713494.44646200002</v>
      </c>
      <c r="O648" s="507">
        <v>0</v>
      </c>
      <c r="P648" s="507">
        <v>713494.44646200002</v>
      </c>
      <c r="Q648" s="507">
        <v>0</v>
      </c>
      <c r="R648" s="507">
        <v>2183.1157973309409</v>
      </c>
      <c r="S648" s="507">
        <v>0</v>
      </c>
      <c r="T648" s="507">
        <v>2183.1157973309409</v>
      </c>
      <c r="U648" s="507">
        <v>0</v>
      </c>
      <c r="V648" s="507">
        <f>Port[[#This Row],[EAD_Drawn (CNY)]]*Port[[#This Row],[CNY -&gt; FCY]]</f>
        <v>111908.40950201546</v>
      </c>
      <c r="W648" s="507">
        <f>Port[[#This Row],[EAD_Undrawn (CNY)]]*Port[[#This Row],[CNY -&gt; FCY]]</f>
        <v>0</v>
      </c>
      <c r="X648" s="507">
        <f>Port[[#This Row],[EAD (CNY)]]*Port[[#This Row],[CNY -&gt; FCY]]</f>
        <v>111908.40950201546</v>
      </c>
      <c r="Y648" s="507">
        <f>Port[[#This Row],[EAD_Interest (CNY)]]*Port[[#This Row],[CNY -&gt; FCY]]</f>
        <v>0</v>
      </c>
      <c r="Z648" s="507">
        <f>Port[[#This Row],[ECL_Drawn (CNY)]]*Port[[#This Row],[CNY -&gt; FCY]]</f>
        <v>342.41193866256896</v>
      </c>
      <c r="AA648" s="507">
        <f>Port[[#This Row],[ECL_Undrawn (CNY)]]*Port[[#This Row],[CNY -&gt; FCY]]</f>
        <v>0</v>
      </c>
      <c r="AB648" s="507">
        <f>Port[[#This Row],[ECL (CNY)]]*Port[[#This Row],[CNY -&gt; FCY]]</f>
        <v>342.41193866256896</v>
      </c>
      <c r="AC648" s="507">
        <f>Port[[#This Row],[ECL_Interest (CNY)]]*Port[[#This Row],[CNY -&gt; FCY]]</f>
        <v>0</v>
      </c>
      <c r="AD648" s="507">
        <f>Port[[#This Row],[EAD_Drawn (CNY)]]*Port[[#This Row],[CNY -&gt; THB]]</f>
        <v>3744989.650589746</v>
      </c>
      <c r="AE648" s="507">
        <f>Port[[#This Row],[EAD_Undrawn (CNY)]]*Port[[#This Row],[CNY -&gt; THB]]</f>
        <v>0</v>
      </c>
      <c r="AF648" s="507">
        <f>Port[[#This Row],[EAD (CNY)]]*Port[[#This Row],[CNY -&gt; THB]]</f>
        <v>3744989.650589746</v>
      </c>
      <c r="AG648" s="507">
        <f>Port[[#This Row],[EAD_Interest (CNY)]]*Port[[#This Row],[CNY -&gt; THB]]</f>
        <v>0</v>
      </c>
      <c r="AH648" s="507">
        <f>Port[[#This Row],[ECL_Drawn (CNY)]]*Port[[#This Row],[CNY -&gt; THB]]</f>
        <v>11458.738197030643</v>
      </c>
      <c r="AI648" s="507">
        <f>Port[[#This Row],[ECL_Undrawn (CNY)]]*Port[[#This Row],[CNY -&gt; THB]]</f>
        <v>0</v>
      </c>
      <c r="AJ648" s="507">
        <f>Port[[#This Row],[ECL (CNY)]]*Port[[#This Row],[CNY -&gt; THB]]</f>
        <v>11458.738197030643</v>
      </c>
      <c r="AK648" s="507">
        <f>Port[[#This Row],[ECL_Interest (CNY)]]*Port[[#This Row],[CNY -&gt; THB]]</f>
        <v>0</v>
      </c>
      <c r="AL648" s="507">
        <f>Port[[#This Row],[EAD (THB)]]*Port[[#This Row],[PD_avg]]</f>
        <v>48849.26805226133</v>
      </c>
      <c r="AM648" s="507">
        <f>Port[[#This Row],[EAD_Interest (THB)]]*Port[[#This Row],[PD_avg]]</f>
        <v>0</v>
      </c>
      <c r="AN648" s="507">
        <f>Port[[#This Row],[EAD (THB)]]*Port[[#This Row],[LGD_avg]]</f>
        <v>878474.90183040011</v>
      </c>
      <c r="AO648" s="507">
        <f>Port[[#This Row],[EAD_Interest (THB)]]*Port[[#This Row],[LGD_avg]]</f>
        <v>0</v>
      </c>
      <c r="AP648" s="507">
        <f>Port[[#This Row],[EAD_Drawn (THB)]]+Port[[#This Row],[EAD_Interest (THB)]]</f>
        <v>3744989.650589746</v>
      </c>
      <c r="AQ6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11458.738197030643</v>
      </c>
      <c r="AR648" s="522">
        <f>MAX(Port[[#This Row],[ECL (THB)]]+Port[[#This Row],[ECL_Interest (THB)]], Port[[#This Row],[ECL CBIRC (THB)]])</f>
        <v>11458.738197030643</v>
      </c>
    </row>
    <row r="649" spans="1:44">
      <c r="A649" s="2" t="s">
        <v>458</v>
      </c>
      <c r="B649" s="2" t="s">
        <v>382</v>
      </c>
      <c r="C649" s="2" t="s">
        <v>379</v>
      </c>
      <c r="D649" s="2" t="s">
        <v>30</v>
      </c>
      <c r="E649" s="2" t="s">
        <v>19</v>
      </c>
      <c r="F649" s="2" t="s">
        <v>380</v>
      </c>
      <c r="G649" s="2" t="s">
        <v>57</v>
      </c>
      <c r="H649">
        <v>1</v>
      </c>
      <c r="I649" s="2" t="s">
        <v>526</v>
      </c>
      <c r="J649" s="505">
        <v>1.3043899345507868E-2</v>
      </c>
      <c r="K649" s="505">
        <v>0.144325275493984</v>
      </c>
      <c r="L649" s="3">
        <v>0.15684552284455039</v>
      </c>
      <c r="M649" s="3">
        <v>5.2488000000000001</v>
      </c>
      <c r="N649" s="507">
        <v>997817.28178999992</v>
      </c>
      <c r="O649" s="507">
        <v>0</v>
      </c>
      <c r="P649" s="507">
        <v>997817.28178999992</v>
      </c>
      <c r="Q649" s="507">
        <v>0</v>
      </c>
      <c r="R649" s="507">
        <v>1878.455259031841</v>
      </c>
      <c r="S649" s="507">
        <v>0</v>
      </c>
      <c r="T649" s="507">
        <v>1878.455259031841</v>
      </c>
      <c r="U649" s="507">
        <v>0</v>
      </c>
      <c r="V649" s="507">
        <f>Port[[#This Row],[EAD_Drawn (CNY)]]*Port[[#This Row],[CNY -&gt; FCY]]</f>
        <v>156503.17326568061</v>
      </c>
      <c r="W649" s="507">
        <f>Port[[#This Row],[EAD_Undrawn (CNY)]]*Port[[#This Row],[CNY -&gt; FCY]]</f>
        <v>0</v>
      </c>
      <c r="X649" s="507">
        <f>Port[[#This Row],[EAD (CNY)]]*Port[[#This Row],[CNY -&gt; FCY]]</f>
        <v>156503.17326568061</v>
      </c>
      <c r="Y649" s="507">
        <f>Port[[#This Row],[EAD_Interest (CNY)]]*Port[[#This Row],[CNY -&gt; FCY]]</f>
        <v>0</v>
      </c>
      <c r="Z649" s="507">
        <f>Port[[#This Row],[ECL_Drawn (CNY)]]*Port[[#This Row],[CNY -&gt; FCY]]</f>
        <v>294.62729724294445</v>
      </c>
      <c r="AA649" s="507">
        <f>Port[[#This Row],[ECL_Undrawn (CNY)]]*Port[[#This Row],[CNY -&gt; FCY]]</f>
        <v>0</v>
      </c>
      <c r="AB649" s="507">
        <f>Port[[#This Row],[ECL (CNY)]]*Port[[#This Row],[CNY -&gt; FCY]]</f>
        <v>294.62729724294445</v>
      </c>
      <c r="AC649" s="507">
        <f>Port[[#This Row],[ECL_Interest (CNY)]]*Port[[#This Row],[CNY -&gt; FCY]]</f>
        <v>0</v>
      </c>
      <c r="AD649" s="507">
        <f>Port[[#This Row],[EAD_Drawn (CNY)]]*Port[[#This Row],[CNY -&gt; THB]]</f>
        <v>5237343.3486593515</v>
      </c>
      <c r="AE649" s="507">
        <f>Port[[#This Row],[EAD_Undrawn (CNY)]]*Port[[#This Row],[CNY -&gt; THB]]</f>
        <v>0</v>
      </c>
      <c r="AF649" s="507">
        <f>Port[[#This Row],[EAD (CNY)]]*Port[[#This Row],[CNY -&gt; THB]]</f>
        <v>5237343.3486593515</v>
      </c>
      <c r="AG649" s="507">
        <f>Port[[#This Row],[EAD_Interest (CNY)]]*Port[[#This Row],[CNY -&gt; THB]]</f>
        <v>0</v>
      </c>
      <c r="AH649" s="507">
        <f>Port[[#This Row],[ECL_Drawn (CNY)]]*Port[[#This Row],[CNY -&gt; THB]]</f>
        <v>9859.635963606328</v>
      </c>
      <c r="AI649" s="507">
        <f>Port[[#This Row],[ECL_Undrawn (CNY)]]*Port[[#This Row],[CNY -&gt; THB]]</f>
        <v>0</v>
      </c>
      <c r="AJ649" s="507">
        <f>Port[[#This Row],[ECL (CNY)]]*Port[[#This Row],[CNY -&gt; THB]]</f>
        <v>9859.635963606328</v>
      </c>
      <c r="AK649" s="507">
        <f>Port[[#This Row],[ECL_Interest (CNY)]]*Port[[#This Row],[CNY -&gt; THB]]</f>
        <v>0</v>
      </c>
      <c r="AL649" s="507">
        <f>Port[[#This Row],[EAD (THB)]]*Port[[#This Row],[PD_avg]]</f>
        <v>68315.379477777708</v>
      </c>
      <c r="AM649" s="507">
        <f>Port[[#This Row],[EAD_Interest (THB)]]*Port[[#This Row],[PD_avg]]</f>
        <v>0</v>
      </c>
      <c r="AN649" s="507">
        <f>Port[[#This Row],[EAD (THB)]]*Port[[#This Row],[LGD_avg]]</f>
        <v>755881.02165184554</v>
      </c>
      <c r="AO649" s="507">
        <f>Port[[#This Row],[EAD_Interest (THB)]]*Port[[#This Row],[LGD_avg]]</f>
        <v>0</v>
      </c>
      <c r="AP649" s="507">
        <f>Port[[#This Row],[EAD_Drawn (THB)]]+Port[[#This Row],[EAD_Interest (THB)]]</f>
        <v>5237343.3486593515</v>
      </c>
      <c r="AQ6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9859.635963606328</v>
      </c>
      <c r="AR649" s="522">
        <f>MAX(Port[[#This Row],[ECL (THB)]]+Port[[#This Row],[ECL_Interest (THB)]], Port[[#This Row],[ECL CBIRC (THB)]])</f>
        <v>9859.635963606328</v>
      </c>
    </row>
    <row r="650" spans="1:44">
      <c r="A650" s="2" t="s">
        <v>459</v>
      </c>
      <c r="B650" s="2" t="s">
        <v>382</v>
      </c>
      <c r="C650" s="2" t="s">
        <v>379</v>
      </c>
      <c r="D650" s="2" t="s">
        <v>30</v>
      </c>
      <c r="E650" s="2" t="s">
        <v>19</v>
      </c>
      <c r="F650" s="2" t="s">
        <v>380</v>
      </c>
      <c r="G650" s="2" t="s">
        <v>57</v>
      </c>
      <c r="H650">
        <v>1</v>
      </c>
      <c r="I650" s="2" t="s">
        <v>526</v>
      </c>
      <c r="J650" s="505">
        <v>1.3043899345507868E-2</v>
      </c>
      <c r="K650" s="505">
        <v>0.14799521660527476</v>
      </c>
      <c r="L650" s="3">
        <v>0.15684552284455039</v>
      </c>
      <c r="M650" s="3">
        <v>5.2488000000000001</v>
      </c>
      <c r="N650" s="507">
        <v>413425.56606399996</v>
      </c>
      <c r="O650" s="507">
        <v>0</v>
      </c>
      <c r="P650" s="507">
        <v>413425.56606399996</v>
      </c>
      <c r="Q650" s="507">
        <v>0</v>
      </c>
      <c r="R650" s="507">
        <v>798.09106232446607</v>
      </c>
      <c r="S650" s="507">
        <v>0</v>
      </c>
      <c r="T650" s="507">
        <v>798.09106232446607</v>
      </c>
      <c r="U650" s="507">
        <v>0</v>
      </c>
      <c r="V650" s="507">
        <f>Port[[#This Row],[EAD_Drawn (CNY)]]*Port[[#This Row],[CNY -&gt; FCY]]</f>
        <v>64843.94906661228</v>
      </c>
      <c r="W650" s="507">
        <f>Port[[#This Row],[EAD_Undrawn (CNY)]]*Port[[#This Row],[CNY -&gt; FCY]]</f>
        <v>0</v>
      </c>
      <c r="X650" s="507">
        <f>Port[[#This Row],[EAD (CNY)]]*Port[[#This Row],[CNY -&gt; FCY]]</f>
        <v>64843.94906661228</v>
      </c>
      <c r="Y650" s="507">
        <f>Port[[#This Row],[EAD_Interest (CNY)]]*Port[[#This Row],[CNY -&gt; FCY]]</f>
        <v>0</v>
      </c>
      <c r="Z650" s="507">
        <f>Port[[#This Row],[ECL_Drawn (CNY)]]*Port[[#This Row],[CNY -&gt; FCY]]</f>
        <v>125.17700994784353</v>
      </c>
      <c r="AA650" s="507">
        <f>Port[[#This Row],[ECL_Undrawn (CNY)]]*Port[[#This Row],[CNY -&gt; FCY]]</f>
        <v>0</v>
      </c>
      <c r="AB650" s="507">
        <f>Port[[#This Row],[ECL (CNY)]]*Port[[#This Row],[CNY -&gt; FCY]]</f>
        <v>125.17700994784353</v>
      </c>
      <c r="AC650" s="507">
        <f>Port[[#This Row],[ECL_Interest (CNY)]]*Port[[#This Row],[CNY -&gt; FCY]]</f>
        <v>0</v>
      </c>
      <c r="AD650" s="507">
        <f>Port[[#This Row],[EAD_Drawn (CNY)]]*Port[[#This Row],[CNY -&gt; THB]]</f>
        <v>2169988.111156723</v>
      </c>
      <c r="AE650" s="507">
        <f>Port[[#This Row],[EAD_Undrawn (CNY)]]*Port[[#This Row],[CNY -&gt; THB]]</f>
        <v>0</v>
      </c>
      <c r="AF650" s="507">
        <f>Port[[#This Row],[EAD (CNY)]]*Port[[#This Row],[CNY -&gt; THB]]</f>
        <v>2169988.111156723</v>
      </c>
      <c r="AG650" s="507">
        <f>Port[[#This Row],[EAD_Interest (CNY)]]*Port[[#This Row],[CNY -&gt; THB]]</f>
        <v>0</v>
      </c>
      <c r="AH650" s="507">
        <f>Port[[#This Row],[ECL_Drawn (CNY)]]*Port[[#This Row],[CNY -&gt; THB]]</f>
        <v>4189.0203679286578</v>
      </c>
      <c r="AI650" s="507">
        <f>Port[[#This Row],[ECL_Undrawn (CNY)]]*Port[[#This Row],[CNY -&gt; THB]]</f>
        <v>0</v>
      </c>
      <c r="AJ650" s="507">
        <f>Port[[#This Row],[ECL (CNY)]]*Port[[#This Row],[CNY -&gt; THB]]</f>
        <v>4189.0203679286578</v>
      </c>
      <c r="AK650" s="507">
        <f>Port[[#This Row],[ECL_Interest (CNY)]]*Port[[#This Row],[CNY -&gt; THB]]</f>
        <v>0</v>
      </c>
      <c r="AL650" s="507">
        <f>Port[[#This Row],[EAD (THB)]]*Port[[#This Row],[PD_avg]]</f>
        <v>28305.106502877035</v>
      </c>
      <c r="AM650" s="507">
        <f>Port[[#This Row],[EAD_Interest (THB)]]*Port[[#This Row],[PD_avg]]</f>
        <v>0</v>
      </c>
      <c r="AN650" s="507">
        <f>Port[[#This Row],[EAD (THB)]]*Port[[#This Row],[LGD_avg]]</f>
        <v>321147.86054151028</v>
      </c>
      <c r="AO650" s="507">
        <f>Port[[#This Row],[EAD_Interest (THB)]]*Port[[#This Row],[LGD_avg]]</f>
        <v>0</v>
      </c>
      <c r="AP650" s="507">
        <f>Port[[#This Row],[EAD_Drawn (THB)]]+Port[[#This Row],[EAD_Interest (THB)]]</f>
        <v>2169988.111156723</v>
      </c>
      <c r="AQ6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4189.0203679286578</v>
      </c>
      <c r="AR650" s="522">
        <f>MAX(Port[[#This Row],[ECL (THB)]]+Port[[#This Row],[ECL_Interest (THB)]], Port[[#This Row],[ECL CBIRC (THB)]])</f>
        <v>4189.0203679286578</v>
      </c>
    </row>
    <row r="651" spans="1:44">
      <c r="A651" s="2" t="s">
        <v>460</v>
      </c>
      <c r="B651" s="2" t="s">
        <v>382</v>
      </c>
      <c r="C651" s="2" t="s">
        <v>379</v>
      </c>
      <c r="D651" s="2" t="s">
        <v>30</v>
      </c>
      <c r="E651" s="2" t="s">
        <v>19</v>
      </c>
      <c r="F651" s="2" t="s">
        <v>380</v>
      </c>
      <c r="G651" s="2" t="s">
        <v>57</v>
      </c>
      <c r="H651">
        <v>1</v>
      </c>
      <c r="I651" s="2" t="s">
        <v>526</v>
      </c>
      <c r="J651" s="505">
        <v>1.3043899345507868E-2</v>
      </c>
      <c r="K651" s="505">
        <v>0.95806451612903221</v>
      </c>
      <c r="L651" s="3">
        <v>0.15684552284455039</v>
      </c>
      <c r="M651" s="3">
        <v>5.2488000000000001</v>
      </c>
      <c r="N651" s="507">
        <v>1579412.8</v>
      </c>
      <c r="O651" s="507">
        <v>0</v>
      </c>
      <c r="P651" s="507">
        <v>1579412.8</v>
      </c>
      <c r="Q651" s="507">
        <v>0</v>
      </c>
      <c r="R651" s="507">
        <v>19737.759263540014</v>
      </c>
      <c r="S651" s="507">
        <v>0</v>
      </c>
      <c r="T651" s="507">
        <v>19737.759263540014</v>
      </c>
      <c r="U651" s="507">
        <v>0</v>
      </c>
      <c r="V651" s="507">
        <f>Port[[#This Row],[EAD_Drawn (CNY)]]*Port[[#This Row],[CNY -&gt; FCY]]</f>
        <v>247723.82640337531</v>
      </c>
      <c r="W651" s="507">
        <f>Port[[#This Row],[EAD_Undrawn (CNY)]]*Port[[#This Row],[CNY -&gt; FCY]]</f>
        <v>0</v>
      </c>
      <c r="X651" s="507">
        <f>Port[[#This Row],[EAD (CNY)]]*Port[[#This Row],[CNY -&gt; FCY]]</f>
        <v>247723.82640337531</v>
      </c>
      <c r="Y651" s="507">
        <f>Port[[#This Row],[EAD_Interest (CNY)]]*Port[[#This Row],[CNY -&gt; FCY]]</f>
        <v>0</v>
      </c>
      <c r="Z651" s="507">
        <f>Port[[#This Row],[ECL_Drawn (CNY)]]*Port[[#This Row],[CNY -&gt; FCY]]</f>
        <v>3095.7791714698014</v>
      </c>
      <c r="AA651" s="507">
        <f>Port[[#This Row],[ECL_Undrawn (CNY)]]*Port[[#This Row],[CNY -&gt; FCY]]</f>
        <v>0</v>
      </c>
      <c r="AB651" s="507">
        <f>Port[[#This Row],[ECL (CNY)]]*Port[[#This Row],[CNY -&gt; FCY]]</f>
        <v>3095.7791714698014</v>
      </c>
      <c r="AC651" s="507">
        <f>Port[[#This Row],[ECL_Interest (CNY)]]*Port[[#This Row],[CNY -&gt; FCY]]</f>
        <v>0</v>
      </c>
      <c r="AD651" s="507">
        <f>Port[[#This Row],[EAD_Drawn (CNY)]]*Port[[#This Row],[CNY -&gt; THB]]</f>
        <v>8290021.9046400003</v>
      </c>
      <c r="AE651" s="507">
        <f>Port[[#This Row],[EAD_Undrawn (CNY)]]*Port[[#This Row],[CNY -&gt; THB]]</f>
        <v>0</v>
      </c>
      <c r="AF651" s="507">
        <f>Port[[#This Row],[EAD (CNY)]]*Port[[#This Row],[CNY -&gt; THB]]</f>
        <v>8290021.9046400003</v>
      </c>
      <c r="AG651" s="507">
        <f>Port[[#This Row],[EAD_Interest (CNY)]]*Port[[#This Row],[CNY -&gt; THB]]</f>
        <v>0</v>
      </c>
      <c r="AH651" s="507">
        <f>Port[[#This Row],[ECL_Drawn (CNY)]]*Port[[#This Row],[CNY -&gt; THB]]</f>
        <v>103599.55082246882</v>
      </c>
      <c r="AI651" s="507">
        <f>Port[[#This Row],[ECL_Undrawn (CNY)]]*Port[[#This Row],[CNY -&gt; THB]]</f>
        <v>0</v>
      </c>
      <c r="AJ651" s="507">
        <f>Port[[#This Row],[ECL (CNY)]]*Port[[#This Row],[CNY -&gt; THB]]</f>
        <v>103599.55082246882</v>
      </c>
      <c r="AK651" s="507">
        <f>Port[[#This Row],[ECL_Interest (CNY)]]*Port[[#This Row],[CNY -&gt; THB]]</f>
        <v>0</v>
      </c>
      <c r="AL651" s="507">
        <f>Port[[#This Row],[EAD (THB)]]*Port[[#This Row],[PD_avg]]</f>
        <v>108134.21129617959</v>
      </c>
      <c r="AM651" s="507">
        <f>Port[[#This Row],[EAD_Interest (THB)]]*Port[[#This Row],[PD_avg]]</f>
        <v>0</v>
      </c>
      <c r="AN651" s="507">
        <f>Port[[#This Row],[EAD (THB)]]*Port[[#This Row],[LGD_avg]]</f>
        <v>7942375.8247680003</v>
      </c>
      <c r="AO651" s="507">
        <f>Port[[#This Row],[EAD_Interest (THB)]]*Port[[#This Row],[LGD_avg]]</f>
        <v>0</v>
      </c>
      <c r="AP651" s="507">
        <f>Port[[#This Row],[EAD_Drawn (THB)]]+Port[[#This Row],[EAD_Interest (THB)]]</f>
        <v>8290021.9046400003</v>
      </c>
      <c r="AQ6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103599.55082246882</v>
      </c>
      <c r="AR651" s="522">
        <f>MAX(Port[[#This Row],[ECL (THB)]]+Port[[#This Row],[ECL_Interest (THB)]], Port[[#This Row],[ECL CBIRC (THB)]])</f>
        <v>103599.55082246882</v>
      </c>
    </row>
    <row r="652" spans="1:44">
      <c r="A652" s="2" t="s">
        <v>461</v>
      </c>
      <c r="B652" s="2" t="s">
        <v>382</v>
      </c>
      <c r="C652" s="2" t="s">
        <v>379</v>
      </c>
      <c r="D652" s="2" t="s">
        <v>30</v>
      </c>
      <c r="E652" s="2" t="s">
        <v>19</v>
      </c>
      <c r="F652" s="2" t="s">
        <v>380</v>
      </c>
      <c r="G652" s="2" t="s">
        <v>170</v>
      </c>
      <c r="H652">
        <v>1</v>
      </c>
      <c r="I652" s="2" t="s">
        <v>526</v>
      </c>
      <c r="J652" s="505">
        <v>1.3043899345507868E-2</v>
      </c>
      <c r="K652" s="505">
        <v>5.9125621224747542</v>
      </c>
      <c r="L652" s="3">
        <v>5.2308000000000003</v>
      </c>
      <c r="M652" s="3">
        <v>5.2488000000000001</v>
      </c>
      <c r="N652" s="507">
        <v>108606.89300411522</v>
      </c>
      <c r="O652" s="507">
        <v>0</v>
      </c>
      <c r="P652" s="507">
        <v>108606.89300411522</v>
      </c>
      <c r="Q652" s="507">
        <v>0</v>
      </c>
      <c r="R652" s="507">
        <v>8376.0747689062628</v>
      </c>
      <c r="S652" s="507">
        <v>0</v>
      </c>
      <c r="T652" s="507">
        <v>8376.0747689062628</v>
      </c>
      <c r="U652" s="507">
        <v>0</v>
      </c>
      <c r="V652" s="507">
        <f>Port[[#This Row],[EAD_Drawn (CNY)]]*Port[[#This Row],[CNY -&gt; FCY]]</f>
        <v>568100.93592592597</v>
      </c>
      <c r="W652" s="507">
        <f>Port[[#This Row],[EAD_Undrawn (CNY)]]*Port[[#This Row],[CNY -&gt; FCY]]</f>
        <v>0</v>
      </c>
      <c r="X652" s="507">
        <f>Port[[#This Row],[EAD (CNY)]]*Port[[#This Row],[CNY -&gt; FCY]]</f>
        <v>568100.93592592597</v>
      </c>
      <c r="Y652" s="507">
        <f>Port[[#This Row],[EAD_Interest (CNY)]]*Port[[#This Row],[CNY -&gt; FCY]]</f>
        <v>0</v>
      </c>
      <c r="Z652" s="507">
        <f>Port[[#This Row],[ECL_Drawn (CNY)]]*Port[[#This Row],[CNY -&gt; FCY]]</f>
        <v>43813.571901194882</v>
      </c>
      <c r="AA652" s="507">
        <f>Port[[#This Row],[ECL_Undrawn (CNY)]]*Port[[#This Row],[CNY -&gt; FCY]]</f>
        <v>0</v>
      </c>
      <c r="AB652" s="507">
        <f>Port[[#This Row],[ECL (CNY)]]*Port[[#This Row],[CNY -&gt; FCY]]</f>
        <v>43813.571901194882</v>
      </c>
      <c r="AC652" s="507">
        <f>Port[[#This Row],[ECL_Interest (CNY)]]*Port[[#This Row],[CNY -&gt; FCY]]</f>
        <v>0</v>
      </c>
      <c r="AD652" s="507">
        <f>Port[[#This Row],[EAD_Drawn (CNY)]]*Port[[#This Row],[CNY -&gt; THB]]</f>
        <v>570055.86</v>
      </c>
      <c r="AE652" s="507">
        <f>Port[[#This Row],[EAD_Undrawn (CNY)]]*Port[[#This Row],[CNY -&gt; THB]]</f>
        <v>0</v>
      </c>
      <c r="AF652" s="507">
        <f>Port[[#This Row],[EAD (CNY)]]*Port[[#This Row],[CNY -&gt; THB]]</f>
        <v>570055.86</v>
      </c>
      <c r="AG652" s="507">
        <f>Port[[#This Row],[EAD_Interest (CNY)]]*Port[[#This Row],[CNY -&gt; THB]]</f>
        <v>0</v>
      </c>
      <c r="AH652" s="507">
        <f>Port[[#This Row],[ECL_Drawn (CNY)]]*Port[[#This Row],[CNY -&gt; THB]]</f>
        <v>43964.34124703519</v>
      </c>
      <c r="AI652" s="507">
        <f>Port[[#This Row],[ECL_Undrawn (CNY)]]*Port[[#This Row],[CNY -&gt; THB]]</f>
        <v>0</v>
      </c>
      <c r="AJ652" s="507">
        <f>Port[[#This Row],[ECL (CNY)]]*Port[[#This Row],[CNY -&gt; THB]]</f>
        <v>43964.34124703519</v>
      </c>
      <c r="AK652" s="507">
        <f>Port[[#This Row],[ECL_Interest (CNY)]]*Port[[#This Row],[CNY -&gt; THB]]</f>
        <v>0</v>
      </c>
      <c r="AL652" s="507">
        <f>Port[[#This Row],[EAD (THB)]]*Port[[#This Row],[PD_avg]]</f>
        <v>7435.7512591569248</v>
      </c>
      <c r="AM652" s="507">
        <f>Port[[#This Row],[EAD_Interest (THB)]]*Port[[#This Row],[PD_avg]]</f>
        <v>0</v>
      </c>
      <c r="AN652" s="507">
        <f>Port[[#This Row],[EAD (THB)]]*Port[[#This Row],[LGD_avg]]</f>
        <v>3370490.685530771</v>
      </c>
      <c r="AO652" s="507">
        <f>Port[[#This Row],[EAD_Interest (THB)]]*Port[[#This Row],[LGD_avg]]</f>
        <v>0</v>
      </c>
      <c r="AP652" s="507">
        <f>Port[[#This Row],[EAD_Drawn (THB)]]+Port[[#This Row],[EAD_Interest (THB)]]</f>
        <v>570055.86</v>
      </c>
      <c r="AQ6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43964.34124703519</v>
      </c>
      <c r="AR652" s="522">
        <f>MAX(Port[[#This Row],[ECL (THB)]]+Port[[#This Row],[ECL_Interest (THB)]], Port[[#This Row],[ECL CBIRC (THB)]])</f>
        <v>43964.34124703519</v>
      </c>
    </row>
    <row r="653" spans="1:44">
      <c r="A653" s="2" t="s">
        <v>462</v>
      </c>
      <c r="B653" s="2" t="s">
        <v>382</v>
      </c>
      <c r="C653" s="2" t="s">
        <v>379</v>
      </c>
      <c r="D653" s="2" t="s">
        <v>30</v>
      </c>
      <c r="E653" s="2" t="s">
        <v>19</v>
      </c>
      <c r="F653" s="2" t="s">
        <v>380</v>
      </c>
      <c r="G653" s="2" t="s">
        <v>57</v>
      </c>
      <c r="H653">
        <v>1</v>
      </c>
      <c r="I653" s="2" t="s">
        <v>526</v>
      </c>
      <c r="J653" s="505">
        <v>1.3043899345507868E-2</v>
      </c>
      <c r="K653" s="505">
        <v>0.58162796980696252</v>
      </c>
      <c r="L653" s="3">
        <v>0.15684552284455039</v>
      </c>
      <c r="M653" s="3">
        <v>5.2488000000000001</v>
      </c>
      <c r="N653" s="507">
        <v>1544003.3839999998</v>
      </c>
      <c r="O653" s="507">
        <v>0</v>
      </c>
      <c r="P653" s="507">
        <v>1544003.3839999998</v>
      </c>
      <c r="Q653" s="507">
        <v>0</v>
      </c>
      <c r="R653" s="507">
        <v>11713.885369989319</v>
      </c>
      <c r="S653" s="507">
        <v>0</v>
      </c>
      <c r="T653" s="507">
        <v>11713.885369989319</v>
      </c>
      <c r="U653" s="507">
        <v>0</v>
      </c>
      <c r="V653" s="507">
        <f>Port[[#This Row],[EAD_Drawn (CNY)]]*Port[[#This Row],[CNY -&gt; FCY]]</f>
        <v>242170.01803723507</v>
      </c>
      <c r="W653" s="507">
        <f>Port[[#This Row],[EAD_Undrawn (CNY)]]*Port[[#This Row],[CNY -&gt; FCY]]</f>
        <v>0</v>
      </c>
      <c r="X653" s="507">
        <f>Port[[#This Row],[EAD (CNY)]]*Port[[#This Row],[CNY -&gt; FCY]]</f>
        <v>242170.01803723507</v>
      </c>
      <c r="Y653" s="507">
        <f>Port[[#This Row],[EAD_Interest (CNY)]]*Port[[#This Row],[CNY -&gt; FCY]]</f>
        <v>0</v>
      </c>
      <c r="Z653" s="507">
        <f>Port[[#This Row],[ECL_Drawn (CNY)]]*Port[[#This Row],[CNY -&gt; FCY]]</f>
        <v>1837.2704753971043</v>
      </c>
      <c r="AA653" s="507">
        <f>Port[[#This Row],[ECL_Undrawn (CNY)]]*Port[[#This Row],[CNY -&gt; FCY]]</f>
        <v>0</v>
      </c>
      <c r="AB653" s="507">
        <f>Port[[#This Row],[ECL (CNY)]]*Port[[#This Row],[CNY -&gt; FCY]]</f>
        <v>1837.2704753971043</v>
      </c>
      <c r="AC653" s="507">
        <f>Port[[#This Row],[ECL_Interest (CNY)]]*Port[[#This Row],[CNY -&gt; FCY]]</f>
        <v>0</v>
      </c>
      <c r="AD653" s="507">
        <f>Port[[#This Row],[EAD_Drawn (CNY)]]*Port[[#This Row],[CNY -&gt; THB]]</f>
        <v>8104164.9619391998</v>
      </c>
      <c r="AE653" s="507">
        <f>Port[[#This Row],[EAD_Undrawn (CNY)]]*Port[[#This Row],[CNY -&gt; THB]]</f>
        <v>0</v>
      </c>
      <c r="AF653" s="507">
        <f>Port[[#This Row],[EAD (CNY)]]*Port[[#This Row],[CNY -&gt; THB]]</f>
        <v>8104164.9619391998</v>
      </c>
      <c r="AG653" s="507">
        <f>Port[[#This Row],[EAD_Interest (CNY)]]*Port[[#This Row],[CNY -&gt; THB]]</f>
        <v>0</v>
      </c>
      <c r="AH653" s="507">
        <f>Port[[#This Row],[ECL_Drawn (CNY)]]*Port[[#This Row],[CNY -&gt; THB]]</f>
        <v>61483.84152999994</v>
      </c>
      <c r="AI653" s="507">
        <f>Port[[#This Row],[ECL_Undrawn (CNY)]]*Port[[#This Row],[CNY -&gt; THB]]</f>
        <v>0</v>
      </c>
      <c r="AJ653" s="507">
        <f>Port[[#This Row],[ECL (CNY)]]*Port[[#This Row],[CNY -&gt; THB]]</f>
        <v>61483.84152999994</v>
      </c>
      <c r="AK653" s="507">
        <f>Port[[#This Row],[ECL_Interest (CNY)]]*Port[[#This Row],[CNY -&gt; THB]]</f>
        <v>0</v>
      </c>
      <c r="AL653" s="507">
        <f>Port[[#This Row],[EAD (THB)]]*Port[[#This Row],[PD_avg]]</f>
        <v>105709.91204292653</v>
      </c>
      <c r="AM653" s="507">
        <f>Port[[#This Row],[EAD_Interest (THB)]]*Port[[#This Row],[PD_avg]]</f>
        <v>0</v>
      </c>
      <c r="AN653" s="507">
        <f>Port[[#This Row],[EAD (THB)]]*Port[[#This Row],[LGD_avg]]</f>
        <v>4713609.0137934163</v>
      </c>
      <c r="AO653" s="507">
        <f>Port[[#This Row],[EAD_Interest (THB)]]*Port[[#This Row],[LGD_avg]]</f>
        <v>0</v>
      </c>
      <c r="AP653" s="507">
        <f>Port[[#This Row],[EAD_Drawn (THB)]]+Port[[#This Row],[EAD_Interest (THB)]]</f>
        <v>8104164.9619391998</v>
      </c>
      <c r="AQ6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61483.84152999994</v>
      </c>
      <c r="AR653" s="522">
        <f>MAX(Port[[#This Row],[ECL (THB)]]+Port[[#This Row],[ECL_Interest (THB)]], Port[[#This Row],[ECL CBIRC (THB)]])</f>
        <v>61483.84152999994</v>
      </c>
    </row>
    <row r="654" spans="1:44">
      <c r="A654" s="2" t="s">
        <v>463</v>
      </c>
      <c r="B654" s="2" t="s">
        <v>382</v>
      </c>
      <c r="C654" s="2" t="s">
        <v>379</v>
      </c>
      <c r="D654" s="2" t="s">
        <v>30</v>
      </c>
      <c r="E654" s="2" t="s">
        <v>19</v>
      </c>
      <c r="F654" s="2" t="s">
        <v>380</v>
      </c>
      <c r="G654" s="2" t="s">
        <v>57</v>
      </c>
      <c r="H654">
        <v>1</v>
      </c>
      <c r="I654" s="2" t="s">
        <v>526</v>
      </c>
      <c r="J654" s="505">
        <v>1.3043899345507868E-2</v>
      </c>
      <c r="K654" s="505">
        <v>12.300178109012824</v>
      </c>
      <c r="L654" s="3">
        <v>0.15684552284455039</v>
      </c>
      <c r="M654" s="3">
        <v>5.2488000000000001</v>
      </c>
      <c r="N654" s="507">
        <v>30250.213139999996</v>
      </c>
      <c r="O654" s="507">
        <v>0</v>
      </c>
      <c r="P654" s="507">
        <v>30250.213139999996</v>
      </c>
      <c r="Q654" s="507">
        <v>0</v>
      </c>
      <c r="R654" s="507">
        <v>4853.4133235385871</v>
      </c>
      <c r="S654" s="507">
        <v>0</v>
      </c>
      <c r="T654" s="507">
        <v>4853.4133235385871</v>
      </c>
      <c r="U654" s="507">
        <v>0</v>
      </c>
      <c r="V654" s="507">
        <f>Port[[#This Row],[EAD_Drawn (CNY)]]*Port[[#This Row],[CNY -&gt; FCY]]</f>
        <v>4744.6104961023875</v>
      </c>
      <c r="W654" s="507">
        <f>Port[[#This Row],[EAD_Undrawn (CNY)]]*Port[[#This Row],[CNY -&gt; FCY]]</f>
        <v>0</v>
      </c>
      <c r="X654" s="507">
        <f>Port[[#This Row],[EAD (CNY)]]*Port[[#This Row],[CNY -&gt; FCY]]</f>
        <v>4744.6104961023875</v>
      </c>
      <c r="Y654" s="507">
        <f>Port[[#This Row],[EAD_Interest (CNY)]]*Port[[#This Row],[CNY -&gt; FCY]]</f>
        <v>0</v>
      </c>
      <c r="Z654" s="507">
        <f>Port[[#This Row],[ECL_Drawn (CNY)]]*Port[[#This Row],[CNY -&gt; FCY]]</f>
        <v>761.23615031111672</v>
      </c>
      <c r="AA654" s="507">
        <f>Port[[#This Row],[ECL_Undrawn (CNY)]]*Port[[#This Row],[CNY -&gt; FCY]]</f>
        <v>0</v>
      </c>
      <c r="AB654" s="507">
        <f>Port[[#This Row],[ECL (CNY)]]*Port[[#This Row],[CNY -&gt; FCY]]</f>
        <v>761.23615031111672</v>
      </c>
      <c r="AC654" s="507">
        <f>Port[[#This Row],[ECL_Interest (CNY)]]*Port[[#This Row],[CNY -&gt; FCY]]</f>
        <v>0</v>
      </c>
      <c r="AD654" s="507">
        <f>Port[[#This Row],[EAD_Drawn (CNY)]]*Port[[#This Row],[CNY -&gt; THB]]</f>
        <v>158777.31872923198</v>
      </c>
      <c r="AE654" s="507">
        <f>Port[[#This Row],[EAD_Undrawn (CNY)]]*Port[[#This Row],[CNY -&gt; THB]]</f>
        <v>0</v>
      </c>
      <c r="AF654" s="507">
        <f>Port[[#This Row],[EAD (CNY)]]*Port[[#This Row],[CNY -&gt; THB]]</f>
        <v>158777.31872923198</v>
      </c>
      <c r="AG654" s="507">
        <f>Port[[#This Row],[EAD_Interest (CNY)]]*Port[[#This Row],[CNY -&gt; THB]]</f>
        <v>0</v>
      </c>
      <c r="AH654" s="507">
        <f>Port[[#This Row],[ECL_Drawn (CNY)]]*Port[[#This Row],[CNY -&gt; THB]]</f>
        <v>25474.595852589337</v>
      </c>
      <c r="AI654" s="507">
        <f>Port[[#This Row],[ECL_Undrawn (CNY)]]*Port[[#This Row],[CNY -&gt; THB]]</f>
        <v>0</v>
      </c>
      <c r="AJ654" s="507">
        <f>Port[[#This Row],[ECL (CNY)]]*Port[[#This Row],[CNY -&gt; THB]]</f>
        <v>25474.595852589337</v>
      </c>
      <c r="AK654" s="507">
        <f>Port[[#This Row],[ECL_Interest (CNY)]]*Port[[#This Row],[CNY -&gt; THB]]</f>
        <v>0</v>
      </c>
      <c r="AL654" s="507">
        <f>Port[[#This Row],[EAD (THB)]]*Port[[#This Row],[PD_avg]]</f>
        <v>2071.075363853723</v>
      </c>
      <c r="AM654" s="507">
        <f>Port[[#This Row],[EAD_Interest (THB)]]*Port[[#This Row],[PD_avg]]</f>
        <v>0</v>
      </c>
      <c r="AN654" s="507">
        <f>Port[[#This Row],[EAD (THB)]]*Port[[#This Row],[LGD_avg]]</f>
        <v>1952989.3000410511</v>
      </c>
      <c r="AO654" s="507">
        <f>Port[[#This Row],[EAD_Interest (THB)]]*Port[[#This Row],[LGD_avg]]</f>
        <v>0</v>
      </c>
      <c r="AP654" s="507">
        <f>Port[[#This Row],[EAD_Drawn (THB)]]+Port[[#This Row],[EAD_Interest (THB)]]</f>
        <v>158777.31872923198</v>
      </c>
      <c r="AQ6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25474.595852589337</v>
      </c>
      <c r="AR654" s="522">
        <f>MAX(Port[[#This Row],[ECL (THB)]]+Port[[#This Row],[ECL_Interest (THB)]], Port[[#This Row],[ECL CBIRC (THB)]])</f>
        <v>25474.595852589337</v>
      </c>
    </row>
    <row r="655" spans="1:44">
      <c r="A655" s="2" t="s">
        <v>464</v>
      </c>
      <c r="B655" s="2" t="s">
        <v>382</v>
      </c>
      <c r="C655" s="2" t="s">
        <v>379</v>
      </c>
      <c r="D655" s="2" t="s">
        <v>30</v>
      </c>
      <c r="E655" s="2" t="s">
        <v>19</v>
      </c>
      <c r="F655" s="2" t="s">
        <v>380</v>
      </c>
      <c r="G655" s="2" t="s">
        <v>170</v>
      </c>
      <c r="H655">
        <v>1</v>
      </c>
      <c r="I655" s="2" t="s">
        <v>526</v>
      </c>
      <c r="J655" s="505">
        <v>1.3043899345507868E-2</v>
      </c>
      <c r="K655" s="505">
        <v>11.894952263640423</v>
      </c>
      <c r="L655" s="3">
        <v>5.2308000000000003</v>
      </c>
      <c r="M655" s="3">
        <v>5.2488000000000001</v>
      </c>
      <c r="N655" s="507">
        <v>119502.07857033989</v>
      </c>
      <c r="O655" s="507">
        <v>0</v>
      </c>
      <c r="P655" s="507">
        <v>119502.07857033989</v>
      </c>
      <c r="Q655" s="507">
        <v>0</v>
      </c>
      <c r="R655" s="507">
        <v>18541.531429386076</v>
      </c>
      <c r="S655" s="507">
        <v>0</v>
      </c>
      <c r="T655" s="507">
        <v>18541.531429386076</v>
      </c>
      <c r="U655" s="507">
        <v>0</v>
      </c>
      <c r="V655" s="507">
        <f>Port[[#This Row],[EAD_Drawn (CNY)]]*Port[[#This Row],[CNY -&gt; FCY]]</f>
        <v>625091.47258573386</v>
      </c>
      <c r="W655" s="507">
        <f>Port[[#This Row],[EAD_Undrawn (CNY)]]*Port[[#This Row],[CNY -&gt; FCY]]</f>
        <v>0</v>
      </c>
      <c r="X655" s="507">
        <f>Port[[#This Row],[EAD (CNY)]]*Port[[#This Row],[CNY -&gt; FCY]]</f>
        <v>625091.47258573386</v>
      </c>
      <c r="Y655" s="507">
        <f>Port[[#This Row],[EAD_Interest (CNY)]]*Port[[#This Row],[CNY -&gt; FCY]]</f>
        <v>0</v>
      </c>
      <c r="Z655" s="507">
        <f>Port[[#This Row],[ECL_Drawn (CNY)]]*Port[[#This Row],[CNY -&gt; FCY]]</f>
        <v>96987.04260083269</v>
      </c>
      <c r="AA655" s="507">
        <f>Port[[#This Row],[ECL_Undrawn (CNY)]]*Port[[#This Row],[CNY -&gt; FCY]]</f>
        <v>0</v>
      </c>
      <c r="AB655" s="507">
        <f>Port[[#This Row],[ECL (CNY)]]*Port[[#This Row],[CNY -&gt; FCY]]</f>
        <v>96987.04260083269</v>
      </c>
      <c r="AC655" s="507">
        <f>Port[[#This Row],[ECL_Interest (CNY)]]*Port[[#This Row],[CNY -&gt; FCY]]</f>
        <v>0</v>
      </c>
      <c r="AD655" s="507">
        <f>Port[[#This Row],[EAD_Drawn (CNY)]]*Port[[#This Row],[CNY -&gt; THB]]</f>
        <v>627242.51</v>
      </c>
      <c r="AE655" s="507">
        <f>Port[[#This Row],[EAD_Undrawn (CNY)]]*Port[[#This Row],[CNY -&gt; THB]]</f>
        <v>0</v>
      </c>
      <c r="AF655" s="507">
        <f>Port[[#This Row],[EAD (CNY)]]*Port[[#This Row],[CNY -&gt; THB]]</f>
        <v>627242.51</v>
      </c>
      <c r="AG655" s="507">
        <f>Port[[#This Row],[EAD_Interest (CNY)]]*Port[[#This Row],[CNY -&gt; THB]]</f>
        <v>0</v>
      </c>
      <c r="AH655" s="507">
        <f>Port[[#This Row],[ECL_Drawn (CNY)]]*Port[[#This Row],[CNY -&gt; THB]]</f>
        <v>97320.790166561637</v>
      </c>
      <c r="AI655" s="507">
        <f>Port[[#This Row],[ECL_Undrawn (CNY)]]*Port[[#This Row],[CNY -&gt; THB]]</f>
        <v>0</v>
      </c>
      <c r="AJ655" s="507">
        <f>Port[[#This Row],[ECL (CNY)]]*Port[[#This Row],[CNY -&gt; THB]]</f>
        <v>97320.790166561637</v>
      </c>
      <c r="AK655" s="507">
        <f>Port[[#This Row],[ECL_Interest (CNY)]]*Port[[#This Row],[CNY -&gt; THB]]</f>
        <v>0</v>
      </c>
      <c r="AL655" s="507">
        <f>Port[[#This Row],[EAD (THB)]]*Port[[#This Row],[PD_avg]]</f>
        <v>8181.6881656637124</v>
      </c>
      <c r="AM655" s="507">
        <f>Port[[#This Row],[EAD_Interest (THB)]]*Port[[#This Row],[PD_avg]]</f>
        <v>0</v>
      </c>
      <c r="AN655" s="507">
        <f>Port[[#This Row],[EAD (THB)]]*Port[[#This Row],[LGD_avg]]</f>
        <v>7461019.714176001</v>
      </c>
      <c r="AO655" s="507">
        <f>Port[[#This Row],[EAD_Interest (THB)]]*Port[[#This Row],[LGD_avg]]</f>
        <v>0</v>
      </c>
      <c r="AP655" s="507">
        <f>Port[[#This Row],[EAD_Drawn (THB)]]+Port[[#This Row],[EAD_Interest (THB)]]</f>
        <v>627242.51</v>
      </c>
      <c r="AQ6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97320.790166561637</v>
      </c>
      <c r="AR655" s="522">
        <f>MAX(Port[[#This Row],[ECL (THB)]]+Port[[#This Row],[ECL_Interest (THB)]], Port[[#This Row],[ECL CBIRC (THB)]])</f>
        <v>97320.790166561637</v>
      </c>
    </row>
    <row r="656" spans="1:44">
      <c r="A656" s="2" t="s">
        <v>465</v>
      </c>
      <c r="B656" s="2" t="s">
        <v>382</v>
      </c>
      <c r="C656" s="2" t="s">
        <v>379</v>
      </c>
      <c r="D656" s="2" t="s">
        <v>30</v>
      </c>
      <c r="E656" s="2" t="s">
        <v>19</v>
      </c>
      <c r="F656" s="2" t="s">
        <v>380</v>
      </c>
      <c r="G656" s="2" t="s">
        <v>57</v>
      </c>
      <c r="H656">
        <v>1</v>
      </c>
      <c r="I656" s="2" t="s">
        <v>526</v>
      </c>
      <c r="J656" s="505">
        <v>1.3043899345507868E-2</v>
      </c>
      <c r="K656" s="505">
        <v>1.2794919904009385</v>
      </c>
      <c r="L656" s="3">
        <v>0.15684552284455039</v>
      </c>
      <c r="M656" s="3">
        <v>5.2488000000000001</v>
      </c>
      <c r="N656" s="507">
        <v>76394.541299999997</v>
      </c>
      <c r="O656" s="507">
        <v>0</v>
      </c>
      <c r="P656" s="507">
        <v>76394.541299999997</v>
      </c>
      <c r="Q656" s="507">
        <v>0</v>
      </c>
      <c r="R656" s="507">
        <v>1274.9916425166195</v>
      </c>
      <c r="S656" s="507">
        <v>0</v>
      </c>
      <c r="T656" s="507">
        <v>1274.9916425166195</v>
      </c>
      <c r="U656" s="507">
        <v>0</v>
      </c>
      <c r="V656" s="507">
        <f>Port[[#This Row],[EAD_Drawn (CNY)]]*Port[[#This Row],[CNY -&gt; FCY]]</f>
        <v>11982.141772668097</v>
      </c>
      <c r="W656" s="507">
        <f>Port[[#This Row],[EAD_Undrawn (CNY)]]*Port[[#This Row],[CNY -&gt; FCY]]</f>
        <v>0</v>
      </c>
      <c r="X656" s="507">
        <f>Port[[#This Row],[EAD (CNY)]]*Port[[#This Row],[CNY -&gt; FCY]]</f>
        <v>11982.141772668097</v>
      </c>
      <c r="Y656" s="507">
        <f>Port[[#This Row],[EAD_Interest (CNY)]]*Port[[#This Row],[CNY -&gt; FCY]]</f>
        <v>0</v>
      </c>
      <c r="Z656" s="507">
        <f>Port[[#This Row],[ECL_Drawn (CNY)]]*Port[[#This Row],[CNY -&gt; FCY]]</f>
        <v>199.97673079295129</v>
      </c>
      <c r="AA656" s="507">
        <f>Port[[#This Row],[ECL_Undrawn (CNY)]]*Port[[#This Row],[CNY -&gt; FCY]]</f>
        <v>0</v>
      </c>
      <c r="AB656" s="507">
        <f>Port[[#This Row],[ECL (CNY)]]*Port[[#This Row],[CNY -&gt; FCY]]</f>
        <v>199.97673079295129</v>
      </c>
      <c r="AC656" s="507">
        <f>Port[[#This Row],[ECL_Interest (CNY)]]*Port[[#This Row],[CNY -&gt; FCY]]</f>
        <v>0</v>
      </c>
      <c r="AD656" s="507">
        <f>Port[[#This Row],[EAD_Drawn (CNY)]]*Port[[#This Row],[CNY -&gt; THB]]</f>
        <v>400979.66837544</v>
      </c>
      <c r="AE656" s="507">
        <f>Port[[#This Row],[EAD_Undrawn (CNY)]]*Port[[#This Row],[CNY -&gt; THB]]</f>
        <v>0</v>
      </c>
      <c r="AF656" s="507">
        <f>Port[[#This Row],[EAD (CNY)]]*Port[[#This Row],[CNY -&gt; THB]]</f>
        <v>400979.66837544</v>
      </c>
      <c r="AG656" s="507">
        <f>Port[[#This Row],[EAD_Interest (CNY)]]*Port[[#This Row],[CNY -&gt; THB]]</f>
        <v>0</v>
      </c>
      <c r="AH656" s="507">
        <f>Port[[#This Row],[ECL_Drawn (CNY)]]*Port[[#This Row],[CNY -&gt; THB]]</f>
        <v>6692.1761332412325</v>
      </c>
      <c r="AI656" s="507">
        <f>Port[[#This Row],[ECL_Undrawn (CNY)]]*Port[[#This Row],[CNY -&gt; THB]]</f>
        <v>0</v>
      </c>
      <c r="AJ656" s="507">
        <f>Port[[#This Row],[ECL (CNY)]]*Port[[#This Row],[CNY -&gt; THB]]</f>
        <v>6692.1761332412325</v>
      </c>
      <c r="AK656" s="507">
        <f>Port[[#This Row],[ECL_Interest (CNY)]]*Port[[#This Row],[CNY -&gt; THB]]</f>
        <v>0</v>
      </c>
      <c r="AL656" s="507">
        <f>Port[[#This Row],[EAD (THB)]]*Port[[#This Row],[PD_avg]]</f>
        <v>5230.3384338843634</v>
      </c>
      <c r="AM656" s="507">
        <f>Port[[#This Row],[EAD_Interest (THB)]]*Port[[#This Row],[PD_avg]]</f>
        <v>0</v>
      </c>
      <c r="AN656" s="507">
        <f>Port[[#This Row],[EAD (THB)]]*Port[[#This Row],[LGD_avg]]</f>
        <v>513050.27399999998</v>
      </c>
      <c r="AO656" s="507">
        <f>Port[[#This Row],[EAD_Interest (THB)]]*Port[[#This Row],[LGD_avg]]</f>
        <v>0</v>
      </c>
      <c r="AP656" s="507">
        <f>Port[[#This Row],[EAD_Drawn (THB)]]+Port[[#This Row],[EAD_Interest (THB)]]</f>
        <v>400979.66837544</v>
      </c>
      <c r="AQ6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6692.1761332412325</v>
      </c>
      <c r="AR656" s="522">
        <f>MAX(Port[[#This Row],[ECL (THB)]]+Port[[#This Row],[ECL_Interest (THB)]], Port[[#This Row],[ECL CBIRC (THB)]])</f>
        <v>6692.1761332412325</v>
      </c>
    </row>
    <row r="657" spans="1:44">
      <c r="A657" s="2" t="s">
        <v>466</v>
      </c>
      <c r="B657" s="2" t="s">
        <v>382</v>
      </c>
      <c r="C657" s="2" t="s">
        <v>379</v>
      </c>
      <c r="D657" s="2" t="s">
        <v>30</v>
      </c>
      <c r="E657" s="2" t="s">
        <v>19</v>
      </c>
      <c r="F657" s="2" t="s">
        <v>380</v>
      </c>
      <c r="G657" s="2" t="s">
        <v>57</v>
      </c>
      <c r="H657">
        <v>1</v>
      </c>
      <c r="I657" s="2" t="s">
        <v>526</v>
      </c>
      <c r="J657" s="505">
        <v>1.3043899345507868E-2</v>
      </c>
      <c r="K657" s="505">
        <v>0.35391887261893745</v>
      </c>
      <c r="L657" s="3">
        <v>0.15684552284455039</v>
      </c>
      <c r="M657" s="3">
        <v>5.2488000000000001</v>
      </c>
      <c r="N657" s="507">
        <v>3926332.1430620002</v>
      </c>
      <c r="O657" s="507">
        <v>0</v>
      </c>
      <c r="P657" s="507">
        <v>3926332.1430620002</v>
      </c>
      <c r="Q657" s="507">
        <v>0</v>
      </c>
      <c r="R657" s="507">
        <v>18125.842257017579</v>
      </c>
      <c r="S657" s="507">
        <v>0</v>
      </c>
      <c r="T657" s="507">
        <v>18125.842257017579</v>
      </c>
      <c r="U657" s="507">
        <v>0</v>
      </c>
      <c r="V657" s="507">
        <f>Port[[#This Row],[EAD_Drawn (CNY)]]*Port[[#This Row],[CNY -&gt; FCY]]</f>
        <v>615827.61783992348</v>
      </c>
      <c r="W657" s="507">
        <f>Port[[#This Row],[EAD_Undrawn (CNY)]]*Port[[#This Row],[CNY -&gt; FCY]]</f>
        <v>0</v>
      </c>
      <c r="X657" s="507">
        <f>Port[[#This Row],[EAD (CNY)]]*Port[[#This Row],[CNY -&gt; FCY]]</f>
        <v>615827.61783992348</v>
      </c>
      <c r="Y657" s="507">
        <f>Port[[#This Row],[EAD_Interest (CNY)]]*Port[[#This Row],[CNY -&gt; FCY]]</f>
        <v>0</v>
      </c>
      <c r="Z657" s="507">
        <f>Port[[#This Row],[ECL_Drawn (CNY)]]*Port[[#This Row],[CNY -&gt; FCY]]</f>
        <v>2842.9572057997675</v>
      </c>
      <c r="AA657" s="507">
        <f>Port[[#This Row],[ECL_Undrawn (CNY)]]*Port[[#This Row],[CNY -&gt; FCY]]</f>
        <v>0</v>
      </c>
      <c r="AB657" s="507">
        <f>Port[[#This Row],[ECL (CNY)]]*Port[[#This Row],[CNY -&gt; FCY]]</f>
        <v>2842.9572057997675</v>
      </c>
      <c r="AC657" s="507">
        <f>Port[[#This Row],[ECL_Interest (CNY)]]*Port[[#This Row],[CNY -&gt; FCY]]</f>
        <v>0</v>
      </c>
      <c r="AD657" s="507">
        <f>Port[[#This Row],[EAD_Drawn (CNY)]]*Port[[#This Row],[CNY -&gt; THB]]</f>
        <v>20608532.152503826</v>
      </c>
      <c r="AE657" s="507">
        <f>Port[[#This Row],[EAD_Undrawn (CNY)]]*Port[[#This Row],[CNY -&gt; THB]]</f>
        <v>0</v>
      </c>
      <c r="AF657" s="507">
        <f>Port[[#This Row],[EAD (CNY)]]*Port[[#This Row],[CNY -&gt; THB]]</f>
        <v>20608532.152503826</v>
      </c>
      <c r="AG657" s="507">
        <f>Port[[#This Row],[EAD_Interest (CNY)]]*Port[[#This Row],[CNY -&gt; THB]]</f>
        <v>0</v>
      </c>
      <c r="AH657" s="507">
        <f>Port[[#This Row],[ECL_Drawn (CNY)]]*Port[[#This Row],[CNY -&gt; THB]]</f>
        <v>95138.920838633872</v>
      </c>
      <c r="AI657" s="507">
        <f>Port[[#This Row],[ECL_Undrawn (CNY)]]*Port[[#This Row],[CNY -&gt; THB]]</f>
        <v>0</v>
      </c>
      <c r="AJ657" s="507">
        <f>Port[[#This Row],[ECL (CNY)]]*Port[[#This Row],[CNY -&gt; THB]]</f>
        <v>95138.920838633872</v>
      </c>
      <c r="AK657" s="507">
        <f>Port[[#This Row],[ECL_Interest (CNY)]]*Port[[#This Row],[CNY -&gt; THB]]</f>
        <v>0</v>
      </c>
      <c r="AL657" s="507">
        <f>Port[[#This Row],[EAD (THB)]]*Port[[#This Row],[PD_avg]]</f>
        <v>268815.61905592249</v>
      </c>
      <c r="AM657" s="507">
        <f>Port[[#This Row],[EAD_Interest (THB)]]*Port[[#This Row],[PD_avg]]</f>
        <v>0</v>
      </c>
      <c r="AN657" s="507">
        <f>Port[[#This Row],[EAD (THB)]]*Port[[#This Row],[LGD_avg]]</f>
        <v>7293748.4657452786</v>
      </c>
      <c r="AO657" s="507">
        <f>Port[[#This Row],[EAD_Interest (THB)]]*Port[[#This Row],[LGD_avg]]</f>
        <v>0</v>
      </c>
      <c r="AP657" s="507">
        <f>Port[[#This Row],[EAD_Drawn (THB)]]+Port[[#This Row],[EAD_Interest (THB)]]</f>
        <v>20608532.152503826</v>
      </c>
      <c r="AQ6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95138.920838633872</v>
      </c>
      <c r="AR657" s="522">
        <f>MAX(Port[[#This Row],[ECL (THB)]]+Port[[#This Row],[ECL_Interest (THB)]], Port[[#This Row],[ECL CBIRC (THB)]])</f>
        <v>95138.920838633872</v>
      </c>
    </row>
    <row r="658" spans="1:44">
      <c r="A658" s="2" t="s">
        <v>467</v>
      </c>
      <c r="B658" s="2" t="s">
        <v>382</v>
      </c>
      <c r="C658" s="2" t="s">
        <v>379</v>
      </c>
      <c r="D658" s="2" t="s">
        <v>30</v>
      </c>
      <c r="E658" s="2" t="s">
        <v>19</v>
      </c>
      <c r="F658" s="2" t="s">
        <v>380</v>
      </c>
      <c r="G658" s="2" t="s">
        <v>57</v>
      </c>
      <c r="H658">
        <v>1</v>
      </c>
      <c r="I658" s="2" t="s">
        <v>526</v>
      </c>
      <c r="J658" s="505">
        <v>1.3043899345507868E-2</v>
      </c>
      <c r="K658" s="505">
        <v>9.770776193088318E-2</v>
      </c>
      <c r="L658" s="3">
        <v>0.15684552284455039</v>
      </c>
      <c r="M658" s="3">
        <v>5.2488000000000001</v>
      </c>
      <c r="N658" s="507">
        <v>278638.98719999997</v>
      </c>
      <c r="O658" s="507">
        <v>0</v>
      </c>
      <c r="P658" s="507">
        <v>278638.98719999997</v>
      </c>
      <c r="Q658" s="507">
        <v>0</v>
      </c>
      <c r="R658" s="507">
        <v>355.12266184048758</v>
      </c>
      <c r="S658" s="507">
        <v>0</v>
      </c>
      <c r="T658" s="507">
        <v>355.12266184048758</v>
      </c>
      <c r="U658" s="507">
        <v>0</v>
      </c>
      <c r="V658" s="507">
        <f>Port[[#This Row],[EAD_Drawn (CNY)]]*Port[[#This Row],[CNY -&gt; FCY]]</f>
        <v>43703.277632259982</v>
      </c>
      <c r="W658" s="507">
        <f>Port[[#This Row],[EAD_Undrawn (CNY)]]*Port[[#This Row],[CNY -&gt; FCY]]</f>
        <v>0</v>
      </c>
      <c r="X658" s="507">
        <f>Port[[#This Row],[EAD (CNY)]]*Port[[#This Row],[CNY -&gt; FCY]]</f>
        <v>43703.277632259982</v>
      </c>
      <c r="Y658" s="507">
        <f>Port[[#This Row],[EAD_Interest (CNY)]]*Port[[#This Row],[CNY -&gt; FCY]]</f>
        <v>0</v>
      </c>
      <c r="Z658" s="507">
        <f>Port[[#This Row],[ECL_Drawn (CNY)]]*Port[[#This Row],[CNY -&gt; FCY]]</f>
        <v>55.699399570319734</v>
      </c>
      <c r="AA658" s="507">
        <f>Port[[#This Row],[ECL_Undrawn (CNY)]]*Port[[#This Row],[CNY -&gt; FCY]]</f>
        <v>0</v>
      </c>
      <c r="AB658" s="507">
        <f>Port[[#This Row],[ECL (CNY)]]*Port[[#This Row],[CNY -&gt; FCY]]</f>
        <v>55.699399570319734</v>
      </c>
      <c r="AC658" s="507">
        <f>Port[[#This Row],[ECL_Interest (CNY)]]*Port[[#This Row],[CNY -&gt; FCY]]</f>
        <v>0</v>
      </c>
      <c r="AD658" s="507">
        <f>Port[[#This Row],[EAD_Drawn (CNY)]]*Port[[#This Row],[CNY -&gt; THB]]</f>
        <v>1462520.3160153599</v>
      </c>
      <c r="AE658" s="507">
        <f>Port[[#This Row],[EAD_Undrawn (CNY)]]*Port[[#This Row],[CNY -&gt; THB]]</f>
        <v>0</v>
      </c>
      <c r="AF658" s="507">
        <f>Port[[#This Row],[EAD (CNY)]]*Port[[#This Row],[CNY -&gt; THB]]</f>
        <v>1462520.3160153599</v>
      </c>
      <c r="AG658" s="507">
        <f>Port[[#This Row],[EAD_Interest (CNY)]]*Port[[#This Row],[CNY -&gt; THB]]</f>
        <v>0</v>
      </c>
      <c r="AH658" s="507">
        <f>Port[[#This Row],[ECL_Drawn (CNY)]]*Port[[#This Row],[CNY -&gt; THB]]</f>
        <v>1863.9678274683513</v>
      </c>
      <c r="AI658" s="507">
        <f>Port[[#This Row],[ECL_Undrawn (CNY)]]*Port[[#This Row],[CNY -&gt; THB]]</f>
        <v>0</v>
      </c>
      <c r="AJ658" s="507">
        <f>Port[[#This Row],[ECL (CNY)]]*Port[[#This Row],[CNY -&gt; THB]]</f>
        <v>1863.9678274683513</v>
      </c>
      <c r="AK658" s="507">
        <f>Port[[#This Row],[ECL_Interest (CNY)]]*Port[[#This Row],[CNY -&gt; THB]]</f>
        <v>0</v>
      </c>
      <c r="AL658" s="507">
        <f>Port[[#This Row],[EAD (THB)]]*Port[[#This Row],[PD_avg]]</f>
        <v>19076.967792864714</v>
      </c>
      <c r="AM658" s="507">
        <f>Port[[#This Row],[EAD_Interest (THB)]]*Port[[#This Row],[PD_avg]]</f>
        <v>0</v>
      </c>
      <c r="AN658" s="507">
        <f>Port[[#This Row],[EAD (THB)]]*Port[[#This Row],[LGD_avg]]</f>
        <v>142899.58685630883</v>
      </c>
      <c r="AO658" s="507">
        <f>Port[[#This Row],[EAD_Interest (THB)]]*Port[[#This Row],[LGD_avg]]</f>
        <v>0</v>
      </c>
      <c r="AP658" s="507">
        <f>Port[[#This Row],[EAD_Drawn (THB)]]+Port[[#This Row],[EAD_Interest (THB)]]</f>
        <v>1462520.3160153599</v>
      </c>
      <c r="AQ6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1863.9678274683513</v>
      </c>
      <c r="AR658" s="522">
        <f>MAX(Port[[#This Row],[ECL (THB)]]+Port[[#This Row],[ECL_Interest (THB)]], Port[[#This Row],[ECL CBIRC (THB)]])</f>
        <v>1863.9678274683513</v>
      </c>
    </row>
    <row r="659" spans="1:44">
      <c r="A659" s="2" t="s">
        <v>468</v>
      </c>
      <c r="B659" s="2" t="s">
        <v>382</v>
      </c>
      <c r="C659" s="2" t="s">
        <v>379</v>
      </c>
      <c r="D659" s="2" t="s">
        <v>30</v>
      </c>
      <c r="E659" s="2" t="s">
        <v>19</v>
      </c>
      <c r="F659" s="2" t="s">
        <v>380</v>
      </c>
      <c r="G659" s="2" t="s">
        <v>57</v>
      </c>
      <c r="H659">
        <v>1</v>
      </c>
      <c r="I659" s="2" t="s">
        <v>526</v>
      </c>
      <c r="J659" s="505">
        <v>1.3043899345507868E-2</v>
      </c>
      <c r="K659" s="505">
        <v>1.0871754677419354</v>
      </c>
      <c r="L659" s="3">
        <v>0.15684552284455039</v>
      </c>
      <c r="M659" s="3">
        <v>5.2488000000000001</v>
      </c>
      <c r="N659" s="507">
        <v>394853.2</v>
      </c>
      <c r="O659" s="507">
        <v>0</v>
      </c>
      <c r="P659" s="507">
        <v>394853.2</v>
      </c>
      <c r="Q659" s="507">
        <v>0</v>
      </c>
      <c r="R659" s="507">
        <v>5599.4161401096117</v>
      </c>
      <c r="S659" s="507">
        <v>0</v>
      </c>
      <c r="T659" s="507">
        <v>5599.4161401096117</v>
      </c>
      <c r="U659" s="507">
        <v>0</v>
      </c>
      <c r="V659" s="507">
        <f>Port[[#This Row],[EAD_Drawn (CNY)]]*Port[[#This Row],[CNY -&gt; FCY]]</f>
        <v>61930.956600843827</v>
      </c>
      <c r="W659" s="507">
        <f>Port[[#This Row],[EAD_Undrawn (CNY)]]*Port[[#This Row],[CNY -&gt; FCY]]</f>
        <v>0</v>
      </c>
      <c r="X659" s="507">
        <f>Port[[#This Row],[EAD (CNY)]]*Port[[#This Row],[CNY -&gt; FCY]]</f>
        <v>61930.956600843827</v>
      </c>
      <c r="Y659" s="507">
        <f>Port[[#This Row],[EAD_Interest (CNY)]]*Port[[#This Row],[CNY -&gt; FCY]]</f>
        <v>0</v>
      </c>
      <c r="Z659" s="507">
        <f>Port[[#This Row],[ECL_Drawn (CNY)]]*Port[[#This Row],[CNY -&gt; FCY]]</f>
        <v>878.24335211970629</v>
      </c>
      <c r="AA659" s="507">
        <f>Port[[#This Row],[ECL_Undrawn (CNY)]]*Port[[#This Row],[CNY -&gt; FCY]]</f>
        <v>0</v>
      </c>
      <c r="AB659" s="507">
        <f>Port[[#This Row],[ECL (CNY)]]*Port[[#This Row],[CNY -&gt; FCY]]</f>
        <v>878.24335211970629</v>
      </c>
      <c r="AC659" s="507">
        <f>Port[[#This Row],[ECL_Interest (CNY)]]*Port[[#This Row],[CNY -&gt; FCY]]</f>
        <v>0</v>
      </c>
      <c r="AD659" s="507">
        <f>Port[[#This Row],[EAD_Drawn (CNY)]]*Port[[#This Row],[CNY -&gt; THB]]</f>
        <v>2072505.4761600001</v>
      </c>
      <c r="AE659" s="507">
        <f>Port[[#This Row],[EAD_Undrawn (CNY)]]*Port[[#This Row],[CNY -&gt; THB]]</f>
        <v>0</v>
      </c>
      <c r="AF659" s="507">
        <f>Port[[#This Row],[EAD (CNY)]]*Port[[#This Row],[CNY -&gt; THB]]</f>
        <v>2072505.4761600001</v>
      </c>
      <c r="AG659" s="507">
        <f>Port[[#This Row],[EAD_Interest (CNY)]]*Port[[#This Row],[CNY -&gt; THB]]</f>
        <v>0</v>
      </c>
      <c r="AH659" s="507">
        <f>Port[[#This Row],[ECL_Drawn (CNY)]]*Port[[#This Row],[CNY -&gt; THB]]</f>
        <v>29390.215436207331</v>
      </c>
      <c r="AI659" s="507">
        <f>Port[[#This Row],[ECL_Undrawn (CNY)]]*Port[[#This Row],[CNY -&gt; THB]]</f>
        <v>0</v>
      </c>
      <c r="AJ659" s="507">
        <f>Port[[#This Row],[ECL (CNY)]]*Port[[#This Row],[CNY -&gt; THB]]</f>
        <v>29390.215436207331</v>
      </c>
      <c r="AK659" s="507">
        <f>Port[[#This Row],[ECL_Interest (CNY)]]*Port[[#This Row],[CNY -&gt; THB]]</f>
        <v>0</v>
      </c>
      <c r="AL659" s="507">
        <f>Port[[#This Row],[EAD (THB)]]*Port[[#This Row],[PD_avg]]</f>
        <v>27033.552824044898</v>
      </c>
      <c r="AM659" s="507">
        <f>Port[[#This Row],[EAD_Interest (THB)]]*Port[[#This Row],[PD_avg]]</f>
        <v>0</v>
      </c>
      <c r="AN659" s="507">
        <f>Port[[#This Row],[EAD (THB)]]*Port[[#This Row],[LGD_avg]]</f>
        <v>2253177.1104419706</v>
      </c>
      <c r="AO659" s="507">
        <f>Port[[#This Row],[EAD_Interest (THB)]]*Port[[#This Row],[LGD_avg]]</f>
        <v>0</v>
      </c>
      <c r="AP659" s="507">
        <f>Port[[#This Row],[EAD_Drawn (THB)]]+Port[[#This Row],[EAD_Interest (THB)]]</f>
        <v>2072505.4761600001</v>
      </c>
      <c r="AQ6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29390.215436207331</v>
      </c>
      <c r="AR659" s="522">
        <f>MAX(Port[[#This Row],[ECL (THB)]]+Port[[#This Row],[ECL_Interest (THB)]], Port[[#This Row],[ECL CBIRC (THB)]])</f>
        <v>29390.215436207331</v>
      </c>
    </row>
    <row r="660" spans="1:44">
      <c r="A660" s="2" t="s">
        <v>469</v>
      </c>
      <c r="B660" s="2" t="s">
        <v>382</v>
      </c>
      <c r="C660" s="2" t="s">
        <v>379</v>
      </c>
      <c r="D660" s="2" t="s">
        <v>30</v>
      </c>
      <c r="E660" s="2" t="s">
        <v>19</v>
      </c>
      <c r="F660" s="2" t="s">
        <v>380</v>
      </c>
      <c r="G660" s="2" t="s">
        <v>57</v>
      </c>
      <c r="H660">
        <v>1</v>
      </c>
      <c r="I660" s="2" t="s">
        <v>526</v>
      </c>
      <c r="J660" s="505">
        <v>1.3043899345507868E-2</v>
      </c>
      <c r="K660" s="505">
        <v>5.3880879568952968</v>
      </c>
      <c r="L660" s="3">
        <v>0.15684552284455039</v>
      </c>
      <c r="M660" s="3">
        <v>5.2488000000000001</v>
      </c>
      <c r="N660" s="507">
        <v>196799.2929</v>
      </c>
      <c r="O660" s="507">
        <v>0</v>
      </c>
      <c r="P660" s="507">
        <v>196799.2929</v>
      </c>
      <c r="Q660" s="507">
        <v>0</v>
      </c>
      <c r="R660" s="507">
        <v>13831.384332404936</v>
      </c>
      <c r="S660" s="507">
        <v>0</v>
      </c>
      <c r="T660" s="507">
        <v>13831.384332404936</v>
      </c>
      <c r="U660" s="507">
        <v>0</v>
      </c>
      <c r="V660" s="507">
        <f>Port[[#This Row],[EAD_Drawn (CNY)]]*Port[[#This Row],[CNY -&gt; FCY]]</f>
        <v>30867.087990338314</v>
      </c>
      <c r="W660" s="507">
        <f>Port[[#This Row],[EAD_Undrawn (CNY)]]*Port[[#This Row],[CNY -&gt; FCY]]</f>
        <v>0</v>
      </c>
      <c r="X660" s="507">
        <f>Port[[#This Row],[EAD (CNY)]]*Port[[#This Row],[CNY -&gt; FCY]]</f>
        <v>30867.087990338314</v>
      </c>
      <c r="Y660" s="507">
        <f>Port[[#This Row],[EAD_Interest (CNY)]]*Port[[#This Row],[CNY -&gt; FCY]]</f>
        <v>0</v>
      </c>
      <c r="Z660" s="507">
        <f>Port[[#This Row],[ECL_Drawn (CNY)]]*Port[[#This Row],[CNY -&gt; FCY]]</f>
        <v>2169.3907072799748</v>
      </c>
      <c r="AA660" s="507">
        <f>Port[[#This Row],[ECL_Undrawn (CNY)]]*Port[[#This Row],[CNY -&gt; FCY]]</f>
        <v>0</v>
      </c>
      <c r="AB660" s="507">
        <f>Port[[#This Row],[ECL (CNY)]]*Port[[#This Row],[CNY -&gt; FCY]]</f>
        <v>2169.3907072799748</v>
      </c>
      <c r="AC660" s="507">
        <f>Port[[#This Row],[ECL_Interest (CNY)]]*Port[[#This Row],[CNY -&gt; FCY]]</f>
        <v>0</v>
      </c>
      <c r="AD660" s="507">
        <f>Port[[#This Row],[EAD_Drawn (CNY)]]*Port[[#This Row],[CNY -&gt; THB]]</f>
        <v>1032960.12857352</v>
      </c>
      <c r="AE660" s="507">
        <f>Port[[#This Row],[EAD_Undrawn (CNY)]]*Port[[#This Row],[CNY -&gt; THB]]</f>
        <v>0</v>
      </c>
      <c r="AF660" s="507">
        <f>Port[[#This Row],[EAD (CNY)]]*Port[[#This Row],[CNY -&gt; THB]]</f>
        <v>1032960.12857352</v>
      </c>
      <c r="AG660" s="507">
        <f>Port[[#This Row],[EAD_Interest (CNY)]]*Port[[#This Row],[CNY -&gt; THB]]</f>
        <v>0</v>
      </c>
      <c r="AH660" s="507">
        <f>Port[[#This Row],[ECL_Drawn (CNY)]]*Port[[#This Row],[CNY -&gt; THB]]</f>
        <v>72598.170083927034</v>
      </c>
      <c r="AI660" s="507">
        <f>Port[[#This Row],[ECL_Undrawn (CNY)]]*Port[[#This Row],[CNY -&gt; THB]]</f>
        <v>0</v>
      </c>
      <c r="AJ660" s="507">
        <f>Port[[#This Row],[ECL (CNY)]]*Port[[#This Row],[CNY -&gt; THB]]</f>
        <v>72598.170083927034</v>
      </c>
      <c r="AK660" s="507">
        <f>Port[[#This Row],[ECL_Interest (CNY)]]*Port[[#This Row],[CNY -&gt; THB]]</f>
        <v>0</v>
      </c>
      <c r="AL660" s="507">
        <f>Port[[#This Row],[EAD (THB)]]*Port[[#This Row],[PD_avg]]</f>
        <v>13473.82794503586</v>
      </c>
      <c r="AM660" s="507">
        <f>Port[[#This Row],[EAD_Interest (THB)]]*Port[[#This Row],[PD_avg]]</f>
        <v>0</v>
      </c>
      <c r="AN660" s="507">
        <f>Port[[#This Row],[EAD (THB)]]*Port[[#This Row],[LGD_avg]]</f>
        <v>5565680.0287200008</v>
      </c>
      <c r="AO660" s="507">
        <f>Port[[#This Row],[EAD_Interest (THB)]]*Port[[#This Row],[LGD_avg]]</f>
        <v>0</v>
      </c>
      <c r="AP660" s="507">
        <f>Port[[#This Row],[EAD_Drawn (THB)]]+Port[[#This Row],[EAD_Interest (THB)]]</f>
        <v>1032960.12857352</v>
      </c>
      <c r="AQ66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72598.170083927034</v>
      </c>
      <c r="AR660" s="522">
        <f>MAX(Port[[#This Row],[ECL (THB)]]+Port[[#This Row],[ECL_Interest (THB)]], Port[[#This Row],[ECL CBIRC (THB)]])</f>
        <v>72598.170083927034</v>
      </c>
    </row>
    <row r="661" spans="1:44">
      <c r="A661" s="2" t="s">
        <v>470</v>
      </c>
      <c r="B661" s="2" t="s">
        <v>382</v>
      </c>
      <c r="C661" s="2" t="s">
        <v>379</v>
      </c>
      <c r="D661" s="2" t="s">
        <v>30</v>
      </c>
      <c r="E661" s="2" t="s">
        <v>19</v>
      </c>
      <c r="F661" s="2" t="s">
        <v>380</v>
      </c>
      <c r="G661" s="2" t="s">
        <v>57</v>
      </c>
      <c r="H661">
        <v>1</v>
      </c>
      <c r="I661" s="2" t="s">
        <v>526</v>
      </c>
      <c r="J661" s="505">
        <v>1.3043899345507868E-2</v>
      </c>
      <c r="K661" s="505">
        <v>0.28146392905114131</v>
      </c>
      <c r="L661" s="3">
        <v>0.15684552284455039</v>
      </c>
      <c r="M661" s="3">
        <v>5.2488000000000001</v>
      </c>
      <c r="N661" s="507">
        <v>382116</v>
      </c>
      <c r="O661" s="507">
        <v>0</v>
      </c>
      <c r="P661" s="507">
        <v>382116</v>
      </c>
      <c r="Q661" s="507">
        <v>0</v>
      </c>
      <c r="R661" s="507">
        <v>1402.8957760054377</v>
      </c>
      <c r="S661" s="507">
        <v>0</v>
      </c>
      <c r="T661" s="507">
        <v>1402.8957760054377</v>
      </c>
      <c r="U661" s="507">
        <v>0</v>
      </c>
      <c r="V661" s="507">
        <f>Port[[#This Row],[EAD_Drawn (CNY)]]*Port[[#This Row],[CNY -&gt; FCY]]</f>
        <v>59933.183807268215</v>
      </c>
      <c r="W661" s="507">
        <f>Port[[#This Row],[EAD_Undrawn (CNY)]]*Port[[#This Row],[CNY -&gt; FCY]]</f>
        <v>0</v>
      </c>
      <c r="X661" s="507">
        <f>Port[[#This Row],[EAD (CNY)]]*Port[[#This Row],[CNY -&gt; FCY]]</f>
        <v>59933.183807268215</v>
      </c>
      <c r="Y661" s="507">
        <f>Port[[#This Row],[EAD_Interest (CNY)]]*Port[[#This Row],[CNY -&gt; FCY]]</f>
        <v>0</v>
      </c>
      <c r="Z661" s="507">
        <f>Port[[#This Row],[ECL_Drawn (CNY)]]*Port[[#This Row],[CNY -&gt; FCY]]</f>
        <v>220.03792148398412</v>
      </c>
      <c r="AA661" s="507">
        <f>Port[[#This Row],[ECL_Undrawn (CNY)]]*Port[[#This Row],[CNY -&gt; FCY]]</f>
        <v>0</v>
      </c>
      <c r="AB661" s="507">
        <f>Port[[#This Row],[ECL (CNY)]]*Port[[#This Row],[CNY -&gt; FCY]]</f>
        <v>220.03792148398412</v>
      </c>
      <c r="AC661" s="507">
        <f>Port[[#This Row],[ECL_Interest (CNY)]]*Port[[#This Row],[CNY -&gt; FCY]]</f>
        <v>0</v>
      </c>
      <c r="AD661" s="507">
        <f>Port[[#This Row],[EAD_Drawn (CNY)]]*Port[[#This Row],[CNY -&gt; THB]]</f>
        <v>2005650.4608</v>
      </c>
      <c r="AE661" s="507">
        <f>Port[[#This Row],[EAD_Undrawn (CNY)]]*Port[[#This Row],[CNY -&gt; THB]]</f>
        <v>0</v>
      </c>
      <c r="AF661" s="507">
        <f>Port[[#This Row],[EAD (CNY)]]*Port[[#This Row],[CNY -&gt; THB]]</f>
        <v>2005650.4608</v>
      </c>
      <c r="AG661" s="507">
        <f>Port[[#This Row],[EAD_Interest (CNY)]]*Port[[#This Row],[CNY -&gt; THB]]</f>
        <v>0</v>
      </c>
      <c r="AH661" s="507">
        <f>Port[[#This Row],[ECL_Drawn (CNY)]]*Port[[#This Row],[CNY -&gt; THB]]</f>
        <v>7363.5193490973415</v>
      </c>
      <c r="AI661" s="507">
        <f>Port[[#This Row],[ECL_Undrawn (CNY)]]*Port[[#This Row],[CNY -&gt; THB]]</f>
        <v>0</v>
      </c>
      <c r="AJ661" s="507">
        <f>Port[[#This Row],[ECL (CNY)]]*Port[[#This Row],[CNY -&gt; THB]]</f>
        <v>7363.5193490973415</v>
      </c>
      <c r="AK661" s="507">
        <f>Port[[#This Row],[ECL_Interest (CNY)]]*Port[[#This Row],[CNY -&gt; THB]]</f>
        <v>0</v>
      </c>
      <c r="AL661" s="507">
        <f>Port[[#This Row],[EAD (THB)]]*Port[[#This Row],[PD_avg]]</f>
        <v>26161.502732946676</v>
      </c>
      <c r="AM661" s="507">
        <f>Port[[#This Row],[EAD_Interest (THB)]]*Port[[#This Row],[PD_avg]]</f>
        <v>0</v>
      </c>
      <c r="AN661" s="507">
        <f>Port[[#This Row],[EAD (THB)]]*Port[[#This Row],[LGD_avg]]</f>
        <v>564518.25900000008</v>
      </c>
      <c r="AO661" s="507">
        <f>Port[[#This Row],[EAD_Interest (THB)]]*Port[[#This Row],[LGD_avg]]</f>
        <v>0</v>
      </c>
      <c r="AP661" s="507">
        <f>Port[[#This Row],[EAD_Drawn (THB)]]+Port[[#This Row],[EAD_Interest (THB)]]</f>
        <v>2005650.4608</v>
      </c>
      <c r="AQ66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7363.5193490973415</v>
      </c>
      <c r="AR661" s="522">
        <f>MAX(Port[[#This Row],[ECL (THB)]]+Port[[#This Row],[ECL_Interest (THB)]], Port[[#This Row],[ECL CBIRC (THB)]])</f>
        <v>7363.5193490973415</v>
      </c>
    </row>
    <row r="662" spans="1:44">
      <c r="A662" s="2" t="s">
        <v>471</v>
      </c>
      <c r="B662" s="2" t="s">
        <v>382</v>
      </c>
      <c r="C662" s="2" t="s">
        <v>379</v>
      </c>
      <c r="D662" s="2" t="s">
        <v>30</v>
      </c>
      <c r="E662" s="2" t="s">
        <v>19</v>
      </c>
      <c r="F662" s="2" t="s">
        <v>380</v>
      </c>
      <c r="G662" s="2" t="s">
        <v>57</v>
      </c>
      <c r="H662">
        <v>1</v>
      </c>
      <c r="I662" s="2" t="s">
        <v>526</v>
      </c>
      <c r="J662" s="505">
        <v>1.3043899345507868E-2</v>
      </c>
      <c r="K662" s="505">
        <v>0.52798773435188429</v>
      </c>
      <c r="L662" s="3">
        <v>0.15684552284455039</v>
      </c>
      <c r="M662" s="3">
        <v>5.2488000000000001</v>
      </c>
      <c r="N662" s="507">
        <v>130220.99320999999</v>
      </c>
      <c r="O662" s="507">
        <v>0</v>
      </c>
      <c r="P662" s="507">
        <v>130220.99320999999</v>
      </c>
      <c r="Q662" s="507">
        <v>0</v>
      </c>
      <c r="R662" s="507">
        <v>896.83443653709946</v>
      </c>
      <c r="S662" s="507">
        <v>0</v>
      </c>
      <c r="T662" s="507">
        <v>896.83443653709946</v>
      </c>
      <c r="U662" s="507">
        <v>0</v>
      </c>
      <c r="V662" s="507">
        <f>Port[[#This Row],[EAD_Drawn (CNY)]]*Port[[#This Row],[CNY -&gt; FCY]]</f>
        <v>20424.579765359093</v>
      </c>
      <c r="W662" s="507">
        <f>Port[[#This Row],[EAD_Undrawn (CNY)]]*Port[[#This Row],[CNY -&gt; FCY]]</f>
        <v>0</v>
      </c>
      <c r="X662" s="507">
        <f>Port[[#This Row],[EAD (CNY)]]*Port[[#This Row],[CNY -&gt; FCY]]</f>
        <v>20424.579765359093</v>
      </c>
      <c r="Y662" s="507">
        <f>Port[[#This Row],[EAD_Interest (CNY)]]*Port[[#This Row],[CNY -&gt; FCY]]</f>
        <v>0</v>
      </c>
      <c r="Z662" s="507">
        <f>Port[[#This Row],[ECL_Drawn (CNY)]]*Port[[#This Row],[CNY -&gt; FCY]]</f>
        <v>140.66446610365912</v>
      </c>
      <c r="AA662" s="507">
        <f>Port[[#This Row],[ECL_Undrawn (CNY)]]*Port[[#This Row],[CNY -&gt; FCY]]</f>
        <v>0</v>
      </c>
      <c r="AB662" s="507">
        <f>Port[[#This Row],[ECL (CNY)]]*Port[[#This Row],[CNY -&gt; FCY]]</f>
        <v>140.66446610365912</v>
      </c>
      <c r="AC662" s="507">
        <f>Port[[#This Row],[ECL_Interest (CNY)]]*Port[[#This Row],[CNY -&gt; FCY]]</f>
        <v>0</v>
      </c>
      <c r="AD662" s="507">
        <f>Port[[#This Row],[EAD_Drawn (CNY)]]*Port[[#This Row],[CNY -&gt; THB]]</f>
        <v>683503.94916064793</v>
      </c>
      <c r="AE662" s="507">
        <f>Port[[#This Row],[EAD_Undrawn (CNY)]]*Port[[#This Row],[CNY -&gt; THB]]</f>
        <v>0</v>
      </c>
      <c r="AF662" s="507">
        <f>Port[[#This Row],[EAD (CNY)]]*Port[[#This Row],[CNY -&gt; THB]]</f>
        <v>683503.94916064793</v>
      </c>
      <c r="AG662" s="507">
        <f>Port[[#This Row],[EAD_Interest (CNY)]]*Port[[#This Row],[CNY -&gt; THB]]</f>
        <v>0</v>
      </c>
      <c r="AH662" s="507">
        <f>Port[[#This Row],[ECL_Drawn (CNY)]]*Port[[#This Row],[CNY -&gt; THB]]</f>
        <v>4707.3045904959281</v>
      </c>
      <c r="AI662" s="507">
        <f>Port[[#This Row],[ECL_Undrawn (CNY)]]*Port[[#This Row],[CNY -&gt; THB]]</f>
        <v>0</v>
      </c>
      <c r="AJ662" s="507">
        <f>Port[[#This Row],[ECL (CNY)]]*Port[[#This Row],[CNY -&gt; THB]]</f>
        <v>4707.3045904959281</v>
      </c>
      <c r="AK662" s="507">
        <f>Port[[#This Row],[ECL_Interest (CNY)]]*Port[[#This Row],[CNY -&gt; THB]]</f>
        <v>0</v>
      </c>
      <c r="AL662" s="507">
        <f>Port[[#This Row],[EAD (THB)]]*Port[[#This Row],[PD_avg]]</f>
        <v>8915.5567151086179</v>
      </c>
      <c r="AM662" s="507">
        <f>Port[[#This Row],[EAD_Interest (THB)]]*Port[[#This Row],[PD_avg]]</f>
        <v>0</v>
      </c>
      <c r="AN662" s="507">
        <f>Port[[#This Row],[EAD (THB)]]*Port[[#This Row],[LGD_avg]]</f>
        <v>360881.70153789601</v>
      </c>
      <c r="AO662" s="507">
        <f>Port[[#This Row],[EAD_Interest (THB)]]*Port[[#This Row],[LGD_avg]]</f>
        <v>0</v>
      </c>
      <c r="AP662" s="507">
        <f>Port[[#This Row],[EAD_Drawn (THB)]]+Port[[#This Row],[EAD_Interest (THB)]]</f>
        <v>683503.94916064793</v>
      </c>
      <c r="AQ66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4707.3045904959281</v>
      </c>
      <c r="AR662" s="522">
        <f>MAX(Port[[#This Row],[ECL (THB)]]+Port[[#This Row],[ECL_Interest (THB)]], Port[[#This Row],[ECL CBIRC (THB)]])</f>
        <v>4707.3045904959281</v>
      </c>
    </row>
    <row r="663" spans="1:44">
      <c r="A663" s="2" t="s">
        <v>472</v>
      </c>
      <c r="B663" s="2" t="s">
        <v>382</v>
      </c>
      <c r="C663" s="2" t="s">
        <v>379</v>
      </c>
      <c r="D663" s="2" t="s">
        <v>30</v>
      </c>
      <c r="E663" s="2" t="s">
        <v>19</v>
      </c>
      <c r="F663" s="2" t="s">
        <v>380</v>
      </c>
      <c r="G663" s="2" t="s">
        <v>57</v>
      </c>
      <c r="H663">
        <v>1</v>
      </c>
      <c r="I663" s="2" t="s">
        <v>526</v>
      </c>
      <c r="J663" s="505">
        <v>1.3043899345507868E-2</v>
      </c>
      <c r="K663" s="505">
        <v>7.1188497327122118</v>
      </c>
      <c r="L663" s="3">
        <v>0.15684552284455039</v>
      </c>
      <c r="M663" s="3">
        <v>5.2488000000000001</v>
      </c>
      <c r="N663" s="507">
        <v>270552.77578000003</v>
      </c>
      <c r="O663" s="507">
        <v>0</v>
      </c>
      <c r="P663" s="507">
        <v>270552.77578000003</v>
      </c>
      <c r="Q663" s="507">
        <v>0</v>
      </c>
      <c r="R663" s="507">
        <v>25122.870439518552</v>
      </c>
      <c r="S663" s="507">
        <v>0</v>
      </c>
      <c r="T663" s="507">
        <v>25122.870439518552</v>
      </c>
      <c r="U663" s="507">
        <v>0</v>
      </c>
      <c r="V663" s="507">
        <f>Port[[#This Row],[EAD_Drawn (CNY)]]*Port[[#This Row],[CNY -&gt; FCY]]</f>
        <v>42434.991574258514</v>
      </c>
      <c r="W663" s="507">
        <f>Port[[#This Row],[EAD_Undrawn (CNY)]]*Port[[#This Row],[CNY -&gt; FCY]]</f>
        <v>0</v>
      </c>
      <c r="X663" s="507">
        <f>Port[[#This Row],[EAD (CNY)]]*Port[[#This Row],[CNY -&gt; FCY]]</f>
        <v>42434.991574258514</v>
      </c>
      <c r="Y663" s="507">
        <f>Port[[#This Row],[EAD_Interest (CNY)]]*Port[[#This Row],[CNY -&gt; FCY]]</f>
        <v>0</v>
      </c>
      <c r="Z663" s="507">
        <f>Port[[#This Row],[ECL_Drawn (CNY)]]*Port[[#This Row],[CNY -&gt; FCY]]</f>
        <v>3940.4097494421867</v>
      </c>
      <c r="AA663" s="507">
        <f>Port[[#This Row],[ECL_Undrawn (CNY)]]*Port[[#This Row],[CNY -&gt; FCY]]</f>
        <v>0</v>
      </c>
      <c r="AB663" s="507">
        <f>Port[[#This Row],[ECL (CNY)]]*Port[[#This Row],[CNY -&gt; FCY]]</f>
        <v>3940.4097494421867</v>
      </c>
      <c r="AC663" s="507">
        <f>Port[[#This Row],[ECL_Interest (CNY)]]*Port[[#This Row],[CNY -&gt; FCY]]</f>
        <v>0</v>
      </c>
      <c r="AD663" s="507">
        <f>Port[[#This Row],[EAD_Drawn (CNY)]]*Port[[#This Row],[CNY -&gt; THB]]</f>
        <v>1420077.4095140642</v>
      </c>
      <c r="AE663" s="507">
        <f>Port[[#This Row],[EAD_Undrawn (CNY)]]*Port[[#This Row],[CNY -&gt; THB]]</f>
        <v>0</v>
      </c>
      <c r="AF663" s="507">
        <f>Port[[#This Row],[EAD (CNY)]]*Port[[#This Row],[CNY -&gt; THB]]</f>
        <v>1420077.4095140642</v>
      </c>
      <c r="AG663" s="507">
        <f>Port[[#This Row],[EAD_Interest (CNY)]]*Port[[#This Row],[CNY -&gt; THB]]</f>
        <v>0</v>
      </c>
      <c r="AH663" s="507">
        <f>Port[[#This Row],[ECL_Drawn (CNY)]]*Port[[#This Row],[CNY -&gt; THB]]</f>
        <v>131864.92236294498</v>
      </c>
      <c r="AI663" s="507">
        <f>Port[[#This Row],[ECL_Undrawn (CNY)]]*Port[[#This Row],[CNY -&gt; THB]]</f>
        <v>0</v>
      </c>
      <c r="AJ663" s="507">
        <f>Port[[#This Row],[ECL (CNY)]]*Port[[#This Row],[CNY -&gt; THB]]</f>
        <v>131864.92236294498</v>
      </c>
      <c r="AK663" s="507">
        <f>Port[[#This Row],[ECL_Interest (CNY)]]*Port[[#This Row],[CNY -&gt; THB]]</f>
        <v>0</v>
      </c>
      <c r="AL663" s="507">
        <f>Port[[#This Row],[EAD (THB)]]*Port[[#This Row],[PD_avg]]</f>
        <v>18523.346792531011</v>
      </c>
      <c r="AM663" s="507">
        <f>Port[[#This Row],[EAD_Interest (THB)]]*Port[[#This Row],[PD_avg]]</f>
        <v>0</v>
      </c>
      <c r="AN663" s="507">
        <f>Port[[#This Row],[EAD (THB)]]*Port[[#This Row],[LGD_avg]]</f>
        <v>10109317.687149847</v>
      </c>
      <c r="AO663" s="507">
        <f>Port[[#This Row],[EAD_Interest (THB)]]*Port[[#This Row],[LGD_avg]]</f>
        <v>0</v>
      </c>
      <c r="AP663" s="507">
        <f>Port[[#This Row],[EAD_Drawn (THB)]]+Port[[#This Row],[EAD_Interest (THB)]]</f>
        <v>1420077.4095140642</v>
      </c>
      <c r="AQ66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131864.92236294498</v>
      </c>
      <c r="AR663" s="522">
        <f>MAX(Port[[#This Row],[ECL (THB)]]+Port[[#This Row],[ECL_Interest (THB)]], Port[[#This Row],[ECL CBIRC (THB)]])</f>
        <v>131864.92236294498</v>
      </c>
    </row>
    <row r="664" spans="1:44">
      <c r="A664" s="2" t="s">
        <v>473</v>
      </c>
      <c r="B664" s="2" t="s">
        <v>382</v>
      </c>
      <c r="C664" s="2" t="s">
        <v>379</v>
      </c>
      <c r="D664" s="2" t="s">
        <v>30</v>
      </c>
      <c r="E664" s="2" t="s">
        <v>19</v>
      </c>
      <c r="F664" s="2" t="s">
        <v>380</v>
      </c>
      <c r="G664" s="2" t="s">
        <v>57</v>
      </c>
      <c r="H664">
        <v>1</v>
      </c>
      <c r="I664" s="2" t="s">
        <v>526</v>
      </c>
      <c r="J664" s="505">
        <v>1.3043899345507868E-2</v>
      </c>
      <c r="K664" s="505">
        <v>2.4884063290937148</v>
      </c>
      <c r="L664" s="3">
        <v>0.15684552284455039</v>
      </c>
      <c r="M664" s="3">
        <v>5.2488000000000001</v>
      </c>
      <c r="N664" s="507">
        <v>1420065.078376</v>
      </c>
      <c r="O664" s="507">
        <v>0</v>
      </c>
      <c r="P664" s="507">
        <v>1420065.078376</v>
      </c>
      <c r="Q664" s="507">
        <v>0</v>
      </c>
      <c r="R664" s="507">
        <v>46093.213144019646</v>
      </c>
      <c r="S664" s="507">
        <v>0</v>
      </c>
      <c r="T664" s="507">
        <v>46093.213144019646</v>
      </c>
      <c r="U664" s="507">
        <v>0</v>
      </c>
      <c r="V664" s="507">
        <f>Port[[#This Row],[EAD_Drawn (CNY)]]*Port[[#This Row],[CNY -&gt; FCY]]</f>
        <v>222730.84969117114</v>
      </c>
      <c r="W664" s="507">
        <f>Port[[#This Row],[EAD_Undrawn (CNY)]]*Port[[#This Row],[CNY -&gt; FCY]]</f>
        <v>0</v>
      </c>
      <c r="X664" s="507">
        <f>Port[[#This Row],[EAD (CNY)]]*Port[[#This Row],[CNY -&gt; FCY]]</f>
        <v>222730.84969117114</v>
      </c>
      <c r="Y664" s="507">
        <f>Port[[#This Row],[EAD_Interest (CNY)]]*Port[[#This Row],[CNY -&gt; FCY]]</f>
        <v>0</v>
      </c>
      <c r="Z664" s="507">
        <f>Port[[#This Row],[ECL_Drawn (CNY)]]*Port[[#This Row],[CNY -&gt; FCY]]</f>
        <v>7229.5141151590633</v>
      </c>
      <c r="AA664" s="507">
        <f>Port[[#This Row],[ECL_Undrawn (CNY)]]*Port[[#This Row],[CNY -&gt; FCY]]</f>
        <v>0</v>
      </c>
      <c r="AB664" s="507">
        <f>Port[[#This Row],[ECL (CNY)]]*Port[[#This Row],[CNY -&gt; FCY]]</f>
        <v>7229.5141151590633</v>
      </c>
      <c r="AC664" s="507">
        <f>Port[[#This Row],[ECL_Interest (CNY)]]*Port[[#This Row],[CNY -&gt; FCY]]</f>
        <v>0</v>
      </c>
      <c r="AD664" s="507">
        <f>Port[[#This Row],[EAD_Drawn (CNY)]]*Port[[#This Row],[CNY -&gt; THB]]</f>
        <v>7453637.5833799494</v>
      </c>
      <c r="AE664" s="507">
        <f>Port[[#This Row],[EAD_Undrawn (CNY)]]*Port[[#This Row],[CNY -&gt; THB]]</f>
        <v>0</v>
      </c>
      <c r="AF664" s="507">
        <f>Port[[#This Row],[EAD (CNY)]]*Port[[#This Row],[CNY -&gt; THB]]</f>
        <v>7453637.5833799494</v>
      </c>
      <c r="AG664" s="507">
        <f>Port[[#This Row],[EAD_Interest (CNY)]]*Port[[#This Row],[CNY -&gt; THB]]</f>
        <v>0</v>
      </c>
      <c r="AH664" s="507">
        <f>Port[[#This Row],[ECL_Drawn (CNY)]]*Port[[#This Row],[CNY -&gt; THB]]</f>
        <v>241934.05715033034</v>
      </c>
      <c r="AI664" s="507">
        <f>Port[[#This Row],[ECL_Undrawn (CNY)]]*Port[[#This Row],[CNY -&gt; THB]]</f>
        <v>0</v>
      </c>
      <c r="AJ664" s="507">
        <f>Port[[#This Row],[ECL (CNY)]]*Port[[#This Row],[CNY -&gt; THB]]</f>
        <v>241934.05715033034</v>
      </c>
      <c r="AK664" s="507">
        <f>Port[[#This Row],[ECL_Interest (CNY)]]*Port[[#This Row],[CNY -&gt; THB]]</f>
        <v>0</v>
      </c>
      <c r="AL664" s="507">
        <f>Port[[#This Row],[EAD (THB)]]*Port[[#This Row],[PD_avg]]</f>
        <v>97224.498395502567</v>
      </c>
      <c r="AM664" s="507">
        <f>Port[[#This Row],[EAD_Interest (THB)]]*Port[[#This Row],[PD_avg]]</f>
        <v>0</v>
      </c>
      <c r="AN664" s="507">
        <f>Port[[#This Row],[EAD (THB)]]*Port[[#This Row],[LGD_avg]]</f>
        <v>18547678.937253449</v>
      </c>
      <c r="AO664" s="507">
        <f>Port[[#This Row],[EAD_Interest (THB)]]*Port[[#This Row],[LGD_avg]]</f>
        <v>0</v>
      </c>
      <c r="AP664" s="507">
        <f>Port[[#This Row],[EAD_Drawn (THB)]]+Port[[#This Row],[EAD_Interest (THB)]]</f>
        <v>7453637.5833799494</v>
      </c>
      <c r="AQ66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241934.05715033034</v>
      </c>
      <c r="AR664" s="522">
        <f>MAX(Port[[#This Row],[ECL (THB)]]+Port[[#This Row],[ECL_Interest (THB)]], Port[[#This Row],[ECL CBIRC (THB)]])</f>
        <v>241934.05715033034</v>
      </c>
    </row>
    <row r="665" spans="1:44">
      <c r="A665" s="2" t="s">
        <v>474</v>
      </c>
      <c r="B665" s="2" t="s">
        <v>382</v>
      </c>
      <c r="C665" s="2" t="s">
        <v>379</v>
      </c>
      <c r="D665" s="2" t="s">
        <v>30</v>
      </c>
      <c r="E665" s="2" t="s">
        <v>19</v>
      </c>
      <c r="F665" s="2" t="s">
        <v>380</v>
      </c>
      <c r="G665" s="2" t="s">
        <v>57</v>
      </c>
      <c r="H665">
        <v>1</v>
      </c>
      <c r="I665" s="2" t="s">
        <v>526</v>
      </c>
      <c r="J665" s="505">
        <v>1.3043899345507868E-2</v>
      </c>
      <c r="K665" s="505">
        <v>0.50158095468154429</v>
      </c>
      <c r="L665" s="3">
        <v>0.15684552284455039</v>
      </c>
      <c r="M665" s="3">
        <v>5.2488000000000001</v>
      </c>
      <c r="N665" s="507">
        <v>164512.78359599999</v>
      </c>
      <c r="O665" s="507">
        <v>0</v>
      </c>
      <c r="P665" s="507">
        <v>164512.78359599999</v>
      </c>
      <c r="Q665" s="507">
        <v>0</v>
      </c>
      <c r="R665" s="507">
        <v>1076.3366471182578</v>
      </c>
      <c r="S665" s="507">
        <v>0</v>
      </c>
      <c r="T665" s="507">
        <v>1076.3366471182578</v>
      </c>
      <c r="U665" s="507">
        <v>0</v>
      </c>
      <c r="V665" s="507">
        <f>Port[[#This Row],[EAD_Drawn (CNY)]]*Port[[#This Row],[CNY -&gt; FCY]]</f>
        <v>25803.093557726992</v>
      </c>
      <c r="W665" s="507">
        <f>Port[[#This Row],[EAD_Undrawn (CNY)]]*Port[[#This Row],[CNY -&gt; FCY]]</f>
        <v>0</v>
      </c>
      <c r="X665" s="507">
        <f>Port[[#This Row],[EAD (CNY)]]*Port[[#This Row],[CNY -&gt; FCY]]</f>
        <v>25803.093557726992</v>
      </c>
      <c r="Y665" s="507">
        <f>Port[[#This Row],[EAD_Interest (CNY)]]*Port[[#This Row],[CNY -&gt; FCY]]</f>
        <v>0</v>
      </c>
      <c r="Z665" s="507">
        <f>Port[[#This Row],[ECL_Drawn (CNY)]]*Port[[#This Row],[CNY -&gt; FCY]]</f>
        <v>168.81858417401347</v>
      </c>
      <c r="AA665" s="507">
        <f>Port[[#This Row],[ECL_Undrawn (CNY)]]*Port[[#This Row],[CNY -&gt; FCY]]</f>
        <v>0</v>
      </c>
      <c r="AB665" s="507">
        <f>Port[[#This Row],[ECL (CNY)]]*Port[[#This Row],[CNY -&gt; FCY]]</f>
        <v>168.81858417401347</v>
      </c>
      <c r="AC665" s="507">
        <f>Port[[#This Row],[ECL_Interest (CNY)]]*Port[[#This Row],[CNY -&gt; FCY]]</f>
        <v>0</v>
      </c>
      <c r="AD665" s="507">
        <f>Port[[#This Row],[EAD_Drawn (CNY)]]*Port[[#This Row],[CNY -&gt; THB]]</f>
        <v>863494.69853868475</v>
      </c>
      <c r="AE665" s="507">
        <f>Port[[#This Row],[EAD_Undrawn (CNY)]]*Port[[#This Row],[CNY -&gt; THB]]</f>
        <v>0</v>
      </c>
      <c r="AF665" s="507">
        <f>Port[[#This Row],[EAD (CNY)]]*Port[[#This Row],[CNY -&gt; THB]]</f>
        <v>863494.69853868475</v>
      </c>
      <c r="AG665" s="507">
        <f>Port[[#This Row],[EAD_Interest (CNY)]]*Port[[#This Row],[CNY -&gt; THB]]</f>
        <v>0</v>
      </c>
      <c r="AH665" s="507">
        <f>Port[[#This Row],[ECL_Drawn (CNY)]]*Port[[#This Row],[CNY -&gt; THB]]</f>
        <v>5649.4757933943119</v>
      </c>
      <c r="AI665" s="507">
        <f>Port[[#This Row],[ECL_Undrawn (CNY)]]*Port[[#This Row],[CNY -&gt; THB]]</f>
        <v>0</v>
      </c>
      <c r="AJ665" s="507">
        <f>Port[[#This Row],[ECL (CNY)]]*Port[[#This Row],[CNY -&gt; THB]]</f>
        <v>5649.4757933943119</v>
      </c>
      <c r="AK665" s="507">
        <f>Port[[#This Row],[ECL_Interest (CNY)]]*Port[[#This Row],[CNY -&gt; THB]]</f>
        <v>0</v>
      </c>
      <c r="AL665" s="507">
        <f>Port[[#This Row],[EAD (THB)]]*Port[[#This Row],[PD_avg]]</f>
        <v>11263.337933118264</v>
      </c>
      <c r="AM665" s="507">
        <f>Port[[#This Row],[EAD_Interest (THB)]]*Port[[#This Row],[PD_avg]]</f>
        <v>0</v>
      </c>
      <c r="AN665" s="507">
        <f>Port[[#This Row],[EAD (THB)]]*Port[[#This Row],[LGD_avg]]</f>
        <v>433112.49525548576</v>
      </c>
      <c r="AO665" s="507">
        <f>Port[[#This Row],[EAD_Interest (THB)]]*Port[[#This Row],[LGD_avg]]</f>
        <v>0</v>
      </c>
      <c r="AP665" s="507">
        <f>Port[[#This Row],[EAD_Drawn (THB)]]+Port[[#This Row],[EAD_Interest (THB)]]</f>
        <v>863494.69853868475</v>
      </c>
      <c r="AQ66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5649.4757933943119</v>
      </c>
      <c r="AR665" s="522">
        <f>MAX(Port[[#This Row],[ECL (THB)]]+Port[[#This Row],[ECL_Interest (THB)]], Port[[#This Row],[ECL CBIRC (THB)]])</f>
        <v>5649.4757933943119</v>
      </c>
    </row>
    <row r="666" spans="1:44">
      <c r="A666" s="2" t="s">
        <v>475</v>
      </c>
      <c r="B666" s="2" t="s">
        <v>382</v>
      </c>
      <c r="C666" s="2" t="s">
        <v>379</v>
      </c>
      <c r="D666" s="2" t="s">
        <v>30</v>
      </c>
      <c r="E666" s="2" t="s">
        <v>19</v>
      </c>
      <c r="F666" s="2" t="s">
        <v>380</v>
      </c>
      <c r="G666" s="2" t="s">
        <v>57</v>
      </c>
      <c r="H666">
        <v>1</v>
      </c>
      <c r="I666" s="2" t="s">
        <v>526</v>
      </c>
      <c r="J666" s="505">
        <v>1.3043899345507868E-2</v>
      </c>
      <c r="K666" s="505">
        <v>3.4607839690631041</v>
      </c>
      <c r="L666" s="3">
        <v>0.15684552284455039</v>
      </c>
      <c r="M666" s="3">
        <v>5.2488000000000001</v>
      </c>
      <c r="N666" s="507">
        <v>72461.930800000002</v>
      </c>
      <c r="O666" s="507">
        <v>0</v>
      </c>
      <c r="P666" s="507">
        <v>72461.930800000002</v>
      </c>
      <c r="Q666" s="507">
        <v>0</v>
      </c>
      <c r="R666" s="507">
        <v>3271.0850124939498</v>
      </c>
      <c r="S666" s="507">
        <v>0</v>
      </c>
      <c r="T666" s="507">
        <v>3271.0850124939498</v>
      </c>
      <c r="U666" s="507">
        <v>0</v>
      </c>
      <c r="V666" s="507">
        <f>Port[[#This Row],[EAD_Drawn (CNY)]]*Port[[#This Row],[CNY -&gt; FCY]]</f>
        <v>11365.32942265163</v>
      </c>
      <c r="W666" s="507">
        <f>Port[[#This Row],[EAD_Undrawn (CNY)]]*Port[[#This Row],[CNY -&gt; FCY]]</f>
        <v>0</v>
      </c>
      <c r="X666" s="507">
        <f>Port[[#This Row],[EAD (CNY)]]*Port[[#This Row],[CNY -&gt; FCY]]</f>
        <v>11365.32942265163</v>
      </c>
      <c r="Y666" s="507">
        <f>Port[[#This Row],[EAD_Interest (CNY)]]*Port[[#This Row],[CNY -&gt; FCY]]</f>
        <v>0</v>
      </c>
      <c r="Z666" s="507">
        <f>Port[[#This Row],[ECL_Drawn (CNY)]]*Port[[#This Row],[CNY -&gt; FCY]]</f>
        <v>513.05503905358614</v>
      </c>
      <c r="AA666" s="507">
        <f>Port[[#This Row],[ECL_Undrawn (CNY)]]*Port[[#This Row],[CNY -&gt; FCY]]</f>
        <v>0</v>
      </c>
      <c r="AB666" s="507">
        <f>Port[[#This Row],[ECL (CNY)]]*Port[[#This Row],[CNY -&gt; FCY]]</f>
        <v>513.05503905358614</v>
      </c>
      <c r="AC666" s="507">
        <f>Port[[#This Row],[ECL_Interest (CNY)]]*Port[[#This Row],[CNY -&gt; FCY]]</f>
        <v>0</v>
      </c>
      <c r="AD666" s="507">
        <f>Port[[#This Row],[EAD_Drawn (CNY)]]*Port[[#This Row],[CNY -&gt; THB]]</f>
        <v>380338.18238304002</v>
      </c>
      <c r="AE666" s="507">
        <f>Port[[#This Row],[EAD_Undrawn (CNY)]]*Port[[#This Row],[CNY -&gt; THB]]</f>
        <v>0</v>
      </c>
      <c r="AF666" s="507">
        <f>Port[[#This Row],[EAD (CNY)]]*Port[[#This Row],[CNY -&gt; THB]]</f>
        <v>380338.18238304002</v>
      </c>
      <c r="AG666" s="507">
        <f>Port[[#This Row],[EAD_Interest (CNY)]]*Port[[#This Row],[CNY -&gt; THB]]</f>
        <v>0</v>
      </c>
      <c r="AH666" s="507">
        <f>Port[[#This Row],[ECL_Drawn (CNY)]]*Port[[#This Row],[CNY -&gt; THB]]</f>
        <v>17169.271013578244</v>
      </c>
      <c r="AI666" s="507">
        <f>Port[[#This Row],[ECL_Undrawn (CNY)]]*Port[[#This Row],[CNY -&gt; THB]]</f>
        <v>0</v>
      </c>
      <c r="AJ666" s="507">
        <f>Port[[#This Row],[ECL (CNY)]]*Port[[#This Row],[CNY -&gt; THB]]</f>
        <v>17169.271013578244</v>
      </c>
      <c r="AK666" s="507">
        <f>Port[[#This Row],[ECL_Interest (CNY)]]*Port[[#This Row],[CNY -&gt; THB]]</f>
        <v>0</v>
      </c>
      <c r="AL666" s="507">
        <f>Port[[#This Row],[EAD (THB)]]*Port[[#This Row],[PD_avg]]</f>
        <v>4961.092968257788</v>
      </c>
      <c r="AM666" s="507">
        <f>Port[[#This Row],[EAD_Interest (THB)]]*Port[[#This Row],[PD_avg]]</f>
        <v>0</v>
      </c>
      <c r="AN666" s="507">
        <f>Port[[#This Row],[EAD (THB)]]*Port[[#This Row],[LGD_avg]]</f>
        <v>1316268.2844138241</v>
      </c>
      <c r="AO666" s="507">
        <f>Port[[#This Row],[EAD_Interest (THB)]]*Port[[#This Row],[LGD_avg]]</f>
        <v>0</v>
      </c>
      <c r="AP666" s="507">
        <f>Port[[#This Row],[EAD_Drawn (THB)]]+Port[[#This Row],[EAD_Interest (THB)]]</f>
        <v>380338.18238304002</v>
      </c>
      <c r="AQ66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17169.271013578244</v>
      </c>
      <c r="AR666" s="522">
        <f>MAX(Port[[#This Row],[ECL (THB)]]+Port[[#This Row],[ECL_Interest (THB)]], Port[[#This Row],[ECL CBIRC (THB)]])</f>
        <v>17169.271013578244</v>
      </c>
    </row>
    <row r="667" spans="1:44">
      <c r="A667" s="2" t="s">
        <v>476</v>
      </c>
      <c r="B667" s="2" t="s">
        <v>382</v>
      </c>
      <c r="C667" s="2" t="s">
        <v>379</v>
      </c>
      <c r="D667" s="2" t="s">
        <v>30</v>
      </c>
      <c r="E667" s="2" t="s">
        <v>19</v>
      </c>
      <c r="F667" s="2" t="s">
        <v>380</v>
      </c>
      <c r="G667" s="2" t="s">
        <v>57</v>
      </c>
      <c r="H667">
        <v>1</v>
      </c>
      <c r="I667" s="2" t="s">
        <v>526</v>
      </c>
      <c r="J667" s="505">
        <v>1.3043899345507868E-2</v>
      </c>
      <c r="K667" s="505">
        <v>4.5702978146932622</v>
      </c>
      <c r="L667" s="3">
        <v>0.15684552284455039</v>
      </c>
      <c r="M667" s="3">
        <v>5.2488000000000001</v>
      </c>
      <c r="N667" s="507">
        <v>77755.956921999998</v>
      </c>
      <c r="O667" s="507">
        <v>0</v>
      </c>
      <c r="P667" s="507">
        <v>77755.956921999998</v>
      </c>
      <c r="Q667" s="507">
        <v>0</v>
      </c>
      <c r="R667" s="507">
        <v>4635.3828573465189</v>
      </c>
      <c r="S667" s="507">
        <v>0</v>
      </c>
      <c r="T667" s="507">
        <v>4635.3828573465189</v>
      </c>
      <c r="U667" s="507">
        <v>0</v>
      </c>
      <c r="V667" s="507">
        <f>Port[[#This Row],[EAD_Drawn (CNY)]]*Port[[#This Row],[CNY -&gt; FCY]]</f>
        <v>12195.673717709427</v>
      </c>
      <c r="W667" s="507">
        <f>Port[[#This Row],[EAD_Undrawn (CNY)]]*Port[[#This Row],[CNY -&gt; FCY]]</f>
        <v>0</v>
      </c>
      <c r="X667" s="507">
        <f>Port[[#This Row],[EAD (CNY)]]*Port[[#This Row],[CNY -&gt; FCY]]</f>
        <v>12195.673717709427</v>
      </c>
      <c r="Y667" s="507">
        <f>Port[[#This Row],[EAD_Interest (CNY)]]*Port[[#This Row],[CNY -&gt; FCY]]</f>
        <v>0</v>
      </c>
      <c r="Z667" s="507">
        <f>Port[[#This Row],[ECL_Drawn (CNY)]]*Port[[#This Row],[CNY -&gt; FCY]]</f>
        <v>727.03904784518068</v>
      </c>
      <c r="AA667" s="507">
        <f>Port[[#This Row],[ECL_Undrawn (CNY)]]*Port[[#This Row],[CNY -&gt; FCY]]</f>
        <v>0</v>
      </c>
      <c r="AB667" s="507">
        <f>Port[[#This Row],[ECL (CNY)]]*Port[[#This Row],[CNY -&gt; FCY]]</f>
        <v>727.03904784518068</v>
      </c>
      <c r="AC667" s="507">
        <f>Port[[#This Row],[ECL_Interest (CNY)]]*Port[[#This Row],[CNY -&gt; FCY]]</f>
        <v>0</v>
      </c>
      <c r="AD667" s="507">
        <f>Port[[#This Row],[EAD_Drawn (CNY)]]*Port[[#This Row],[CNY -&gt; THB]]</f>
        <v>408125.46669219359</v>
      </c>
      <c r="AE667" s="507">
        <f>Port[[#This Row],[EAD_Undrawn (CNY)]]*Port[[#This Row],[CNY -&gt; THB]]</f>
        <v>0</v>
      </c>
      <c r="AF667" s="507">
        <f>Port[[#This Row],[EAD (CNY)]]*Port[[#This Row],[CNY -&gt; THB]]</f>
        <v>408125.46669219359</v>
      </c>
      <c r="AG667" s="507">
        <f>Port[[#This Row],[EAD_Interest (CNY)]]*Port[[#This Row],[CNY -&gt; THB]]</f>
        <v>0</v>
      </c>
      <c r="AH667" s="507">
        <f>Port[[#This Row],[ECL_Drawn (CNY)]]*Port[[#This Row],[CNY -&gt; THB]]</f>
        <v>24330.197541640409</v>
      </c>
      <c r="AI667" s="507">
        <f>Port[[#This Row],[ECL_Undrawn (CNY)]]*Port[[#This Row],[CNY -&gt; THB]]</f>
        <v>0</v>
      </c>
      <c r="AJ667" s="507">
        <f>Port[[#This Row],[ECL (CNY)]]*Port[[#This Row],[CNY -&gt; THB]]</f>
        <v>24330.197541640409</v>
      </c>
      <c r="AK667" s="507">
        <f>Port[[#This Row],[ECL_Interest (CNY)]]*Port[[#This Row],[CNY -&gt; THB]]</f>
        <v>0</v>
      </c>
      <c r="AL667" s="507">
        <f>Port[[#This Row],[EAD (THB)]]*Port[[#This Row],[PD_avg]]</f>
        <v>5323.5475078713971</v>
      </c>
      <c r="AM667" s="507">
        <f>Port[[#This Row],[EAD_Interest (THB)]]*Port[[#This Row],[PD_avg]]</f>
        <v>0</v>
      </c>
      <c r="AN667" s="507">
        <f>Port[[#This Row],[EAD (THB)]]*Port[[#This Row],[LGD_avg]]</f>
        <v>1865254.928544</v>
      </c>
      <c r="AO667" s="507">
        <f>Port[[#This Row],[EAD_Interest (THB)]]*Port[[#This Row],[LGD_avg]]</f>
        <v>0</v>
      </c>
      <c r="AP667" s="507">
        <f>Port[[#This Row],[EAD_Drawn (THB)]]+Port[[#This Row],[EAD_Interest (THB)]]</f>
        <v>408125.46669219359</v>
      </c>
      <c r="AQ66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24330.197541640409</v>
      </c>
      <c r="AR667" s="522">
        <f>MAX(Port[[#This Row],[ECL (THB)]]+Port[[#This Row],[ECL_Interest (THB)]], Port[[#This Row],[ECL CBIRC (THB)]])</f>
        <v>24330.197541640409</v>
      </c>
    </row>
    <row r="668" spans="1:44">
      <c r="A668" s="2" t="s">
        <v>477</v>
      </c>
      <c r="B668" s="2" t="s">
        <v>382</v>
      </c>
      <c r="C668" s="2" t="s">
        <v>379</v>
      </c>
      <c r="D668" s="2" t="s">
        <v>30</v>
      </c>
      <c r="E668" s="2" t="s">
        <v>19</v>
      </c>
      <c r="F668" s="2" t="s">
        <v>380</v>
      </c>
      <c r="G668" s="2" t="s">
        <v>57</v>
      </c>
      <c r="H668">
        <v>1</v>
      </c>
      <c r="I668" s="2" t="s">
        <v>526</v>
      </c>
      <c r="J668" s="505">
        <v>1.3043899345507868E-2</v>
      </c>
      <c r="K668" s="505">
        <v>1.1231989706326604</v>
      </c>
      <c r="L668" s="3">
        <v>0.15684552284455039</v>
      </c>
      <c r="M668" s="3">
        <v>5.2488000000000001</v>
      </c>
      <c r="N668" s="507">
        <v>157691.88562399999</v>
      </c>
      <c r="O668" s="507">
        <v>0</v>
      </c>
      <c r="P668" s="507">
        <v>157691.88562399999</v>
      </c>
      <c r="Q668" s="507">
        <v>0</v>
      </c>
      <c r="R668" s="507">
        <v>2310.3271510692493</v>
      </c>
      <c r="S668" s="507">
        <v>0</v>
      </c>
      <c r="T668" s="507">
        <v>2310.3271510692493</v>
      </c>
      <c r="U668" s="507">
        <v>0</v>
      </c>
      <c r="V668" s="507">
        <f>Port[[#This Row],[EAD_Drawn (CNY)]]*Port[[#This Row],[CNY -&gt; FCY]]</f>
        <v>24733.266249039316</v>
      </c>
      <c r="W668" s="507">
        <f>Port[[#This Row],[EAD_Undrawn (CNY)]]*Port[[#This Row],[CNY -&gt; FCY]]</f>
        <v>0</v>
      </c>
      <c r="X668" s="507">
        <f>Port[[#This Row],[EAD (CNY)]]*Port[[#This Row],[CNY -&gt; FCY]]</f>
        <v>24733.266249039316</v>
      </c>
      <c r="Y668" s="507">
        <f>Port[[#This Row],[EAD_Interest (CNY)]]*Port[[#This Row],[CNY -&gt; FCY]]</f>
        <v>0</v>
      </c>
      <c r="Z668" s="507">
        <f>Port[[#This Row],[ECL_Drawn (CNY)]]*Port[[#This Row],[CNY -&gt; FCY]]</f>
        <v>362.36446995141699</v>
      </c>
      <c r="AA668" s="507">
        <f>Port[[#This Row],[ECL_Undrawn (CNY)]]*Port[[#This Row],[CNY -&gt; FCY]]</f>
        <v>0</v>
      </c>
      <c r="AB668" s="507">
        <f>Port[[#This Row],[ECL (CNY)]]*Port[[#This Row],[CNY -&gt; FCY]]</f>
        <v>362.36446995141699</v>
      </c>
      <c r="AC668" s="507">
        <f>Port[[#This Row],[ECL_Interest (CNY)]]*Port[[#This Row],[CNY -&gt; FCY]]</f>
        <v>0</v>
      </c>
      <c r="AD668" s="507">
        <f>Port[[#This Row],[EAD_Drawn (CNY)]]*Port[[#This Row],[CNY -&gt; THB]]</f>
        <v>827693.16926325113</v>
      </c>
      <c r="AE668" s="507">
        <f>Port[[#This Row],[EAD_Undrawn (CNY)]]*Port[[#This Row],[CNY -&gt; THB]]</f>
        <v>0</v>
      </c>
      <c r="AF668" s="507">
        <f>Port[[#This Row],[EAD (CNY)]]*Port[[#This Row],[CNY -&gt; THB]]</f>
        <v>827693.16926325113</v>
      </c>
      <c r="AG668" s="507">
        <f>Port[[#This Row],[EAD_Interest (CNY)]]*Port[[#This Row],[CNY -&gt; THB]]</f>
        <v>0</v>
      </c>
      <c r="AH668" s="507">
        <f>Port[[#This Row],[ECL_Drawn (CNY)]]*Port[[#This Row],[CNY -&gt; THB]]</f>
        <v>12126.445150532276</v>
      </c>
      <c r="AI668" s="507">
        <f>Port[[#This Row],[ECL_Undrawn (CNY)]]*Port[[#This Row],[CNY -&gt; THB]]</f>
        <v>0</v>
      </c>
      <c r="AJ668" s="507">
        <f>Port[[#This Row],[ECL (CNY)]]*Port[[#This Row],[CNY -&gt; THB]]</f>
        <v>12126.445150532276</v>
      </c>
      <c r="AK668" s="507">
        <f>Port[[#This Row],[ECL_Interest (CNY)]]*Port[[#This Row],[CNY -&gt; THB]]</f>
        <v>0</v>
      </c>
      <c r="AL668" s="507">
        <f>Port[[#This Row],[EAD (THB)]]*Port[[#This Row],[PD_avg]]</f>
        <v>10796.346388834254</v>
      </c>
      <c r="AM668" s="507">
        <f>Port[[#This Row],[EAD_Interest (THB)]]*Port[[#This Row],[PD_avg]]</f>
        <v>0</v>
      </c>
      <c r="AN668" s="507">
        <f>Port[[#This Row],[EAD (THB)]]*Port[[#This Row],[LGD_avg]]</f>
        <v>929664.11571616796</v>
      </c>
      <c r="AO668" s="507">
        <f>Port[[#This Row],[EAD_Interest (THB)]]*Port[[#This Row],[LGD_avg]]</f>
        <v>0</v>
      </c>
      <c r="AP668" s="507">
        <f>Port[[#This Row],[EAD_Drawn (THB)]]+Port[[#This Row],[EAD_Interest (THB)]]</f>
        <v>827693.16926325113</v>
      </c>
      <c r="AQ66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12126.445150532276</v>
      </c>
      <c r="AR668" s="522">
        <f>MAX(Port[[#This Row],[ECL (THB)]]+Port[[#This Row],[ECL_Interest (THB)]], Port[[#This Row],[ECL CBIRC (THB)]])</f>
        <v>12126.445150532276</v>
      </c>
    </row>
    <row r="669" spans="1:44">
      <c r="A669" s="2" t="s">
        <v>478</v>
      </c>
      <c r="B669" s="2" t="s">
        <v>382</v>
      </c>
      <c r="C669" s="2" t="s">
        <v>379</v>
      </c>
      <c r="D669" s="2" t="s">
        <v>30</v>
      </c>
      <c r="E669" s="2" t="s">
        <v>19</v>
      </c>
      <c r="F669" s="2" t="s">
        <v>380</v>
      </c>
      <c r="G669" s="2" t="s">
        <v>57</v>
      </c>
      <c r="H669">
        <v>1</v>
      </c>
      <c r="I669" s="2" t="s">
        <v>526</v>
      </c>
      <c r="J669" s="505">
        <v>1.3043899345507868E-2</v>
      </c>
      <c r="K669" s="505">
        <v>0.47021943573667713</v>
      </c>
      <c r="L669" s="3">
        <v>0.15684552284455039</v>
      </c>
      <c r="M669" s="3">
        <v>5.2488000000000001</v>
      </c>
      <c r="N669" s="507">
        <v>731370.02399999998</v>
      </c>
      <c r="O669" s="507">
        <v>0</v>
      </c>
      <c r="P669" s="507">
        <v>731370.02399999998</v>
      </c>
      <c r="Q669" s="507">
        <v>0</v>
      </c>
      <c r="R669" s="507">
        <v>4485.8543780772761</v>
      </c>
      <c r="S669" s="507">
        <v>0</v>
      </c>
      <c r="T669" s="507">
        <v>4485.8543780772761</v>
      </c>
      <c r="U669" s="507">
        <v>0</v>
      </c>
      <c r="V669" s="507">
        <f>Port[[#This Row],[EAD_Drawn (CNY)]]*Port[[#This Row],[CNY -&gt; FCY]]</f>
        <v>114712.11380711137</v>
      </c>
      <c r="W669" s="507">
        <f>Port[[#This Row],[EAD_Undrawn (CNY)]]*Port[[#This Row],[CNY -&gt; FCY]]</f>
        <v>0</v>
      </c>
      <c r="X669" s="507">
        <f>Port[[#This Row],[EAD (CNY)]]*Port[[#This Row],[CNY -&gt; FCY]]</f>
        <v>114712.11380711137</v>
      </c>
      <c r="Y669" s="507">
        <f>Port[[#This Row],[EAD_Interest (CNY)]]*Port[[#This Row],[CNY -&gt; FCY]]</f>
        <v>0</v>
      </c>
      <c r="Z669" s="507">
        <f>Port[[#This Row],[ECL_Drawn (CNY)]]*Port[[#This Row],[CNY -&gt; FCY]]</f>
        <v>703.58617533404583</v>
      </c>
      <c r="AA669" s="507">
        <f>Port[[#This Row],[ECL_Undrawn (CNY)]]*Port[[#This Row],[CNY -&gt; FCY]]</f>
        <v>0</v>
      </c>
      <c r="AB669" s="507">
        <f>Port[[#This Row],[ECL (CNY)]]*Port[[#This Row],[CNY -&gt; FCY]]</f>
        <v>703.58617533404583</v>
      </c>
      <c r="AC669" s="507">
        <f>Port[[#This Row],[ECL_Interest (CNY)]]*Port[[#This Row],[CNY -&gt; FCY]]</f>
        <v>0</v>
      </c>
      <c r="AD669" s="507">
        <f>Port[[#This Row],[EAD_Drawn (CNY)]]*Port[[#This Row],[CNY -&gt; THB]]</f>
        <v>3838814.9819712001</v>
      </c>
      <c r="AE669" s="507">
        <f>Port[[#This Row],[EAD_Undrawn (CNY)]]*Port[[#This Row],[CNY -&gt; THB]]</f>
        <v>0</v>
      </c>
      <c r="AF669" s="507">
        <f>Port[[#This Row],[EAD (CNY)]]*Port[[#This Row],[CNY -&gt; THB]]</f>
        <v>3838814.9819712001</v>
      </c>
      <c r="AG669" s="507">
        <f>Port[[#This Row],[EAD_Interest (CNY)]]*Port[[#This Row],[CNY -&gt; THB]]</f>
        <v>0</v>
      </c>
      <c r="AH669" s="507">
        <f>Port[[#This Row],[ECL_Drawn (CNY)]]*Port[[#This Row],[CNY -&gt; THB]]</f>
        <v>23545.352459652007</v>
      </c>
      <c r="AI669" s="507">
        <f>Port[[#This Row],[ECL_Undrawn (CNY)]]*Port[[#This Row],[CNY -&gt; THB]]</f>
        <v>0</v>
      </c>
      <c r="AJ669" s="507">
        <f>Port[[#This Row],[ECL (CNY)]]*Port[[#This Row],[CNY -&gt; THB]]</f>
        <v>23545.352459652007</v>
      </c>
      <c r="AK669" s="507">
        <f>Port[[#This Row],[ECL_Interest (CNY)]]*Port[[#This Row],[CNY -&gt; THB]]</f>
        <v>0</v>
      </c>
      <c r="AL669" s="507">
        <f>Port[[#This Row],[EAD (THB)]]*Port[[#This Row],[PD_avg]]</f>
        <v>50073.116230859938</v>
      </c>
      <c r="AM669" s="507">
        <f>Port[[#This Row],[EAD_Interest (THB)]]*Port[[#This Row],[PD_avg]]</f>
        <v>0</v>
      </c>
      <c r="AN669" s="507">
        <f>Port[[#This Row],[EAD (THB)]]*Port[[#This Row],[LGD_avg]]</f>
        <v>1805085.41472</v>
      </c>
      <c r="AO669" s="507">
        <f>Port[[#This Row],[EAD_Interest (THB)]]*Port[[#This Row],[LGD_avg]]</f>
        <v>0</v>
      </c>
      <c r="AP669" s="507">
        <f>Port[[#This Row],[EAD_Drawn (THB)]]+Port[[#This Row],[EAD_Interest (THB)]]</f>
        <v>3838814.9819712001</v>
      </c>
      <c r="AQ66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23545.352459652007</v>
      </c>
      <c r="AR669" s="522">
        <f>MAX(Port[[#This Row],[ECL (THB)]]+Port[[#This Row],[ECL_Interest (THB)]], Port[[#This Row],[ECL CBIRC (THB)]])</f>
        <v>23545.352459652007</v>
      </c>
    </row>
    <row r="670" spans="1:44">
      <c r="A670" s="2" t="s">
        <v>479</v>
      </c>
      <c r="B670" s="2" t="s">
        <v>382</v>
      </c>
      <c r="C670" s="2" t="s">
        <v>379</v>
      </c>
      <c r="D670" s="2" t="s">
        <v>30</v>
      </c>
      <c r="E670" s="2" t="s">
        <v>19</v>
      </c>
      <c r="F670" s="2" t="s">
        <v>380</v>
      </c>
      <c r="G670" s="2" t="s">
        <v>57</v>
      </c>
      <c r="H670">
        <v>1</v>
      </c>
      <c r="I670" s="2" t="s">
        <v>526</v>
      </c>
      <c r="J670" s="505">
        <v>1.3043899345507868E-2</v>
      </c>
      <c r="K670" s="505">
        <v>0.85732482499974871</v>
      </c>
      <c r="L670" s="3">
        <v>0.15684552284455039</v>
      </c>
      <c r="M670" s="3">
        <v>5.2488000000000001</v>
      </c>
      <c r="N670" s="507">
        <v>468309.77874799992</v>
      </c>
      <c r="O670" s="507">
        <v>0</v>
      </c>
      <c r="P670" s="507">
        <v>468309.77874799992</v>
      </c>
      <c r="Q670" s="507">
        <v>0</v>
      </c>
      <c r="R670" s="507">
        <v>5237.0420946669628</v>
      </c>
      <c r="S670" s="507">
        <v>0</v>
      </c>
      <c r="T670" s="507">
        <v>5237.0420946669628</v>
      </c>
      <c r="U670" s="507">
        <v>0</v>
      </c>
      <c r="V670" s="507">
        <f>Port[[#This Row],[EAD_Drawn (CNY)]]*Port[[#This Row],[CNY -&gt; FCY]]</f>
        <v>73452.292100945764</v>
      </c>
      <c r="W670" s="507">
        <f>Port[[#This Row],[EAD_Undrawn (CNY)]]*Port[[#This Row],[CNY -&gt; FCY]]</f>
        <v>0</v>
      </c>
      <c r="X670" s="507">
        <f>Port[[#This Row],[EAD (CNY)]]*Port[[#This Row],[CNY -&gt; FCY]]</f>
        <v>73452.292100945764</v>
      </c>
      <c r="Y670" s="507">
        <f>Port[[#This Row],[EAD_Interest (CNY)]]*Port[[#This Row],[CNY -&gt; FCY]]</f>
        <v>0</v>
      </c>
      <c r="Z670" s="507">
        <f>Port[[#This Row],[ECL_Drawn (CNY)]]*Port[[#This Row],[CNY -&gt; FCY]]</f>
        <v>821.40660549695917</v>
      </c>
      <c r="AA670" s="507">
        <f>Port[[#This Row],[ECL_Undrawn (CNY)]]*Port[[#This Row],[CNY -&gt; FCY]]</f>
        <v>0</v>
      </c>
      <c r="AB670" s="507">
        <f>Port[[#This Row],[ECL (CNY)]]*Port[[#This Row],[CNY -&gt; FCY]]</f>
        <v>821.40660549695917</v>
      </c>
      <c r="AC670" s="507">
        <f>Port[[#This Row],[ECL_Interest (CNY)]]*Port[[#This Row],[CNY -&gt; FCY]]</f>
        <v>0</v>
      </c>
      <c r="AD670" s="507">
        <f>Port[[#This Row],[EAD_Drawn (CNY)]]*Port[[#This Row],[CNY -&gt; THB]]</f>
        <v>2458064.3666925021</v>
      </c>
      <c r="AE670" s="507">
        <f>Port[[#This Row],[EAD_Undrawn (CNY)]]*Port[[#This Row],[CNY -&gt; THB]]</f>
        <v>0</v>
      </c>
      <c r="AF670" s="507">
        <f>Port[[#This Row],[EAD (CNY)]]*Port[[#This Row],[CNY -&gt; THB]]</f>
        <v>2458064.3666925021</v>
      </c>
      <c r="AG670" s="507">
        <f>Port[[#This Row],[EAD_Interest (CNY)]]*Port[[#This Row],[CNY -&gt; THB]]</f>
        <v>0</v>
      </c>
      <c r="AH670" s="507">
        <f>Port[[#This Row],[ECL_Drawn (CNY)]]*Port[[#This Row],[CNY -&gt; THB]]</f>
        <v>27488.186546487956</v>
      </c>
      <c r="AI670" s="507">
        <f>Port[[#This Row],[ECL_Undrawn (CNY)]]*Port[[#This Row],[CNY -&gt; THB]]</f>
        <v>0</v>
      </c>
      <c r="AJ670" s="507">
        <f>Port[[#This Row],[ECL (CNY)]]*Port[[#This Row],[CNY -&gt; THB]]</f>
        <v>27488.186546487956</v>
      </c>
      <c r="AK670" s="507">
        <f>Port[[#This Row],[ECL_Interest (CNY)]]*Port[[#This Row],[CNY -&gt; THB]]</f>
        <v>0</v>
      </c>
      <c r="AL670" s="507">
        <f>Port[[#This Row],[EAD (THB)]]*Port[[#This Row],[PD_avg]]</f>
        <v>32062.74418391654</v>
      </c>
      <c r="AM670" s="507">
        <f>Port[[#This Row],[EAD_Interest (THB)]]*Port[[#This Row],[PD_avg]]</f>
        <v>0</v>
      </c>
      <c r="AN670" s="507">
        <f>Port[[#This Row],[EAD (THB)]]*Port[[#This Row],[LGD_avg]]</f>
        <v>2107359.6030127676</v>
      </c>
      <c r="AO670" s="507">
        <f>Port[[#This Row],[EAD_Interest (THB)]]*Port[[#This Row],[LGD_avg]]</f>
        <v>0</v>
      </c>
      <c r="AP670" s="507">
        <f>Port[[#This Row],[EAD_Drawn (THB)]]+Port[[#This Row],[EAD_Interest (THB)]]</f>
        <v>2458064.3666925021</v>
      </c>
      <c r="AQ67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27488.186546487956</v>
      </c>
      <c r="AR670" s="522">
        <f>MAX(Port[[#This Row],[ECL (THB)]]+Port[[#This Row],[ECL_Interest (THB)]], Port[[#This Row],[ECL CBIRC (THB)]])</f>
        <v>27488.186546487956</v>
      </c>
    </row>
    <row r="671" spans="1:44">
      <c r="A671" s="2" t="s">
        <v>480</v>
      </c>
      <c r="B671" s="2" t="s">
        <v>382</v>
      </c>
      <c r="C671" s="2" t="s">
        <v>379</v>
      </c>
      <c r="D671" s="2" t="s">
        <v>30</v>
      </c>
      <c r="E671" s="2" t="s">
        <v>19</v>
      </c>
      <c r="F671" s="2" t="s">
        <v>380</v>
      </c>
      <c r="G671" s="2" t="s">
        <v>57</v>
      </c>
      <c r="H671">
        <v>1</v>
      </c>
      <c r="I671" s="2" t="s">
        <v>526</v>
      </c>
      <c r="J671" s="505">
        <v>1.3043899345507868E-2</v>
      </c>
      <c r="K671" s="505">
        <v>2.1277159209157128</v>
      </c>
      <c r="L671" s="3">
        <v>0.15684552284455039</v>
      </c>
      <c r="M671" s="3">
        <v>5.2488000000000001</v>
      </c>
      <c r="N671" s="507">
        <v>55082.021399999998</v>
      </c>
      <c r="O671" s="507">
        <v>0</v>
      </c>
      <c r="P671" s="507">
        <v>55082.021399999998</v>
      </c>
      <c r="Q671" s="507">
        <v>0</v>
      </c>
      <c r="R671" s="507">
        <v>1528.7305752929731</v>
      </c>
      <c r="S671" s="507">
        <v>0</v>
      </c>
      <c r="T671" s="507">
        <v>1528.7305752929731</v>
      </c>
      <c r="U671" s="507">
        <v>0</v>
      </c>
      <c r="V671" s="507">
        <f>Port[[#This Row],[EAD_Drawn (CNY)]]*Port[[#This Row],[CNY -&gt; FCY]]</f>
        <v>8639.3684458177122</v>
      </c>
      <c r="W671" s="507">
        <f>Port[[#This Row],[EAD_Undrawn (CNY)]]*Port[[#This Row],[CNY -&gt; FCY]]</f>
        <v>0</v>
      </c>
      <c r="X671" s="507">
        <f>Port[[#This Row],[EAD (CNY)]]*Port[[#This Row],[CNY -&gt; FCY]]</f>
        <v>8639.3684458177122</v>
      </c>
      <c r="Y671" s="507">
        <f>Port[[#This Row],[EAD_Interest (CNY)]]*Port[[#This Row],[CNY -&gt; FCY]]</f>
        <v>0</v>
      </c>
      <c r="Z671" s="507">
        <f>Port[[#This Row],[ECL_Drawn (CNY)]]*Port[[#This Row],[CNY -&gt; FCY]]</f>
        <v>239.77454637027665</v>
      </c>
      <c r="AA671" s="507">
        <f>Port[[#This Row],[ECL_Undrawn (CNY)]]*Port[[#This Row],[CNY -&gt; FCY]]</f>
        <v>0</v>
      </c>
      <c r="AB671" s="507">
        <f>Port[[#This Row],[ECL (CNY)]]*Port[[#This Row],[CNY -&gt; FCY]]</f>
        <v>239.77454637027665</v>
      </c>
      <c r="AC671" s="507">
        <f>Port[[#This Row],[ECL_Interest (CNY)]]*Port[[#This Row],[CNY -&gt; FCY]]</f>
        <v>0</v>
      </c>
      <c r="AD671" s="507">
        <f>Port[[#This Row],[EAD_Drawn (CNY)]]*Port[[#This Row],[CNY -&gt; THB]]</f>
        <v>289114.51392432</v>
      </c>
      <c r="AE671" s="507">
        <f>Port[[#This Row],[EAD_Undrawn (CNY)]]*Port[[#This Row],[CNY -&gt; THB]]</f>
        <v>0</v>
      </c>
      <c r="AF671" s="507">
        <f>Port[[#This Row],[EAD (CNY)]]*Port[[#This Row],[CNY -&gt; THB]]</f>
        <v>289114.51392432</v>
      </c>
      <c r="AG671" s="507">
        <f>Port[[#This Row],[EAD_Interest (CNY)]]*Port[[#This Row],[CNY -&gt; THB]]</f>
        <v>0</v>
      </c>
      <c r="AH671" s="507">
        <f>Port[[#This Row],[ECL_Drawn (CNY)]]*Port[[#This Row],[CNY -&gt; THB]]</f>
        <v>8024.0010435977574</v>
      </c>
      <c r="AI671" s="507">
        <f>Port[[#This Row],[ECL_Undrawn (CNY)]]*Port[[#This Row],[CNY -&gt; THB]]</f>
        <v>0</v>
      </c>
      <c r="AJ671" s="507">
        <f>Port[[#This Row],[ECL (CNY)]]*Port[[#This Row],[CNY -&gt; THB]]</f>
        <v>8024.0010435977574</v>
      </c>
      <c r="AK671" s="507">
        <f>Port[[#This Row],[ECL_Interest (CNY)]]*Port[[#This Row],[CNY -&gt; THB]]</f>
        <v>0</v>
      </c>
      <c r="AL671" s="507">
        <f>Port[[#This Row],[EAD (THB)]]*Port[[#This Row],[PD_avg]]</f>
        <v>3771.1806189542631</v>
      </c>
      <c r="AM671" s="507">
        <f>Port[[#This Row],[EAD_Interest (THB)]]*Port[[#This Row],[PD_avg]]</f>
        <v>0</v>
      </c>
      <c r="AN671" s="507">
        <f>Port[[#This Row],[EAD (THB)]]*Port[[#This Row],[LGD_avg]]</f>
        <v>615153.55424458324</v>
      </c>
      <c r="AO671" s="507">
        <f>Port[[#This Row],[EAD_Interest (THB)]]*Port[[#This Row],[LGD_avg]]</f>
        <v>0</v>
      </c>
      <c r="AP671" s="507">
        <f>Port[[#This Row],[EAD_Drawn (THB)]]+Port[[#This Row],[EAD_Interest (THB)]]</f>
        <v>289114.51392432</v>
      </c>
      <c r="AQ67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8024.0010435977574</v>
      </c>
      <c r="AR671" s="522">
        <f>MAX(Port[[#This Row],[ECL (THB)]]+Port[[#This Row],[ECL_Interest (THB)]], Port[[#This Row],[ECL CBIRC (THB)]])</f>
        <v>8024.0010435977574</v>
      </c>
    </row>
    <row r="672" spans="1:44">
      <c r="A672" s="2" t="s">
        <v>481</v>
      </c>
      <c r="B672" s="2" t="s">
        <v>382</v>
      </c>
      <c r="C672" s="2" t="s">
        <v>379</v>
      </c>
      <c r="D672" s="2" t="s">
        <v>30</v>
      </c>
      <c r="E672" s="2" t="s">
        <v>19</v>
      </c>
      <c r="F672" s="2" t="s">
        <v>380</v>
      </c>
      <c r="G672" s="2" t="s">
        <v>57</v>
      </c>
      <c r="H672">
        <v>1</v>
      </c>
      <c r="I672" s="2" t="s">
        <v>526</v>
      </c>
      <c r="J672" s="505">
        <v>1.3043899345507868E-2</v>
      </c>
      <c r="K672" s="505">
        <v>11.3791875</v>
      </c>
      <c r="L672" s="3">
        <v>0.15684552284455039</v>
      </c>
      <c r="M672" s="3">
        <v>5.2488000000000001</v>
      </c>
      <c r="N672" s="507">
        <v>21398.495999999999</v>
      </c>
      <c r="O672" s="507">
        <v>0</v>
      </c>
      <c r="P672" s="507">
        <v>21398.495999999999</v>
      </c>
      <c r="Q672" s="507">
        <v>0</v>
      </c>
      <c r="R672" s="507">
        <v>3176.1568574298713</v>
      </c>
      <c r="S672" s="507">
        <v>0</v>
      </c>
      <c r="T672" s="507">
        <v>3176.1568574298713</v>
      </c>
      <c r="U672" s="507">
        <v>0</v>
      </c>
      <c r="V672" s="507">
        <f>Port[[#This Row],[EAD_Drawn (CNY)]]*Port[[#This Row],[CNY -&gt; FCY]]</f>
        <v>3356.25829320702</v>
      </c>
      <c r="W672" s="507">
        <f>Port[[#This Row],[EAD_Undrawn (CNY)]]*Port[[#This Row],[CNY -&gt; FCY]]</f>
        <v>0</v>
      </c>
      <c r="X672" s="507">
        <f>Port[[#This Row],[EAD (CNY)]]*Port[[#This Row],[CNY -&gt; FCY]]</f>
        <v>3356.25829320702</v>
      </c>
      <c r="Y672" s="507">
        <f>Port[[#This Row],[EAD_Interest (CNY)]]*Port[[#This Row],[CNY -&gt; FCY]]</f>
        <v>0</v>
      </c>
      <c r="Z672" s="507">
        <f>Port[[#This Row],[ECL_Drawn (CNY)]]*Port[[#This Row],[CNY -&gt; FCY]]</f>
        <v>498.16598293989222</v>
      </c>
      <c r="AA672" s="507">
        <f>Port[[#This Row],[ECL_Undrawn (CNY)]]*Port[[#This Row],[CNY -&gt; FCY]]</f>
        <v>0</v>
      </c>
      <c r="AB672" s="507">
        <f>Port[[#This Row],[ECL (CNY)]]*Port[[#This Row],[CNY -&gt; FCY]]</f>
        <v>498.16598293989222</v>
      </c>
      <c r="AC672" s="507">
        <f>Port[[#This Row],[ECL_Interest (CNY)]]*Port[[#This Row],[CNY -&gt; FCY]]</f>
        <v>0</v>
      </c>
      <c r="AD672" s="507">
        <f>Port[[#This Row],[EAD_Drawn (CNY)]]*Port[[#This Row],[CNY -&gt; THB]]</f>
        <v>112316.4258048</v>
      </c>
      <c r="AE672" s="507">
        <f>Port[[#This Row],[EAD_Undrawn (CNY)]]*Port[[#This Row],[CNY -&gt; THB]]</f>
        <v>0</v>
      </c>
      <c r="AF672" s="507">
        <f>Port[[#This Row],[EAD (CNY)]]*Port[[#This Row],[CNY -&gt; THB]]</f>
        <v>112316.4258048</v>
      </c>
      <c r="AG672" s="507">
        <f>Port[[#This Row],[EAD_Interest (CNY)]]*Port[[#This Row],[CNY -&gt; THB]]</f>
        <v>0</v>
      </c>
      <c r="AH672" s="507">
        <f>Port[[#This Row],[ECL_Drawn (CNY)]]*Port[[#This Row],[CNY -&gt; THB]]</f>
        <v>16671.01211327791</v>
      </c>
      <c r="AI672" s="507">
        <f>Port[[#This Row],[ECL_Undrawn (CNY)]]*Port[[#This Row],[CNY -&gt; THB]]</f>
        <v>0</v>
      </c>
      <c r="AJ672" s="507">
        <f>Port[[#This Row],[ECL (CNY)]]*Port[[#This Row],[CNY -&gt; THB]]</f>
        <v>16671.01211327791</v>
      </c>
      <c r="AK672" s="507">
        <f>Port[[#This Row],[ECL_Interest (CNY)]]*Port[[#This Row],[CNY -&gt; THB]]</f>
        <v>0</v>
      </c>
      <c r="AL672" s="507">
        <f>Port[[#This Row],[EAD (THB)]]*Port[[#This Row],[PD_avg]]</f>
        <v>1465.0441530450139</v>
      </c>
      <c r="AM672" s="507">
        <f>Port[[#This Row],[EAD_Interest (THB)]]*Port[[#This Row],[PD_avg]]</f>
        <v>0</v>
      </c>
      <c r="AN672" s="507">
        <f>Port[[#This Row],[EAD (THB)]]*Port[[#This Row],[LGD_avg]]</f>
        <v>1278069.6685626577</v>
      </c>
      <c r="AO672" s="507">
        <f>Port[[#This Row],[EAD_Interest (THB)]]*Port[[#This Row],[LGD_avg]]</f>
        <v>0</v>
      </c>
      <c r="AP672" s="507">
        <f>Port[[#This Row],[EAD_Drawn (THB)]]+Port[[#This Row],[EAD_Interest (THB)]]</f>
        <v>112316.4258048</v>
      </c>
      <c r="AQ67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16671.01211327791</v>
      </c>
      <c r="AR672" s="522">
        <f>MAX(Port[[#This Row],[ECL (THB)]]+Port[[#This Row],[ECL_Interest (THB)]], Port[[#This Row],[ECL CBIRC (THB)]])</f>
        <v>16671.01211327791</v>
      </c>
    </row>
    <row r="673" spans="1:44">
      <c r="A673" s="2" t="s">
        <v>482</v>
      </c>
      <c r="B673" s="2" t="s">
        <v>382</v>
      </c>
      <c r="C673" s="2" t="s">
        <v>379</v>
      </c>
      <c r="D673" s="2" t="s">
        <v>30</v>
      </c>
      <c r="E673" s="2" t="s">
        <v>19</v>
      </c>
      <c r="F673" s="2" t="s">
        <v>380</v>
      </c>
      <c r="G673" s="2" t="s">
        <v>57</v>
      </c>
      <c r="H673">
        <v>1</v>
      </c>
      <c r="I673" s="2" t="s">
        <v>526</v>
      </c>
      <c r="J673" s="505">
        <v>1.3043899345507868E-2</v>
      </c>
      <c r="K673" s="505">
        <v>27.281263076042581</v>
      </c>
      <c r="L673" s="3">
        <v>0.15684552284455039</v>
      </c>
      <c r="M673" s="3">
        <v>5.2488000000000001</v>
      </c>
      <c r="N673" s="507">
        <v>46847.485286000003</v>
      </c>
      <c r="O673" s="507">
        <v>0</v>
      </c>
      <c r="P673" s="507">
        <v>46847.485286000003</v>
      </c>
      <c r="Q673" s="507">
        <v>0</v>
      </c>
      <c r="R673" s="507">
        <v>16670.867351766559</v>
      </c>
      <c r="S673" s="507">
        <v>0</v>
      </c>
      <c r="T673" s="507">
        <v>16670.867351766559</v>
      </c>
      <c r="U673" s="507">
        <v>0</v>
      </c>
      <c r="V673" s="507">
        <f>Port[[#This Row],[EAD_Drawn (CNY)]]*Port[[#This Row],[CNY -&gt; FCY]]</f>
        <v>7347.8183236350515</v>
      </c>
      <c r="W673" s="507">
        <f>Port[[#This Row],[EAD_Undrawn (CNY)]]*Port[[#This Row],[CNY -&gt; FCY]]</f>
        <v>0</v>
      </c>
      <c r="X673" s="507">
        <f>Port[[#This Row],[EAD (CNY)]]*Port[[#This Row],[CNY -&gt; FCY]]</f>
        <v>7347.8183236350515</v>
      </c>
      <c r="Y673" s="507">
        <f>Port[[#This Row],[EAD_Interest (CNY)]]*Port[[#This Row],[CNY -&gt; FCY]]</f>
        <v>0</v>
      </c>
      <c r="Z673" s="507">
        <f>Port[[#This Row],[ECL_Drawn (CNY)]]*Port[[#This Row],[CNY -&gt; FCY]]</f>
        <v>2614.7509060599709</v>
      </c>
      <c r="AA673" s="507">
        <f>Port[[#This Row],[ECL_Undrawn (CNY)]]*Port[[#This Row],[CNY -&gt; FCY]]</f>
        <v>0</v>
      </c>
      <c r="AB673" s="507">
        <f>Port[[#This Row],[ECL (CNY)]]*Port[[#This Row],[CNY -&gt; FCY]]</f>
        <v>2614.7509060599709</v>
      </c>
      <c r="AC673" s="507">
        <f>Port[[#This Row],[ECL_Interest (CNY)]]*Port[[#This Row],[CNY -&gt; FCY]]</f>
        <v>0</v>
      </c>
      <c r="AD673" s="507">
        <f>Port[[#This Row],[EAD_Drawn (CNY)]]*Port[[#This Row],[CNY -&gt; THB]]</f>
        <v>245893.08076915683</v>
      </c>
      <c r="AE673" s="507">
        <f>Port[[#This Row],[EAD_Undrawn (CNY)]]*Port[[#This Row],[CNY -&gt; THB]]</f>
        <v>0</v>
      </c>
      <c r="AF673" s="507">
        <f>Port[[#This Row],[EAD (CNY)]]*Port[[#This Row],[CNY -&gt; THB]]</f>
        <v>245893.08076915683</v>
      </c>
      <c r="AG673" s="507">
        <f>Port[[#This Row],[EAD_Interest (CNY)]]*Port[[#This Row],[CNY -&gt; THB]]</f>
        <v>0</v>
      </c>
      <c r="AH673" s="507">
        <f>Port[[#This Row],[ECL_Drawn (CNY)]]*Port[[#This Row],[CNY -&gt; THB]]</f>
        <v>87502.048555952322</v>
      </c>
      <c r="AI673" s="507">
        <f>Port[[#This Row],[ECL_Undrawn (CNY)]]*Port[[#This Row],[CNY -&gt; THB]]</f>
        <v>0</v>
      </c>
      <c r="AJ673" s="507">
        <f>Port[[#This Row],[ECL (CNY)]]*Port[[#This Row],[CNY -&gt; THB]]</f>
        <v>87502.048555952322</v>
      </c>
      <c r="AK673" s="507">
        <f>Port[[#This Row],[ECL_Interest (CNY)]]*Port[[#This Row],[CNY -&gt; THB]]</f>
        <v>0</v>
      </c>
      <c r="AL673" s="507">
        <f>Port[[#This Row],[EAD (THB)]]*Port[[#This Row],[PD_avg]]</f>
        <v>3207.4045953097184</v>
      </c>
      <c r="AM673" s="507">
        <f>Port[[#This Row],[EAD_Interest (THB)]]*Port[[#This Row],[PD_avg]]</f>
        <v>0</v>
      </c>
      <c r="AN673" s="507">
        <f>Port[[#This Row],[EAD (THB)]]*Port[[#This Row],[LGD_avg]]</f>
        <v>6708273.8250419544</v>
      </c>
      <c r="AO673" s="507">
        <f>Port[[#This Row],[EAD_Interest (THB)]]*Port[[#This Row],[LGD_avg]]</f>
        <v>0</v>
      </c>
      <c r="AP673" s="507">
        <f>Port[[#This Row],[EAD_Drawn (THB)]]+Port[[#This Row],[EAD_Interest (THB)]]</f>
        <v>245893.08076915683</v>
      </c>
      <c r="AQ67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87502.048555952322</v>
      </c>
      <c r="AR673" s="522">
        <f>MAX(Port[[#This Row],[ECL (THB)]]+Port[[#This Row],[ECL_Interest (THB)]], Port[[#This Row],[ECL CBIRC (THB)]])</f>
        <v>87502.048555952322</v>
      </c>
    </row>
    <row r="674" spans="1:44">
      <c r="A674" s="2" t="s">
        <v>483</v>
      </c>
      <c r="B674" s="2" t="s">
        <v>382</v>
      </c>
      <c r="C674" s="2" t="s">
        <v>379</v>
      </c>
      <c r="D674" s="2" t="s">
        <v>30</v>
      </c>
      <c r="E674" s="2" t="s">
        <v>19</v>
      </c>
      <c r="F674" s="2" t="s">
        <v>380</v>
      </c>
      <c r="G674" s="2" t="s">
        <v>57</v>
      </c>
      <c r="H674">
        <v>1</v>
      </c>
      <c r="I674" s="2" t="s">
        <v>526</v>
      </c>
      <c r="J674" s="505">
        <v>1.3043899345507868E-2</v>
      </c>
      <c r="K674" s="505">
        <v>1.405603022974607</v>
      </c>
      <c r="L674" s="3">
        <v>0.15684552284455039</v>
      </c>
      <c r="M674" s="3">
        <v>5.2488000000000001</v>
      </c>
      <c r="N674" s="507">
        <v>105336.644</v>
      </c>
      <c r="O674" s="507">
        <v>0</v>
      </c>
      <c r="P674" s="507">
        <v>105336.644</v>
      </c>
      <c r="Q674" s="507">
        <v>0</v>
      </c>
      <c r="R674" s="507">
        <v>1931.2993712479879</v>
      </c>
      <c r="S674" s="507">
        <v>0</v>
      </c>
      <c r="T674" s="507">
        <v>1931.2993712479879</v>
      </c>
      <c r="U674" s="507">
        <v>0</v>
      </c>
      <c r="V674" s="507">
        <f>Port[[#This Row],[EAD_Drawn (CNY)]]*Port[[#This Row],[CNY -&gt; FCY]]</f>
        <v>16521.581002870273</v>
      </c>
      <c r="W674" s="507">
        <f>Port[[#This Row],[EAD_Undrawn (CNY)]]*Port[[#This Row],[CNY -&gt; FCY]]</f>
        <v>0</v>
      </c>
      <c r="X674" s="507">
        <f>Port[[#This Row],[EAD (CNY)]]*Port[[#This Row],[CNY -&gt; FCY]]</f>
        <v>16521.581002870273</v>
      </c>
      <c r="Y674" s="507">
        <f>Port[[#This Row],[EAD_Interest (CNY)]]*Port[[#This Row],[CNY -&gt; FCY]]</f>
        <v>0</v>
      </c>
      <c r="Z674" s="507">
        <f>Port[[#This Row],[ECL_Drawn (CNY)]]*Port[[#This Row],[CNY -&gt; FCY]]</f>
        <v>302.91565965274208</v>
      </c>
      <c r="AA674" s="507">
        <f>Port[[#This Row],[ECL_Undrawn (CNY)]]*Port[[#This Row],[CNY -&gt; FCY]]</f>
        <v>0</v>
      </c>
      <c r="AB674" s="507">
        <f>Port[[#This Row],[ECL (CNY)]]*Port[[#This Row],[CNY -&gt; FCY]]</f>
        <v>302.91565965274208</v>
      </c>
      <c r="AC674" s="507">
        <f>Port[[#This Row],[ECL_Interest (CNY)]]*Port[[#This Row],[CNY -&gt; FCY]]</f>
        <v>0</v>
      </c>
      <c r="AD674" s="507">
        <f>Port[[#This Row],[EAD_Drawn (CNY)]]*Port[[#This Row],[CNY -&gt; THB]]</f>
        <v>552890.97702720005</v>
      </c>
      <c r="AE674" s="507">
        <f>Port[[#This Row],[EAD_Undrawn (CNY)]]*Port[[#This Row],[CNY -&gt; THB]]</f>
        <v>0</v>
      </c>
      <c r="AF674" s="507">
        <f>Port[[#This Row],[EAD (CNY)]]*Port[[#This Row],[CNY -&gt; THB]]</f>
        <v>552890.97702720005</v>
      </c>
      <c r="AG674" s="507">
        <f>Port[[#This Row],[EAD_Interest (CNY)]]*Port[[#This Row],[CNY -&gt; THB]]</f>
        <v>0</v>
      </c>
      <c r="AH674" s="507">
        <f>Port[[#This Row],[ECL_Drawn (CNY)]]*Port[[#This Row],[CNY -&gt; THB]]</f>
        <v>10137.004139806439</v>
      </c>
      <c r="AI674" s="507">
        <f>Port[[#This Row],[ECL_Undrawn (CNY)]]*Port[[#This Row],[CNY -&gt; THB]]</f>
        <v>0</v>
      </c>
      <c r="AJ674" s="507">
        <f>Port[[#This Row],[ECL (CNY)]]*Port[[#This Row],[CNY -&gt; THB]]</f>
        <v>10137.004139806439</v>
      </c>
      <c r="AK674" s="507">
        <f>Port[[#This Row],[ECL_Interest (CNY)]]*Port[[#This Row],[CNY -&gt; THB]]</f>
        <v>0</v>
      </c>
      <c r="AL674" s="507">
        <f>Port[[#This Row],[EAD (THB)]]*Port[[#This Row],[PD_avg]]</f>
        <v>7211.8542533823002</v>
      </c>
      <c r="AM674" s="507">
        <f>Port[[#This Row],[EAD_Interest (THB)]]*Port[[#This Row],[PD_avg]]</f>
        <v>0</v>
      </c>
      <c r="AN674" s="507">
        <f>Port[[#This Row],[EAD (THB)]]*Port[[#This Row],[LGD_avg]]</f>
        <v>777145.22868481639</v>
      </c>
      <c r="AO674" s="507">
        <f>Port[[#This Row],[EAD_Interest (THB)]]*Port[[#This Row],[LGD_avg]]</f>
        <v>0</v>
      </c>
      <c r="AP674" s="507">
        <f>Port[[#This Row],[EAD_Drawn (THB)]]+Port[[#This Row],[EAD_Interest (THB)]]</f>
        <v>552890.97702720005</v>
      </c>
      <c r="AQ67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10137.004139806439</v>
      </c>
      <c r="AR674" s="522">
        <f>MAX(Port[[#This Row],[ECL (THB)]]+Port[[#This Row],[ECL_Interest (THB)]], Port[[#This Row],[ECL CBIRC (THB)]])</f>
        <v>10137.004139806439</v>
      </c>
    </row>
    <row r="675" spans="1:44">
      <c r="A675" s="2" t="s">
        <v>484</v>
      </c>
      <c r="B675" s="2" t="s">
        <v>382</v>
      </c>
      <c r="C675" s="2" t="s">
        <v>379</v>
      </c>
      <c r="D675" s="2" t="s">
        <v>30</v>
      </c>
      <c r="E675" s="2" t="s">
        <v>19</v>
      </c>
      <c r="F675" s="2" t="s">
        <v>380</v>
      </c>
      <c r="G675" s="2" t="s">
        <v>57</v>
      </c>
      <c r="H675">
        <v>1</v>
      </c>
      <c r="I675" s="2" t="s">
        <v>526</v>
      </c>
      <c r="J675" s="505">
        <v>1.3043899345507868E-2</v>
      </c>
      <c r="K675" s="505">
        <v>0.41472571532713687</v>
      </c>
      <c r="L675" s="3">
        <v>0.15684552284455039</v>
      </c>
      <c r="M675" s="3">
        <v>5.2488000000000001</v>
      </c>
      <c r="N675" s="507">
        <v>157250.28690000001</v>
      </c>
      <c r="O675" s="507">
        <v>0</v>
      </c>
      <c r="P675" s="507">
        <v>157250.28690000001</v>
      </c>
      <c r="Q675" s="507">
        <v>0</v>
      </c>
      <c r="R675" s="507">
        <v>850.66751856272094</v>
      </c>
      <c r="S675" s="507">
        <v>0</v>
      </c>
      <c r="T675" s="507">
        <v>850.66751856272094</v>
      </c>
      <c r="U675" s="507">
        <v>0</v>
      </c>
      <c r="V675" s="507">
        <f>Port[[#This Row],[EAD_Drawn (CNY)]]*Port[[#This Row],[CNY -&gt; FCY]]</f>
        <v>24664.003466286053</v>
      </c>
      <c r="W675" s="507">
        <f>Port[[#This Row],[EAD_Undrawn (CNY)]]*Port[[#This Row],[CNY -&gt; FCY]]</f>
        <v>0</v>
      </c>
      <c r="X675" s="507">
        <f>Port[[#This Row],[EAD (CNY)]]*Port[[#This Row],[CNY -&gt; FCY]]</f>
        <v>24664.003466286053</v>
      </c>
      <c r="Y675" s="507">
        <f>Port[[#This Row],[EAD_Interest (CNY)]]*Port[[#This Row],[CNY -&gt; FCY]]</f>
        <v>0</v>
      </c>
      <c r="Z675" s="507">
        <f>Port[[#This Row],[ECL_Drawn (CNY)]]*Port[[#This Row],[CNY -&gt; FCY]]</f>
        <v>133.42339171584624</v>
      </c>
      <c r="AA675" s="507">
        <f>Port[[#This Row],[ECL_Undrawn (CNY)]]*Port[[#This Row],[CNY -&gt; FCY]]</f>
        <v>0</v>
      </c>
      <c r="AB675" s="507">
        <f>Port[[#This Row],[ECL (CNY)]]*Port[[#This Row],[CNY -&gt; FCY]]</f>
        <v>133.42339171584624</v>
      </c>
      <c r="AC675" s="507">
        <f>Port[[#This Row],[ECL_Interest (CNY)]]*Port[[#This Row],[CNY -&gt; FCY]]</f>
        <v>0</v>
      </c>
      <c r="AD675" s="507">
        <f>Port[[#This Row],[EAD_Drawn (CNY)]]*Port[[#This Row],[CNY -&gt; THB]]</f>
        <v>825375.30588072003</v>
      </c>
      <c r="AE675" s="507">
        <f>Port[[#This Row],[EAD_Undrawn (CNY)]]*Port[[#This Row],[CNY -&gt; THB]]</f>
        <v>0</v>
      </c>
      <c r="AF675" s="507">
        <f>Port[[#This Row],[EAD (CNY)]]*Port[[#This Row],[CNY -&gt; THB]]</f>
        <v>825375.30588072003</v>
      </c>
      <c r="AG675" s="507">
        <f>Port[[#This Row],[EAD_Interest (CNY)]]*Port[[#This Row],[CNY -&gt; THB]]</f>
        <v>0</v>
      </c>
      <c r="AH675" s="507">
        <f>Port[[#This Row],[ECL_Drawn (CNY)]]*Port[[#This Row],[CNY -&gt; THB]]</f>
        <v>4464.9836714320099</v>
      </c>
      <c r="AI675" s="507">
        <f>Port[[#This Row],[ECL_Undrawn (CNY)]]*Port[[#This Row],[CNY -&gt; THB]]</f>
        <v>0</v>
      </c>
      <c r="AJ675" s="507">
        <f>Port[[#This Row],[ECL (CNY)]]*Port[[#This Row],[CNY -&gt; THB]]</f>
        <v>4464.9836714320099</v>
      </c>
      <c r="AK675" s="507">
        <f>Port[[#This Row],[ECL_Interest (CNY)]]*Port[[#This Row],[CNY -&gt; THB]]</f>
        <v>0</v>
      </c>
      <c r="AL675" s="507">
        <f>Port[[#This Row],[EAD (THB)]]*Port[[#This Row],[PD_avg]]</f>
        <v>10766.11241217588</v>
      </c>
      <c r="AM675" s="507">
        <f>Port[[#This Row],[EAD_Interest (THB)]]*Port[[#This Row],[PD_avg]]</f>
        <v>0</v>
      </c>
      <c r="AN675" s="507">
        <f>Port[[#This Row],[EAD (THB)]]*Port[[#This Row],[LGD_avg]]</f>
        <v>342304.36414473603</v>
      </c>
      <c r="AO675" s="507">
        <f>Port[[#This Row],[EAD_Interest (THB)]]*Port[[#This Row],[LGD_avg]]</f>
        <v>0</v>
      </c>
      <c r="AP675" s="507">
        <f>Port[[#This Row],[EAD_Drawn (THB)]]+Port[[#This Row],[EAD_Interest (THB)]]</f>
        <v>825375.30588072003</v>
      </c>
      <c r="AQ67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4464.9836714320099</v>
      </c>
      <c r="AR675" s="522">
        <f>MAX(Port[[#This Row],[ECL (THB)]]+Port[[#This Row],[ECL_Interest (THB)]], Port[[#This Row],[ECL CBIRC (THB)]])</f>
        <v>4464.9836714320099</v>
      </c>
    </row>
    <row r="676" spans="1:44">
      <c r="A676" s="2" t="s">
        <v>485</v>
      </c>
      <c r="B676" s="2" t="s">
        <v>382</v>
      </c>
      <c r="C676" s="2" t="s">
        <v>379</v>
      </c>
      <c r="D676" s="2" t="s">
        <v>30</v>
      </c>
      <c r="E676" s="2" t="s">
        <v>19</v>
      </c>
      <c r="F676" s="2" t="s">
        <v>380</v>
      </c>
      <c r="G676" s="2" t="s">
        <v>57</v>
      </c>
      <c r="H676">
        <v>1</v>
      </c>
      <c r="I676" s="2" t="s">
        <v>526</v>
      </c>
      <c r="J676" s="505">
        <v>1.3043899345507868E-2</v>
      </c>
      <c r="K676" s="505">
        <v>1.7980976432761565E-2</v>
      </c>
      <c r="L676" s="3">
        <v>0.15684552284455039</v>
      </c>
      <c r="M676" s="3">
        <v>5.2488000000000001</v>
      </c>
      <c r="N676" s="507">
        <v>3891911.0700959996</v>
      </c>
      <c r="O676" s="507">
        <v>0</v>
      </c>
      <c r="P676" s="507">
        <v>3891911.0700959996</v>
      </c>
      <c r="Q676" s="507">
        <v>0</v>
      </c>
      <c r="R676" s="507">
        <v>912.81678804379249</v>
      </c>
      <c r="S676" s="507">
        <v>0</v>
      </c>
      <c r="T676" s="507">
        <v>912.81678804379249</v>
      </c>
      <c r="U676" s="507">
        <v>0</v>
      </c>
      <c r="V676" s="507">
        <f>Port[[#This Row],[EAD_Drawn (CNY)]]*Port[[#This Row],[CNY -&gt; FCY]]</f>
        <v>610428.82665370067</v>
      </c>
      <c r="W676" s="507">
        <f>Port[[#This Row],[EAD_Undrawn (CNY)]]*Port[[#This Row],[CNY -&gt; FCY]]</f>
        <v>0</v>
      </c>
      <c r="X676" s="507">
        <f>Port[[#This Row],[EAD (CNY)]]*Port[[#This Row],[CNY -&gt; FCY]]</f>
        <v>610428.82665370067</v>
      </c>
      <c r="Y676" s="507">
        <f>Port[[#This Row],[EAD_Interest (CNY)]]*Port[[#This Row],[CNY -&gt; FCY]]</f>
        <v>0</v>
      </c>
      <c r="Z676" s="507">
        <f>Port[[#This Row],[ECL_Drawn (CNY)]]*Port[[#This Row],[CNY -&gt; FCY]]</f>
        <v>143.17122638201175</v>
      </c>
      <c r="AA676" s="507">
        <f>Port[[#This Row],[ECL_Undrawn (CNY)]]*Port[[#This Row],[CNY -&gt; FCY]]</f>
        <v>0</v>
      </c>
      <c r="AB676" s="507">
        <f>Port[[#This Row],[ECL (CNY)]]*Port[[#This Row],[CNY -&gt; FCY]]</f>
        <v>143.17122638201175</v>
      </c>
      <c r="AC676" s="507">
        <f>Port[[#This Row],[ECL_Interest (CNY)]]*Port[[#This Row],[CNY -&gt; FCY]]</f>
        <v>0</v>
      </c>
      <c r="AD676" s="507">
        <f>Port[[#This Row],[EAD_Drawn (CNY)]]*Port[[#This Row],[CNY -&gt; THB]]</f>
        <v>20427862.824719884</v>
      </c>
      <c r="AE676" s="507">
        <f>Port[[#This Row],[EAD_Undrawn (CNY)]]*Port[[#This Row],[CNY -&gt; THB]]</f>
        <v>0</v>
      </c>
      <c r="AF676" s="507">
        <f>Port[[#This Row],[EAD (CNY)]]*Port[[#This Row],[CNY -&gt; THB]]</f>
        <v>20427862.824719884</v>
      </c>
      <c r="AG676" s="507">
        <f>Port[[#This Row],[EAD_Interest (CNY)]]*Port[[#This Row],[CNY -&gt; THB]]</f>
        <v>0</v>
      </c>
      <c r="AH676" s="507">
        <f>Port[[#This Row],[ECL_Drawn (CNY)]]*Port[[#This Row],[CNY -&gt; THB]]</f>
        <v>4791.1927570842581</v>
      </c>
      <c r="AI676" s="507">
        <f>Port[[#This Row],[ECL_Undrawn (CNY)]]*Port[[#This Row],[CNY -&gt; THB]]</f>
        <v>0</v>
      </c>
      <c r="AJ676" s="507">
        <f>Port[[#This Row],[ECL (CNY)]]*Port[[#This Row],[CNY -&gt; THB]]</f>
        <v>4791.1927570842581</v>
      </c>
      <c r="AK676" s="507">
        <f>Port[[#This Row],[ECL_Interest (CNY)]]*Port[[#This Row],[CNY -&gt; THB]]</f>
        <v>0</v>
      </c>
      <c r="AL676" s="507">
        <f>Port[[#This Row],[EAD (THB)]]*Port[[#This Row],[PD_avg]]</f>
        <v>266458.98652948817</v>
      </c>
      <c r="AM676" s="507">
        <f>Port[[#This Row],[EAD_Interest (THB)]]*Port[[#This Row],[PD_avg]]</f>
        <v>0</v>
      </c>
      <c r="AN676" s="507">
        <f>Port[[#This Row],[EAD (THB)]]*Port[[#This Row],[LGD_avg]]</f>
        <v>367312.92002297431</v>
      </c>
      <c r="AO676" s="507">
        <f>Port[[#This Row],[EAD_Interest (THB)]]*Port[[#This Row],[LGD_avg]]</f>
        <v>0</v>
      </c>
      <c r="AP676" s="507">
        <f>Port[[#This Row],[EAD_Drawn (THB)]]+Port[[#This Row],[EAD_Interest (THB)]]</f>
        <v>20427862.824719884</v>
      </c>
      <c r="AQ67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4791.1927570842581</v>
      </c>
      <c r="AR676" s="522">
        <f>MAX(Port[[#This Row],[ECL (THB)]]+Port[[#This Row],[ECL_Interest (THB)]], Port[[#This Row],[ECL CBIRC (THB)]])</f>
        <v>4791.1927570842581</v>
      </c>
    </row>
    <row r="677" spans="1:44">
      <c r="A677" s="2" t="s">
        <v>486</v>
      </c>
      <c r="B677" s="2" t="s">
        <v>382</v>
      </c>
      <c r="C677" s="2" t="s">
        <v>379</v>
      </c>
      <c r="D677" s="2" t="s">
        <v>30</v>
      </c>
      <c r="E677" s="2" t="s">
        <v>19</v>
      </c>
      <c r="F677" s="2" t="s">
        <v>380</v>
      </c>
      <c r="G677" s="2" t="s">
        <v>57</v>
      </c>
      <c r="H677">
        <v>1</v>
      </c>
      <c r="I677" s="2" t="s">
        <v>526</v>
      </c>
      <c r="J677" s="505">
        <v>1.3043899345507868E-2</v>
      </c>
      <c r="K677" s="505">
        <v>0.5454001594734732</v>
      </c>
      <c r="L677" s="3">
        <v>0.15684552284455039</v>
      </c>
      <c r="M677" s="3">
        <v>5.2488000000000001</v>
      </c>
      <c r="N677" s="507">
        <v>260217.55695599999</v>
      </c>
      <c r="O677" s="507">
        <v>0</v>
      </c>
      <c r="P677" s="507">
        <v>260217.55695599999</v>
      </c>
      <c r="Q677" s="507">
        <v>0</v>
      </c>
      <c r="R677" s="507">
        <v>1851.2253753145155</v>
      </c>
      <c r="S677" s="507">
        <v>0</v>
      </c>
      <c r="T677" s="507">
        <v>1851.2253753145155</v>
      </c>
      <c r="U677" s="507">
        <v>0</v>
      </c>
      <c r="V677" s="507">
        <f>Port[[#This Row],[EAD_Drawn (CNY)]]*Port[[#This Row],[CNY -&gt; FCY]]</f>
        <v>40813.958774095387</v>
      </c>
      <c r="W677" s="507">
        <f>Port[[#This Row],[EAD_Undrawn (CNY)]]*Port[[#This Row],[CNY -&gt; FCY]]</f>
        <v>0</v>
      </c>
      <c r="X677" s="507">
        <f>Port[[#This Row],[EAD (CNY)]]*Port[[#This Row],[CNY -&gt; FCY]]</f>
        <v>40813.958774095387</v>
      </c>
      <c r="Y677" s="507">
        <f>Port[[#This Row],[EAD_Interest (CNY)]]*Port[[#This Row],[CNY -&gt; FCY]]</f>
        <v>0</v>
      </c>
      <c r="Z677" s="507">
        <f>Port[[#This Row],[ECL_Drawn (CNY)]]*Port[[#This Row],[CNY -&gt; FCY]]</f>
        <v>290.35641189430419</v>
      </c>
      <c r="AA677" s="507">
        <f>Port[[#This Row],[ECL_Undrawn (CNY)]]*Port[[#This Row],[CNY -&gt; FCY]]</f>
        <v>0</v>
      </c>
      <c r="AB677" s="507">
        <f>Port[[#This Row],[ECL (CNY)]]*Port[[#This Row],[CNY -&gt; FCY]]</f>
        <v>290.35641189430419</v>
      </c>
      <c r="AC677" s="507">
        <f>Port[[#This Row],[ECL_Interest (CNY)]]*Port[[#This Row],[CNY -&gt; FCY]]</f>
        <v>0</v>
      </c>
      <c r="AD677" s="507">
        <f>Port[[#This Row],[EAD_Drawn (CNY)]]*Port[[#This Row],[CNY -&gt; THB]]</f>
        <v>1365829.9129506527</v>
      </c>
      <c r="AE677" s="507">
        <f>Port[[#This Row],[EAD_Undrawn (CNY)]]*Port[[#This Row],[CNY -&gt; THB]]</f>
        <v>0</v>
      </c>
      <c r="AF677" s="507">
        <f>Port[[#This Row],[EAD (CNY)]]*Port[[#This Row],[CNY -&gt; THB]]</f>
        <v>1365829.9129506527</v>
      </c>
      <c r="AG677" s="507">
        <f>Port[[#This Row],[EAD_Interest (CNY)]]*Port[[#This Row],[CNY -&gt; THB]]</f>
        <v>0</v>
      </c>
      <c r="AH677" s="507">
        <f>Port[[#This Row],[ECL_Drawn (CNY)]]*Port[[#This Row],[CNY -&gt; THB]]</f>
        <v>9716.7117499508295</v>
      </c>
      <c r="AI677" s="507">
        <f>Port[[#This Row],[ECL_Undrawn (CNY)]]*Port[[#This Row],[CNY -&gt; THB]]</f>
        <v>0</v>
      </c>
      <c r="AJ677" s="507">
        <f>Port[[#This Row],[ECL (CNY)]]*Port[[#This Row],[CNY -&gt; THB]]</f>
        <v>9716.7117499508295</v>
      </c>
      <c r="AK677" s="507">
        <f>Port[[#This Row],[ECL_Interest (CNY)]]*Port[[#This Row],[CNY -&gt; THB]]</f>
        <v>0</v>
      </c>
      <c r="AL677" s="507">
        <f>Port[[#This Row],[EAD (THB)]]*Port[[#This Row],[PD_avg]]</f>
        <v>17815.747907612087</v>
      </c>
      <c r="AM677" s="507">
        <f>Port[[#This Row],[EAD_Interest (THB)]]*Port[[#This Row],[PD_avg]]</f>
        <v>0</v>
      </c>
      <c r="AN677" s="507">
        <f>Port[[#This Row],[EAD (THB)]]*Port[[#This Row],[LGD_avg]]</f>
        <v>744923.85233692592</v>
      </c>
      <c r="AO677" s="507">
        <f>Port[[#This Row],[EAD_Interest (THB)]]*Port[[#This Row],[LGD_avg]]</f>
        <v>0</v>
      </c>
      <c r="AP677" s="507">
        <f>Port[[#This Row],[EAD_Drawn (THB)]]+Port[[#This Row],[EAD_Interest (THB)]]</f>
        <v>1365829.9129506527</v>
      </c>
      <c r="AQ67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9716.7117499508295</v>
      </c>
      <c r="AR677" s="522">
        <f>MAX(Port[[#This Row],[ECL (THB)]]+Port[[#This Row],[ECL_Interest (THB)]], Port[[#This Row],[ECL CBIRC (THB)]])</f>
        <v>9716.7117499508295</v>
      </c>
    </row>
    <row r="678" spans="1:44">
      <c r="A678" s="2" t="s">
        <v>487</v>
      </c>
      <c r="B678" s="2" t="s">
        <v>382</v>
      </c>
      <c r="C678" s="2" t="s">
        <v>379</v>
      </c>
      <c r="D678" s="2" t="s">
        <v>30</v>
      </c>
      <c r="E678" s="2" t="s">
        <v>19</v>
      </c>
      <c r="F678" s="2" t="s">
        <v>380</v>
      </c>
      <c r="G678" s="2" t="s">
        <v>57</v>
      </c>
      <c r="H678">
        <v>1</v>
      </c>
      <c r="I678" s="2" t="s">
        <v>526</v>
      </c>
      <c r="J678" s="505">
        <v>1.3043899345507868E-2</v>
      </c>
      <c r="K678" s="505">
        <v>2.9209993957683431</v>
      </c>
      <c r="L678" s="3">
        <v>0.15684552284455039</v>
      </c>
      <c r="M678" s="3">
        <v>5.2488000000000001</v>
      </c>
      <c r="N678" s="507">
        <v>225345.14130799999</v>
      </c>
      <c r="O678" s="507">
        <v>0</v>
      </c>
      <c r="P678" s="507">
        <v>225345.14130799999</v>
      </c>
      <c r="Q678" s="507">
        <v>0</v>
      </c>
      <c r="R678" s="507">
        <v>8585.9252796399051</v>
      </c>
      <c r="S678" s="507">
        <v>0</v>
      </c>
      <c r="T678" s="507">
        <v>8585.9252796399051</v>
      </c>
      <c r="U678" s="507">
        <v>0</v>
      </c>
      <c r="V678" s="507">
        <f>Port[[#This Row],[EAD_Drawn (CNY)]]*Port[[#This Row],[CNY -&gt; FCY]]</f>
        <v>35344.37650893235</v>
      </c>
      <c r="W678" s="507">
        <f>Port[[#This Row],[EAD_Undrawn (CNY)]]*Port[[#This Row],[CNY -&gt; FCY]]</f>
        <v>0</v>
      </c>
      <c r="X678" s="507">
        <f>Port[[#This Row],[EAD (CNY)]]*Port[[#This Row],[CNY -&gt; FCY]]</f>
        <v>35344.37650893235</v>
      </c>
      <c r="Y678" s="507">
        <f>Port[[#This Row],[EAD_Interest (CNY)]]*Port[[#This Row],[CNY -&gt; FCY]]</f>
        <v>0</v>
      </c>
      <c r="Z678" s="507">
        <f>Port[[#This Row],[ECL_Drawn (CNY)]]*Port[[#This Row],[CNY -&gt; FCY]]</f>
        <v>1346.6639395893635</v>
      </c>
      <c r="AA678" s="507">
        <f>Port[[#This Row],[ECL_Undrawn (CNY)]]*Port[[#This Row],[CNY -&gt; FCY]]</f>
        <v>0</v>
      </c>
      <c r="AB678" s="507">
        <f>Port[[#This Row],[ECL (CNY)]]*Port[[#This Row],[CNY -&gt; FCY]]</f>
        <v>1346.6639395893635</v>
      </c>
      <c r="AC678" s="507">
        <f>Port[[#This Row],[ECL_Interest (CNY)]]*Port[[#This Row],[CNY -&gt; FCY]]</f>
        <v>0</v>
      </c>
      <c r="AD678" s="507">
        <f>Port[[#This Row],[EAD_Drawn (CNY)]]*Port[[#This Row],[CNY -&gt; THB]]</f>
        <v>1182791.5776974303</v>
      </c>
      <c r="AE678" s="507">
        <f>Port[[#This Row],[EAD_Undrawn (CNY)]]*Port[[#This Row],[CNY -&gt; THB]]</f>
        <v>0</v>
      </c>
      <c r="AF678" s="507">
        <f>Port[[#This Row],[EAD (CNY)]]*Port[[#This Row],[CNY -&gt; THB]]</f>
        <v>1182791.5776974303</v>
      </c>
      <c r="AG678" s="507">
        <f>Port[[#This Row],[EAD_Interest (CNY)]]*Port[[#This Row],[CNY -&gt; THB]]</f>
        <v>0</v>
      </c>
      <c r="AH678" s="507">
        <f>Port[[#This Row],[ECL_Drawn (CNY)]]*Port[[#This Row],[CNY -&gt; THB]]</f>
        <v>45065.804607773935</v>
      </c>
      <c r="AI678" s="507">
        <f>Port[[#This Row],[ECL_Undrawn (CNY)]]*Port[[#This Row],[CNY -&gt; THB]]</f>
        <v>0</v>
      </c>
      <c r="AJ678" s="507">
        <f>Port[[#This Row],[ECL (CNY)]]*Port[[#This Row],[CNY -&gt; THB]]</f>
        <v>45065.804607773935</v>
      </c>
      <c r="AK678" s="507">
        <f>Port[[#This Row],[ECL_Interest (CNY)]]*Port[[#This Row],[CNY -&gt; THB]]</f>
        <v>0</v>
      </c>
      <c r="AL678" s="507">
        <f>Port[[#This Row],[EAD (THB)]]*Port[[#This Row],[PD_avg]]</f>
        <v>15428.214286199729</v>
      </c>
      <c r="AM678" s="507">
        <f>Port[[#This Row],[EAD_Interest (THB)]]*Port[[#This Row],[PD_avg]]</f>
        <v>0</v>
      </c>
      <c r="AN678" s="507">
        <f>Port[[#This Row],[EAD (THB)]]*Port[[#This Row],[LGD_avg]]</f>
        <v>3454933.483774079</v>
      </c>
      <c r="AO678" s="507">
        <f>Port[[#This Row],[EAD_Interest (THB)]]*Port[[#This Row],[LGD_avg]]</f>
        <v>0</v>
      </c>
      <c r="AP678" s="507">
        <f>Port[[#This Row],[EAD_Drawn (THB)]]+Port[[#This Row],[EAD_Interest (THB)]]</f>
        <v>1182791.5776974303</v>
      </c>
      <c r="AQ67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45065.804607773935</v>
      </c>
      <c r="AR678" s="522">
        <f>MAX(Port[[#This Row],[ECL (THB)]]+Port[[#This Row],[ECL_Interest (THB)]], Port[[#This Row],[ECL CBIRC (THB)]])</f>
        <v>45065.804607773935</v>
      </c>
    </row>
    <row r="679" spans="1:44">
      <c r="A679" s="2" t="s">
        <v>488</v>
      </c>
      <c r="B679" s="2" t="s">
        <v>382</v>
      </c>
      <c r="C679" s="2" t="s">
        <v>379</v>
      </c>
      <c r="D679" s="2" t="s">
        <v>30</v>
      </c>
      <c r="E679" s="2" t="s">
        <v>19</v>
      </c>
      <c r="F679" s="2" t="s">
        <v>380</v>
      </c>
      <c r="G679" s="2" t="s">
        <v>57</v>
      </c>
      <c r="H679">
        <v>1</v>
      </c>
      <c r="I679" s="2" t="s">
        <v>526</v>
      </c>
      <c r="J679" s="505">
        <v>1.3043899345507868E-2</v>
      </c>
      <c r="K679" s="505">
        <v>19.815370658139386</v>
      </c>
      <c r="L679" s="3">
        <v>0.15684552284455039</v>
      </c>
      <c r="M679" s="3">
        <v>5.2488000000000001</v>
      </c>
      <c r="N679" s="507">
        <v>21270.296081999997</v>
      </c>
      <c r="O679" s="507">
        <v>0</v>
      </c>
      <c r="P679" s="507">
        <v>21270.296081999997</v>
      </c>
      <c r="Q679" s="507">
        <v>0</v>
      </c>
      <c r="R679" s="507">
        <v>5497.7270548553734</v>
      </c>
      <c r="S679" s="507">
        <v>0</v>
      </c>
      <c r="T679" s="507">
        <v>5497.7270548553734</v>
      </c>
      <c r="U679" s="507">
        <v>0</v>
      </c>
      <c r="V679" s="507">
        <f>Port[[#This Row],[EAD_Drawn (CNY)]]*Port[[#This Row],[CNY -&gt; FCY]]</f>
        <v>3336.1507100396811</v>
      </c>
      <c r="W679" s="507">
        <f>Port[[#This Row],[EAD_Undrawn (CNY)]]*Port[[#This Row],[CNY -&gt; FCY]]</f>
        <v>0</v>
      </c>
      <c r="X679" s="507">
        <f>Port[[#This Row],[EAD (CNY)]]*Port[[#This Row],[CNY -&gt; FCY]]</f>
        <v>3336.1507100396811</v>
      </c>
      <c r="Y679" s="507">
        <f>Port[[#This Row],[EAD_Interest (CNY)]]*Port[[#This Row],[CNY -&gt; FCY]]</f>
        <v>0</v>
      </c>
      <c r="Z679" s="507">
        <f>Port[[#This Row],[ECL_Drawn (CNY)]]*Port[[#This Row],[CNY -&gt; FCY]]</f>
        <v>862.29387437542118</v>
      </c>
      <c r="AA679" s="507">
        <f>Port[[#This Row],[ECL_Undrawn (CNY)]]*Port[[#This Row],[CNY -&gt; FCY]]</f>
        <v>0</v>
      </c>
      <c r="AB679" s="507">
        <f>Port[[#This Row],[ECL (CNY)]]*Port[[#This Row],[CNY -&gt; FCY]]</f>
        <v>862.29387437542118</v>
      </c>
      <c r="AC679" s="507">
        <f>Port[[#This Row],[ECL_Interest (CNY)]]*Port[[#This Row],[CNY -&gt; FCY]]</f>
        <v>0</v>
      </c>
      <c r="AD679" s="507">
        <f>Port[[#This Row],[EAD_Drawn (CNY)]]*Port[[#This Row],[CNY -&gt; THB]]</f>
        <v>111643.53007520159</v>
      </c>
      <c r="AE679" s="507">
        <f>Port[[#This Row],[EAD_Undrawn (CNY)]]*Port[[#This Row],[CNY -&gt; THB]]</f>
        <v>0</v>
      </c>
      <c r="AF679" s="507">
        <f>Port[[#This Row],[EAD (CNY)]]*Port[[#This Row],[CNY -&gt; THB]]</f>
        <v>111643.53007520159</v>
      </c>
      <c r="AG679" s="507">
        <f>Port[[#This Row],[EAD_Interest (CNY)]]*Port[[#This Row],[CNY -&gt; THB]]</f>
        <v>0</v>
      </c>
      <c r="AH679" s="507">
        <f>Port[[#This Row],[ECL_Drawn (CNY)]]*Port[[#This Row],[CNY -&gt; THB]]</f>
        <v>28856.469765524886</v>
      </c>
      <c r="AI679" s="507">
        <f>Port[[#This Row],[ECL_Undrawn (CNY)]]*Port[[#This Row],[CNY -&gt; THB]]</f>
        <v>0</v>
      </c>
      <c r="AJ679" s="507">
        <f>Port[[#This Row],[ECL (CNY)]]*Port[[#This Row],[CNY -&gt; THB]]</f>
        <v>28856.469765524886</v>
      </c>
      <c r="AK679" s="507">
        <f>Port[[#This Row],[ECL_Interest (CNY)]]*Port[[#This Row],[CNY -&gt; THB]]</f>
        <v>0</v>
      </c>
      <c r="AL679" s="507">
        <f>Port[[#This Row],[EAD (THB)]]*Port[[#This Row],[PD_avg]]</f>
        <v>1456.26696887811</v>
      </c>
      <c r="AM679" s="507">
        <f>Port[[#This Row],[EAD_Interest (THB)]]*Port[[#This Row],[PD_avg]]</f>
        <v>0</v>
      </c>
      <c r="AN679" s="507">
        <f>Port[[#This Row],[EAD (THB)]]*Port[[#This Row],[LGD_avg]]</f>
        <v>2212257.9300232516</v>
      </c>
      <c r="AO679" s="507">
        <f>Port[[#This Row],[EAD_Interest (THB)]]*Port[[#This Row],[LGD_avg]]</f>
        <v>0</v>
      </c>
      <c r="AP679" s="507">
        <f>Port[[#This Row],[EAD_Drawn (THB)]]+Port[[#This Row],[EAD_Interest (THB)]]</f>
        <v>111643.53007520159</v>
      </c>
      <c r="AQ67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28856.469765524886</v>
      </c>
      <c r="AR679" s="522">
        <f>MAX(Port[[#This Row],[ECL (THB)]]+Port[[#This Row],[ECL_Interest (THB)]], Port[[#This Row],[ECL CBIRC (THB)]])</f>
        <v>28856.469765524886</v>
      </c>
    </row>
    <row r="680" spans="1:44">
      <c r="A680" s="2" t="s">
        <v>489</v>
      </c>
      <c r="B680" s="2" t="s">
        <v>382</v>
      </c>
      <c r="C680" s="2" t="s">
        <v>379</v>
      </c>
      <c r="D680" s="2" t="s">
        <v>30</v>
      </c>
      <c r="E680" s="2" t="s">
        <v>19</v>
      </c>
      <c r="F680" s="2" t="s">
        <v>380</v>
      </c>
      <c r="G680" s="2" t="s">
        <v>57</v>
      </c>
      <c r="H680">
        <v>1</v>
      </c>
      <c r="I680" s="2" t="s">
        <v>526</v>
      </c>
      <c r="J680" s="505">
        <v>1.3043899345507868E-2</v>
      </c>
      <c r="K680" s="505">
        <v>7.3254830084197739E-2</v>
      </c>
      <c r="L680" s="3">
        <v>0.15684552284455039</v>
      </c>
      <c r="M680" s="3">
        <v>5.2488000000000001</v>
      </c>
      <c r="N680" s="507">
        <v>676731.06610200007</v>
      </c>
      <c r="O680" s="507">
        <v>0</v>
      </c>
      <c r="P680" s="507">
        <v>676731.06610200007</v>
      </c>
      <c r="Q680" s="507">
        <v>0</v>
      </c>
      <c r="R680" s="507">
        <v>646.63590859983935</v>
      </c>
      <c r="S680" s="507">
        <v>0</v>
      </c>
      <c r="T680" s="507">
        <v>646.63590859983935</v>
      </c>
      <c r="U680" s="507">
        <v>0</v>
      </c>
      <c r="V680" s="507">
        <f>Port[[#This Row],[EAD_Drawn (CNY)]]*Port[[#This Row],[CNY -&gt; FCY]]</f>
        <v>106142.23788791819</v>
      </c>
      <c r="W680" s="507">
        <f>Port[[#This Row],[EAD_Undrawn (CNY)]]*Port[[#This Row],[CNY -&gt; FCY]]</f>
        <v>0</v>
      </c>
      <c r="X680" s="507">
        <f>Port[[#This Row],[EAD (CNY)]]*Port[[#This Row],[CNY -&gt; FCY]]</f>
        <v>106142.23788791819</v>
      </c>
      <c r="Y680" s="507">
        <f>Port[[#This Row],[EAD_Interest (CNY)]]*Port[[#This Row],[CNY -&gt; FCY]]</f>
        <v>0</v>
      </c>
      <c r="Z680" s="507">
        <f>Port[[#This Row],[ECL_Drawn (CNY)]]*Port[[#This Row],[CNY -&gt; FCY]]</f>
        <v>101.4219471744027</v>
      </c>
      <c r="AA680" s="507">
        <f>Port[[#This Row],[ECL_Undrawn (CNY)]]*Port[[#This Row],[CNY -&gt; FCY]]</f>
        <v>0</v>
      </c>
      <c r="AB680" s="507">
        <f>Port[[#This Row],[ECL (CNY)]]*Port[[#This Row],[CNY -&gt; FCY]]</f>
        <v>101.4219471744027</v>
      </c>
      <c r="AC680" s="507">
        <f>Port[[#This Row],[ECL_Interest (CNY)]]*Port[[#This Row],[CNY -&gt; FCY]]</f>
        <v>0</v>
      </c>
      <c r="AD680" s="507">
        <f>Port[[#This Row],[EAD_Drawn (CNY)]]*Port[[#This Row],[CNY -&gt; THB]]</f>
        <v>3552026.0197561779</v>
      </c>
      <c r="AE680" s="507">
        <f>Port[[#This Row],[EAD_Undrawn (CNY)]]*Port[[#This Row],[CNY -&gt; THB]]</f>
        <v>0</v>
      </c>
      <c r="AF680" s="507">
        <f>Port[[#This Row],[EAD (CNY)]]*Port[[#This Row],[CNY -&gt; THB]]</f>
        <v>3552026.0197561779</v>
      </c>
      <c r="AG680" s="507">
        <f>Port[[#This Row],[EAD_Interest (CNY)]]*Port[[#This Row],[CNY -&gt; THB]]</f>
        <v>0</v>
      </c>
      <c r="AH680" s="507">
        <f>Port[[#This Row],[ECL_Drawn (CNY)]]*Port[[#This Row],[CNY -&gt; THB]]</f>
        <v>3394.0625570588368</v>
      </c>
      <c r="AI680" s="507">
        <f>Port[[#This Row],[ECL_Undrawn (CNY)]]*Port[[#This Row],[CNY -&gt; THB]]</f>
        <v>0</v>
      </c>
      <c r="AJ680" s="507">
        <f>Port[[#This Row],[ECL (CNY)]]*Port[[#This Row],[CNY -&gt; THB]]</f>
        <v>3394.0625570588368</v>
      </c>
      <c r="AK680" s="507">
        <f>Port[[#This Row],[ECL_Interest (CNY)]]*Port[[#This Row],[CNY -&gt; THB]]</f>
        <v>0</v>
      </c>
      <c r="AL680" s="507">
        <f>Port[[#This Row],[EAD (THB)]]*Port[[#This Row],[PD_avg]]</f>
        <v>46332.269874324527</v>
      </c>
      <c r="AM680" s="507">
        <f>Port[[#This Row],[EAD_Interest (THB)]]*Port[[#This Row],[PD_avg]]</f>
        <v>0</v>
      </c>
      <c r="AN680" s="507">
        <f>Port[[#This Row],[EAD (THB)]]*Port[[#This Row],[LGD_avg]]</f>
        <v>260203.06253188802</v>
      </c>
      <c r="AO680" s="507">
        <f>Port[[#This Row],[EAD_Interest (THB)]]*Port[[#This Row],[LGD_avg]]</f>
        <v>0</v>
      </c>
      <c r="AP680" s="507">
        <f>Port[[#This Row],[EAD_Drawn (THB)]]+Port[[#This Row],[EAD_Interest (THB)]]</f>
        <v>3552026.0197561779</v>
      </c>
      <c r="AQ68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3394.0625570588368</v>
      </c>
      <c r="AR680" s="522">
        <f>MAX(Port[[#This Row],[ECL (THB)]]+Port[[#This Row],[ECL_Interest (THB)]], Port[[#This Row],[ECL CBIRC (THB)]])</f>
        <v>3394.0625570588368</v>
      </c>
    </row>
    <row r="681" spans="1:44">
      <c r="A681" s="2" t="s">
        <v>490</v>
      </c>
      <c r="B681" s="2" t="s">
        <v>382</v>
      </c>
      <c r="C681" s="2" t="s">
        <v>379</v>
      </c>
      <c r="D681" s="2" t="s">
        <v>30</v>
      </c>
      <c r="E681" s="2" t="s">
        <v>19</v>
      </c>
      <c r="F681" s="2" t="s">
        <v>380</v>
      </c>
      <c r="G681" s="2" t="s">
        <v>57</v>
      </c>
      <c r="H681">
        <v>1</v>
      </c>
      <c r="I681" s="2" t="s">
        <v>526</v>
      </c>
      <c r="J681" s="505">
        <v>1.3043899345507868E-2</v>
      </c>
      <c r="K681" s="505">
        <v>3.8156168757264693E-2</v>
      </c>
      <c r="L681" s="3">
        <v>0.15684552284455039</v>
      </c>
      <c r="M681" s="3">
        <v>5.2488000000000001</v>
      </c>
      <c r="N681" s="507">
        <v>504732.18426400004</v>
      </c>
      <c r="O681" s="507">
        <v>0</v>
      </c>
      <c r="P681" s="507">
        <v>504732.18426400004</v>
      </c>
      <c r="Q681" s="507">
        <v>0</v>
      </c>
      <c r="R681" s="507">
        <v>251.2078451723275</v>
      </c>
      <c r="S681" s="507">
        <v>0</v>
      </c>
      <c r="T681" s="507">
        <v>251.2078451723275</v>
      </c>
      <c r="U681" s="507">
        <v>0</v>
      </c>
      <c r="V681" s="507">
        <f>Port[[#This Row],[EAD_Drawn (CNY)]]*Port[[#This Row],[CNY -&gt; FCY]]</f>
        <v>79164.983337359037</v>
      </c>
      <c r="W681" s="507">
        <f>Port[[#This Row],[EAD_Undrawn (CNY)]]*Port[[#This Row],[CNY -&gt; FCY]]</f>
        <v>0</v>
      </c>
      <c r="X681" s="507">
        <f>Port[[#This Row],[EAD (CNY)]]*Port[[#This Row],[CNY -&gt; FCY]]</f>
        <v>79164.983337359037</v>
      </c>
      <c r="Y681" s="507">
        <f>Port[[#This Row],[EAD_Interest (CNY)]]*Port[[#This Row],[CNY -&gt; FCY]]</f>
        <v>0</v>
      </c>
      <c r="Z681" s="507">
        <f>Port[[#This Row],[ECL_Drawn (CNY)]]*Port[[#This Row],[CNY -&gt; FCY]]</f>
        <v>39.400825818706572</v>
      </c>
      <c r="AA681" s="507">
        <f>Port[[#This Row],[ECL_Undrawn (CNY)]]*Port[[#This Row],[CNY -&gt; FCY]]</f>
        <v>0</v>
      </c>
      <c r="AB681" s="507">
        <f>Port[[#This Row],[ECL (CNY)]]*Port[[#This Row],[CNY -&gt; FCY]]</f>
        <v>39.400825818706572</v>
      </c>
      <c r="AC681" s="507">
        <f>Port[[#This Row],[ECL_Interest (CNY)]]*Port[[#This Row],[CNY -&gt; FCY]]</f>
        <v>0</v>
      </c>
      <c r="AD681" s="507">
        <f>Port[[#This Row],[EAD_Drawn (CNY)]]*Port[[#This Row],[CNY -&gt; THB]]</f>
        <v>2649238.2887648833</v>
      </c>
      <c r="AE681" s="507">
        <f>Port[[#This Row],[EAD_Undrawn (CNY)]]*Port[[#This Row],[CNY -&gt; THB]]</f>
        <v>0</v>
      </c>
      <c r="AF681" s="507">
        <f>Port[[#This Row],[EAD (CNY)]]*Port[[#This Row],[CNY -&gt; THB]]</f>
        <v>2649238.2887648833</v>
      </c>
      <c r="AG681" s="507">
        <f>Port[[#This Row],[EAD_Interest (CNY)]]*Port[[#This Row],[CNY -&gt; THB]]</f>
        <v>0</v>
      </c>
      <c r="AH681" s="507">
        <f>Port[[#This Row],[ECL_Drawn (CNY)]]*Port[[#This Row],[CNY -&gt; THB]]</f>
        <v>1318.5397377405127</v>
      </c>
      <c r="AI681" s="507">
        <f>Port[[#This Row],[ECL_Undrawn (CNY)]]*Port[[#This Row],[CNY -&gt; THB]]</f>
        <v>0</v>
      </c>
      <c r="AJ681" s="507">
        <f>Port[[#This Row],[ECL (CNY)]]*Port[[#This Row],[CNY -&gt; THB]]</f>
        <v>1318.5397377405127</v>
      </c>
      <c r="AK681" s="507">
        <f>Port[[#This Row],[ECL_Interest (CNY)]]*Port[[#This Row],[CNY -&gt; THB]]</f>
        <v>0</v>
      </c>
      <c r="AL681" s="507">
        <f>Port[[#This Row],[EAD (THB)]]*Port[[#This Row],[PD_avg]]</f>
        <v>34556.397580914643</v>
      </c>
      <c r="AM681" s="507">
        <f>Port[[#This Row],[EAD_Interest (THB)]]*Port[[#This Row],[PD_avg]]</f>
        <v>0</v>
      </c>
      <c r="AN681" s="507">
        <f>Port[[#This Row],[EAD (THB)]]*Port[[#This Row],[LGD_avg]]</f>
        <v>101084.78322432002</v>
      </c>
      <c r="AO681" s="507">
        <f>Port[[#This Row],[EAD_Interest (THB)]]*Port[[#This Row],[LGD_avg]]</f>
        <v>0</v>
      </c>
      <c r="AP681" s="507">
        <f>Port[[#This Row],[EAD_Drawn (THB)]]+Port[[#This Row],[EAD_Interest (THB)]]</f>
        <v>2649238.2887648833</v>
      </c>
      <c r="AQ68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1318.5397377405127</v>
      </c>
      <c r="AR681" s="522">
        <f>MAX(Port[[#This Row],[ECL (THB)]]+Port[[#This Row],[ECL_Interest (THB)]], Port[[#This Row],[ECL CBIRC (THB)]])</f>
        <v>1318.5397377405127</v>
      </c>
    </row>
    <row r="682" spans="1:44">
      <c r="A682" s="2" t="s">
        <v>491</v>
      </c>
      <c r="B682" s="2" t="s">
        <v>382</v>
      </c>
      <c r="C682" s="2" t="s">
        <v>379</v>
      </c>
      <c r="D682" s="2" t="s">
        <v>30</v>
      </c>
      <c r="E682" s="2" t="s">
        <v>19</v>
      </c>
      <c r="F682" s="2" t="s">
        <v>380</v>
      </c>
      <c r="G682" s="2" t="s">
        <v>57</v>
      </c>
      <c r="H682">
        <v>1</v>
      </c>
      <c r="I682" s="2" t="s">
        <v>526</v>
      </c>
      <c r="J682" s="505">
        <v>1.3043899345507868E-2</v>
      </c>
      <c r="K682" s="505">
        <v>3.3102045000000004E-2</v>
      </c>
      <c r="L682" s="3">
        <v>0.15684552284455039</v>
      </c>
      <c r="M682" s="3">
        <v>5.2488000000000001</v>
      </c>
      <c r="N682" s="507">
        <v>1273720</v>
      </c>
      <c r="O682" s="507">
        <v>0</v>
      </c>
      <c r="P682" s="507">
        <v>1273720</v>
      </c>
      <c r="Q682" s="507">
        <v>0</v>
      </c>
      <c r="R682" s="507">
        <v>549.96649439467046</v>
      </c>
      <c r="S682" s="507">
        <v>0</v>
      </c>
      <c r="T682" s="507">
        <v>549.96649439467046</v>
      </c>
      <c r="U682" s="507">
        <v>0</v>
      </c>
      <c r="V682" s="507">
        <f>Port[[#This Row],[EAD_Drawn (CNY)]]*Port[[#This Row],[CNY -&gt; FCY]]</f>
        <v>199777.27935756074</v>
      </c>
      <c r="W682" s="507">
        <f>Port[[#This Row],[EAD_Undrawn (CNY)]]*Port[[#This Row],[CNY -&gt; FCY]]</f>
        <v>0</v>
      </c>
      <c r="X682" s="507">
        <f>Port[[#This Row],[EAD (CNY)]]*Port[[#This Row],[CNY -&gt; FCY]]</f>
        <v>199777.27935756074</v>
      </c>
      <c r="Y682" s="507">
        <f>Port[[#This Row],[EAD_Interest (CNY)]]*Port[[#This Row],[CNY -&gt; FCY]]</f>
        <v>0</v>
      </c>
      <c r="Z682" s="507">
        <f>Port[[#This Row],[ECL_Drawn (CNY)]]*Port[[#This Row],[CNY -&gt; FCY]]</f>
        <v>86.259782360316578</v>
      </c>
      <c r="AA682" s="507">
        <f>Port[[#This Row],[ECL_Undrawn (CNY)]]*Port[[#This Row],[CNY -&gt; FCY]]</f>
        <v>0</v>
      </c>
      <c r="AB682" s="507">
        <f>Port[[#This Row],[ECL (CNY)]]*Port[[#This Row],[CNY -&gt; FCY]]</f>
        <v>86.259782360316578</v>
      </c>
      <c r="AC682" s="507">
        <f>Port[[#This Row],[ECL_Interest (CNY)]]*Port[[#This Row],[CNY -&gt; FCY]]</f>
        <v>0</v>
      </c>
      <c r="AD682" s="507">
        <f>Port[[#This Row],[EAD_Drawn (CNY)]]*Port[[#This Row],[CNY -&gt; THB]]</f>
        <v>6685501.5360000003</v>
      </c>
      <c r="AE682" s="507">
        <f>Port[[#This Row],[EAD_Undrawn (CNY)]]*Port[[#This Row],[CNY -&gt; THB]]</f>
        <v>0</v>
      </c>
      <c r="AF682" s="507">
        <f>Port[[#This Row],[EAD (CNY)]]*Port[[#This Row],[CNY -&gt; THB]]</f>
        <v>6685501.5360000003</v>
      </c>
      <c r="AG682" s="507">
        <f>Port[[#This Row],[EAD_Interest (CNY)]]*Port[[#This Row],[CNY -&gt; THB]]</f>
        <v>0</v>
      </c>
      <c r="AH682" s="507">
        <f>Port[[#This Row],[ECL_Drawn (CNY)]]*Port[[#This Row],[CNY -&gt; THB]]</f>
        <v>2886.6641357787462</v>
      </c>
      <c r="AI682" s="507">
        <f>Port[[#This Row],[ECL_Undrawn (CNY)]]*Port[[#This Row],[CNY -&gt; THB]]</f>
        <v>0</v>
      </c>
      <c r="AJ682" s="507">
        <f>Port[[#This Row],[ECL (CNY)]]*Port[[#This Row],[CNY -&gt; THB]]</f>
        <v>2886.6641357787462</v>
      </c>
      <c r="AK682" s="507">
        <f>Port[[#This Row],[ECL_Interest (CNY)]]*Port[[#This Row],[CNY -&gt; THB]]</f>
        <v>0</v>
      </c>
      <c r="AL682" s="507">
        <f>Port[[#This Row],[EAD (THB)]]*Port[[#This Row],[PD_avg]]</f>
        <v>87205.009109822247</v>
      </c>
      <c r="AM682" s="507">
        <f>Port[[#This Row],[EAD_Interest (THB)]]*Port[[#This Row],[PD_avg]]</f>
        <v>0</v>
      </c>
      <c r="AN682" s="507">
        <f>Port[[#This Row],[EAD (THB)]]*Port[[#This Row],[LGD_avg]]</f>
        <v>221303.77269224115</v>
      </c>
      <c r="AO682" s="507">
        <f>Port[[#This Row],[EAD_Interest (THB)]]*Port[[#This Row],[LGD_avg]]</f>
        <v>0</v>
      </c>
      <c r="AP682" s="507">
        <f>Port[[#This Row],[EAD_Drawn (THB)]]+Port[[#This Row],[EAD_Interest (THB)]]</f>
        <v>6685501.5360000003</v>
      </c>
      <c r="AQ68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2886.6641357787462</v>
      </c>
      <c r="AR682" s="522">
        <f>MAX(Port[[#This Row],[ECL (THB)]]+Port[[#This Row],[ECL_Interest (THB)]], Port[[#This Row],[ECL CBIRC (THB)]])</f>
        <v>2886.6641357787462</v>
      </c>
    </row>
    <row r="683" spans="1:44">
      <c r="A683" s="2" t="s">
        <v>492</v>
      </c>
      <c r="B683" s="2" t="s">
        <v>382</v>
      </c>
      <c r="C683" s="2" t="s">
        <v>379</v>
      </c>
      <c r="D683" s="2" t="s">
        <v>30</v>
      </c>
      <c r="E683" s="2" t="s">
        <v>19</v>
      </c>
      <c r="F683" s="2" t="s">
        <v>380</v>
      </c>
      <c r="G683" s="2" t="s">
        <v>57</v>
      </c>
      <c r="H683">
        <v>1</v>
      </c>
      <c r="I683" s="2" t="s">
        <v>526</v>
      </c>
      <c r="J683" s="505">
        <v>1.3043899345507868E-2</v>
      </c>
      <c r="K683" s="505">
        <v>3.2014624442174315</v>
      </c>
      <c r="L683" s="3">
        <v>0.15684552284455039</v>
      </c>
      <c r="M683" s="3">
        <v>5.2488000000000001</v>
      </c>
      <c r="N683" s="507">
        <v>29612.397849999998</v>
      </c>
      <c r="O683" s="507">
        <v>0</v>
      </c>
      <c r="P683" s="507">
        <v>29612.397849999998</v>
      </c>
      <c r="Q683" s="507">
        <v>0</v>
      </c>
      <c r="R683" s="507">
        <v>1236.6005235566358</v>
      </c>
      <c r="S683" s="507">
        <v>0</v>
      </c>
      <c r="T683" s="507">
        <v>1236.6005235566358</v>
      </c>
      <c r="U683" s="507">
        <v>0</v>
      </c>
      <c r="V683" s="507">
        <f>Port[[#This Row],[EAD_Drawn (CNY)]]*Port[[#This Row],[CNY -&gt; FCY]]</f>
        <v>4644.5720234640894</v>
      </c>
      <c r="W683" s="507">
        <f>Port[[#This Row],[EAD_Undrawn (CNY)]]*Port[[#This Row],[CNY -&gt; FCY]]</f>
        <v>0</v>
      </c>
      <c r="X683" s="507">
        <f>Port[[#This Row],[EAD (CNY)]]*Port[[#This Row],[CNY -&gt; FCY]]</f>
        <v>4644.5720234640894</v>
      </c>
      <c r="Y683" s="507">
        <f>Port[[#This Row],[EAD_Interest (CNY)]]*Port[[#This Row],[CNY -&gt; FCY]]</f>
        <v>0</v>
      </c>
      <c r="Z683" s="507">
        <f>Port[[#This Row],[ECL_Drawn (CNY)]]*Port[[#This Row],[CNY -&gt; FCY]]</f>
        <v>193.95525566708531</v>
      </c>
      <c r="AA683" s="507">
        <f>Port[[#This Row],[ECL_Undrawn (CNY)]]*Port[[#This Row],[CNY -&gt; FCY]]</f>
        <v>0</v>
      </c>
      <c r="AB683" s="507">
        <f>Port[[#This Row],[ECL (CNY)]]*Port[[#This Row],[CNY -&gt; FCY]]</f>
        <v>193.95525566708531</v>
      </c>
      <c r="AC683" s="507">
        <f>Port[[#This Row],[ECL_Interest (CNY)]]*Port[[#This Row],[CNY -&gt; FCY]]</f>
        <v>0</v>
      </c>
      <c r="AD683" s="507">
        <f>Port[[#This Row],[EAD_Drawn (CNY)]]*Port[[#This Row],[CNY -&gt; THB]]</f>
        <v>155429.55383508001</v>
      </c>
      <c r="AE683" s="507">
        <f>Port[[#This Row],[EAD_Undrawn (CNY)]]*Port[[#This Row],[CNY -&gt; THB]]</f>
        <v>0</v>
      </c>
      <c r="AF683" s="507">
        <f>Port[[#This Row],[EAD (CNY)]]*Port[[#This Row],[CNY -&gt; THB]]</f>
        <v>155429.55383508001</v>
      </c>
      <c r="AG683" s="507">
        <f>Port[[#This Row],[EAD_Interest (CNY)]]*Port[[#This Row],[CNY -&gt; THB]]</f>
        <v>0</v>
      </c>
      <c r="AH683" s="507">
        <f>Port[[#This Row],[ECL_Drawn (CNY)]]*Port[[#This Row],[CNY -&gt; THB]]</f>
        <v>6490.6688280440703</v>
      </c>
      <c r="AI683" s="507">
        <f>Port[[#This Row],[ECL_Undrawn (CNY)]]*Port[[#This Row],[CNY -&gt; THB]]</f>
        <v>0</v>
      </c>
      <c r="AJ683" s="507">
        <f>Port[[#This Row],[ECL (CNY)]]*Port[[#This Row],[CNY -&gt; THB]]</f>
        <v>6490.6688280440703</v>
      </c>
      <c r="AK683" s="507">
        <f>Port[[#This Row],[ECL_Interest (CNY)]]*Port[[#This Row],[CNY -&gt; THB]]</f>
        <v>0</v>
      </c>
      <c r="AL683" s="507">
        <f>Port[[#This Row],[EAD (THB)]]*Port[[#This Row],[PD_avg]]</f>
        <v>2027.40745554198</v>
      </c>
      <c r="AM683" s="507">
        <f>Port[[#This Row],[EAD_Interest (THB)]]*Port[[#This Row],[PD_avg]]</f>
        <v>0</v>
      </c>
      <c r="AN683" s="507">
        <f>Port[[#This Row],[EAD (THB)]]*Port[[#This Row],[LGD_avg]]</f>
        <v>497601.87932448008</v>
      </c>
      <c r="AO683" s="507">
        <f>Port[[#This Row],[EAD_Interest (THB)]]*Port[[#This Row],[LGD_avg]]</f>
        <v>0</v>
      </c>
      <c r="AP683" s="507">
        <f>Port[[#This Row],[EAD_Drawn (THB)]]+Port[[#This Row],[EAD_Interest (THB)]]</f>
        <v>155429.55383508001</v>
      </c>
      <c r="AQ68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6490.6688280440703</v>
      </c>
      <c r="AR683" s="522">
        <f>MAX(Port[[#This Row],[ECL (THB)]]+Port[[#This Row],[ECL_Interest (THB)]], Port[[#This Row],[ECL CBIRC (THB)]])</f>
        <v>6490.6688280440703</v>
      </c>
    </row>
    <row r="684" spans="1:44">
      <c r="A684" s="2" t="s">
        <v>493</v>
      </c>
      <c r="B684" s="2" t="s">
        <v>382</v>
      </c>
      <c r="C684" s="2" t="s">
        <v>379</v>
      </c>
      <c r="D684" s="2" t="s">
        <v>30</v>
      </c>
      <c r="E684" s="2" t="s">
        <v>19</v>
      </c>
      <c r="F684" s="2" t="s">
        <v>380</v>
      </c>
      <c r="G684" s="2" t="s">
        <v>57</v>
      </c>
      <c r="H684">
        <v>1</v>
      </c>
      <c r="I684" s="2" t="s">
        <v>526</v>
      </c>
      <c r="J684" s="505">
        <v>1.3043899345507868E-2</v>
      </c>
      <c r="K684" s="505">
        <v>1.250019687696877</v>
      </c>
      <c r="L684" s="3">
        <v>0.15684552284455039</v>
      </c>
      <c r="M684" s="3">
        <v>5.2488000000000001</v>
      </c>
      <c r="N684" s="507">
        <v>113218.42335999999</v>
      </c>
      <c r="O684" s="507">
        <v>0</v>
      </c>
      <c r="P684" s="507">
        <v>113218.42335999999</v>
      </c>
      <c r="Q684" s="507">
        <v>0</v>
      </c>
      <c r="R684" s="507">
        <v>1846.0412229382509</v>
      </c>
      <c r="S684" s="507">
        <v>0</v>
      </c>
      <c r="T684" s="507">
        <v>1846.0412229382509</v>
      </c>
      <c r="U684" s="507">
        <v>0</v>
      </c>
      <c r="V684" s="507">
        <f>Port[[#This Row],[EAD_Drawn (CNY)]]*Port[[#This Row],[CNY -&gt; FCY]]</f>
        <v>17757.802807534856</v>
      </c>
      <c r="W684" s="507">
        <f>Port[[#This Row],[EAD_Undrawn (CNY)]]*Port[[#This Row],[CNY -&gt; FCY]]</f>
        <v>0</v>
      </c>
      <c r="X684" s="507">
        <f>Port[[#This Row],[EAD (CNY)]]*Port[[#This Row],[CNY -&gt; FCY]]</f>
        <v>17757.802807534856</v>
      </c>
      <c r="Y684" s="507">
        <f>Port[[#This Row],[EAD_Interest (CNY)]]*Port[[#This Row],[CNY -&gt; FCY]]</f>
        <v>0</v>
      </c>
      <c r="Z684" s="507">
        <f>Port[[#This Row],[ECL_Drawn (CNY)]]*Port[[#This Row],[CNY -&gt; FCY]]</f>
        <v>289.54330080434318</v>
      </c>
      <c r="AA684" s="507">
        <f>Port[[#This Row],[ECL_Undrawn (CNY)]]*Port[[#This Row],[CNY -&gt; FCY]]</f>
        <v>0</v>
      </c>
      <c r="AB684" s="507">
        <f>Port[[#This Row],[ECL (CNY)]]*Port[[#This Row],[CNY -&gt; FCY]]</f>
        <v>289.54330080434318</v>
      </c>
      <c r="AC684" s="507">
        <f>Port[[#This Row],[ECL_Interest (CNY)]]*Port[[#This Row],[CNY -&gt; FCY]]</f>
        <v>0</v>
      </c>
      <c r="AD684" s="507">
        <f>Port[[#This Row],[EAD_Drawn (CNY)]]*Port[[#This Row],[CNY -&gt; THB]]</f>
        <v>594260.86053196795</v>
      </c>
      <c r="AE684" s="507">
        <f>Port[[#This Row],[EAD_Undrawn (CNY)]]*Port[[#This Row],[CNY -&gt; THB]]</f>
        <v>0</v>
      </c>
      <c r="AF684" s="507">
        <f>Port[[#This Row],[EAD (CNY)]]*Port[[#This Row],[CNY -&gt; THB]]</f>
        <v>594260.86053196795</v>
      </c>
      <c r="AG684" s="507">
        <f>Port[[#This Row],[EAD_Interest (CNY)]]*Port[[#This Row],[CNY -&gt; THB]]</f>
        <v>0</v>
      </c>
      <c r="AH684" s="507">
        <f>Port[[#This Row],[ECL_Drawn (CNY)]]*Port[[#This Row],[CNY -&gt; THB]]</f>
        <v>9689.5011709582923</v>
      </c>
      <c r="AI684" s="507">
        <f>Port[[#This Row],[ECL_Undrawn (CNY)]]*Port[[#This Row],[CNY -&gt; THB]]</f>
        <v>0</v>
      </c>
      <c r="AJ684" s="507">
        <f>Port[[#This Row],[ECL (CNY)]]*Port[[#This Row],[CNY -&gt; THB]]</f>
        <v>9689.5011709582923</v>
      </c>
      <c r="AK684" s="507">
        <f>Port[[#This Row],[ECL_Interest (CNY)]]*Port[[#This Row],[CNY -&gt; THB]]</f>
        <v>0</v>
      </c>
      <c r="AL684" s="507">
        <f>Port[[#This Row],[EAD (THB)]]*Port[[#This Row],[PD_avg]]</f>
        <v>7751.4788497538793</v>
      </c>
      <c r="AM684" s="507">
        <f>Port[[#This Row],[EAD_Interest (THB)]]*Port[[#This Row],[PD_avg]]</f>
        <v>0</v>
      </c>
      <c r="AN684" s="507">
        <f>Port[[#This Row],[EAD (THB)]]*Port[[#This Row],[LGD_avg]]</f>
        <v>742837.775292648</v>
      </c>
      <c r="AO684" s="507">
        <f>Port[[#This Row],[EAD_Interest (THB)]]*Port[[#This Row],[LGD_avg]]</f>
        <v>0</v>
      </c>
      <c r="AP684" s="507">
        <f>Port[[#This Row],[EAD_Drawn (THB)]]+Port[[#This Row],[EAD_Interest (THB)]]</f>
        <v>594260.86053196795</v>
      </c>
      <c r="AQ68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9689.5011709582923</v>
      </c>
      <c r="AR684" s="522">
        <f>MAX(Port[[#This Row],[ECL (THB)]]+Port[[#This Row],[ECL_Interest (THB)]], Port[[#This Row],[ECL CBIRC (THB)]])</f>
        <v>9689.5011709582923</v>
      </c>
    </row>
    <row r="685" spans="1:44">
      <c r="A685" s="2" t="s">
        <v>494</v>
      </c>
      <c r="B685" s="2" t="s">
        <v>382</v>
      </c>
      <c r="C685" s="2" t="s">
        <v>379</v>
      </c>
      <c r="D685" s="2" t="s">
        <v>30</v>
      </c>
      <c r="E685" s="2" t="s">
        <v>19</v>
      </c>
      <c r="F685" s="2" t="s">
        <v>380</v>
      </c>
      <c r="G685" s="2" t="s">
        <v>57</v>
      </c>
      <c r="H685">
        <v>1</v>
      </c>
      <c r="I685" s="2" t="s">
        <v>526</v>
      </c>
      <c r="J685" s="505">
        <v>1.3043899345507868E-2</v>
      </c>
      <c r="K685" s="505">
        <v>29.218153131185634</v>
      </c>
      <c r="L685" s="3">
        <v>0.15684552284455039</v>
      </c>
      <c r="M685" s="3">
        <v>5.2488000000000001</v>
      </c>
      <c r="N685" s="507">
        <v>119881.634796</v>
      </c>
      <c r="O685" s="507">
        <v>0</v>
      </c>
      <c r="P685" s="507">
        <v>119881.634796</v>
      </c>
      <c r="Q685" s="507">
        <v>0</v>
      </c>
      <c r="R685" s="507">
        <v>45689.126634000037</v>
      </c>
      <c r="S685" s="507">
        <v>0</v>
      </c>
      <c r="T685" s="507">
        <v>45689.126634000037</v>
      </c>
      <c r="U685" s="507">
        <v>0</v>
      </c>
      <c r="V685" s="507">
        <f>Port[[#This Row],[EAD_Drawn (CNY)]]*Port[[#This Row],[CNY -&gt; FCY]]</f>
        <v>18802.897689038065</v>
      </c>
      <c r="W685" s="507">
        <f>Port[[#This Row],[EAD_Undrawn (CNY)]]*Port[[#This Row],[CNY -&gt; FCY]]</f>
        <v>0</v>
      </c>
      <c r="X685" s="507">
        <f>Port[[#This Row],[EAD (CNY)]]*Port[[#This Row],[CNY -&gt; FCY]]</f>
        <v>18802.897689038065</v>
      </c>
      <c r="Y685" s="507">
        <f>Port[[#This Row],[EAD_Interest (CNY)]]*Port[[#This Row],[CNY -&gt; FCY]]</f>
        <v>0</v>
      </c>
      <c r="Z685" s="507">
        <f>Port[[#This Row],[ECL_Drawn (CNY)]]*Port[[#This Row],[CNY -&gt; FCY]]</f>
        <v>7166.1349552206084</v>
      </c>
      <c r="AA685" s="507">
        <f>Port[[#This Row],[ECL_Undrawn (CNY)]]*Port[[#This Row],[CNY -&gt; FCY]]</f>
        <v>0</v>
      </c>
      <c r="AB685" s="507">
        <f>Port[[#This Row],[ECL (CNY)]]*Port[[#This Row],[CNY -&gt; FCY]]</f>
        <v>7166.1349552206084</v>
      </c>
      <c r="AC685" s="507">
        <f>Port[[#This Row],[ECL_Interest (CNY)]]*Port[[#This Row],[CNY -&gt; FCY]]</f>
        <v>0</v>
      </c>
      <c r="AD685" s="507">
        <f>Port[[#This Row],[EAD_Drawn (CNY)]]*Port[[#This Row],[CNY -&gt; THB]]</f>
        <v>629234.72471724486</v>
      </c>
      <c r="AE685" s="507">
        <f>Port[[#This Row],[EAD_Undrawn (CNY)]]*Port[[#This Row],[CNY -&gt; THB]]</f>
        <v>0</v>
      </c>
      <c r="AF685" s="507">
        <f>Port[[#This Row],[EAD (CNY)]]*Port[[#This Row],[CNY -&gt; THB]]</f>
        <v>629234.72471724486</v>
      </c>
      <c r="AG685" s="507">
        <f>Port[[#This Row],[EAD_Interest (CNY)]]*Port[[#This Row],[CNY -&gt; THB]]</f>
        <v>0</v>
      </c>
      <c r="AH685" s="507">
        <f>Port[[#This Row],[ECL_Drawn (CNY)]]*Port[[#This Row],[CNY -&gt; THB]]</f>
        <v>239813.08787653939</v>
      </c>
      <c r="AI685" s="507">
        <f>Port[[#This Row],[ECL_Undrawn (CNY)]]*Port[[#This Row],[CNY -&gt; THB]]</f>
        <v>0</v>
      </c>
      <c r="AJ685" s="507">
        <f>Port[[#This Row],[ECL (CNY)]]*Port[[#This Row],[CNY -&gt; THB]]</f>
        <v>239813.08787653939</v>
      </c>
      <c r="AK685" s="507">
        <f>Port[[#This Row],[ECL_Interest (CNY)]]*Port[[#This Row],[CNY -&gt; THB]]</f>
        <v>0</v>
      </c>
      <c r="AL685" s="507">
        <f>Port[[#This Row],[EAD (THB)]]*Port[[#This Row],[PD_avg]]</f>
        <v>8207.6744139100938</v>
      </c>
      <c r="AM685" s="507">
        <f>Port[[#This Row],[EAD_Interest (THB)]]*Port[[#This Row],[PD_avg]]</f>
        <v>0</v>
      </c>
      <c r="AN685" s="507">
        <f>Port[[#This Row],[EAD (THB)]]*Port[[#This Row],[LGD_avg]]</f>
        <v>18385076.542247899</v>
      </c>
      <c r="AO685" s="507">
        <f>Port[[#This Row],[EAD_Interest (THB)]]*Port[[#This Row],[LGD_avg]]</f>
        <v>0</v>
      </c>
      <c r="AP685" s="507">
        <f>Port[[#This Row],[EAD_Drawn (THB)]]+Port[[#This Row],[EAD_Interest (THB)]]</f>
        <v>629234.72471724486</v>
      </c>
      <c r="AQ68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239813.08787653939</v>
      </c>
      <c r="AR685" s="522">
        <f>MAX(Port[[#This Row],[ECL (THB)]]+Port[[#This Row],[ECL_Interest (THB)]], Port[[#This Row],[ECL CBIRC (THB)]])</f>
        <v>239813.08787653939</v>
      </c>
    </row>
    <row r="686" spans="1:44">
      <c r="A686" s="2" t="s">
        <v>495</v>
      </c>
      <c r="B686" s="2" t="s">
        <v>382</v>
      </c>
      <c r="C686" s="2" t="s">
        <v>379</v>
      </c>
      <c r="D686" s="2" t="s">
        <v>30</v>
      </c>
      <c r="E686" s="2" t="s">
        <v>19</v>
      </c>
      <c r="F686" s="2" t="s">
        <v>380</v>
      </c>
      <c r="G686" s="2" t="s">
        <v>57</v>
      </c>
      <c r="H686">
        <v>1</v>
      </c>
      <c r="I686" s="2" t="s">
        <v>526</v>
      </c>
      <c r="J686" s="505">
        <v>1.3043899345507868E-2</v>
      </c>
      <c r="K686" s="505">
        <v>1.1139438386041438</v>
      </c>
      <c r="L686" s="3">
        <v>0.15684552284455039</v>
      </c>
      <c r="M686" s="3">
        <v>5.2488000000000001</v>
      </c>
      <c r="N686" s="507">
        <v>210240.22320000001</v>
      </c>
      <c r="O686" s="507">
        <v>0</v>
      </c>
      <c r="P686" s="507">
        <v>210240.22320000001</v>
      </c>
      <c r="Q686" s="507">
        <v>0</v>
      </c>
      <c r="R686" s="507">
        <v>3054.8264587812223</v>
      </c>
      <c r="S686" s="507">
        <v>0</v>
      </c>
      <c r="T686" s="507">
        <v>3054.8264587812223</v>
      </c>
      <c r="U686" s="507">
        <v>0</v>
      </c>
      <c r="V686" s="507">
        <f>Port[[#This Row],[EAD_Drawn (CNY)]]*Port[[#This Row],[CNY -&gt; FCY]]</f>
        <v>32975.23773075897</v>
      </c>
      <c r="W686" s="507">
        <f>Port[[#This Row],[EAD_Undrawn (CNY)]]*Port[[#This Row],[CNY -&gt; FCY]]</f>
        <v>0</v>
      </c>
      <c r="X686" s="507">
        <f>Port[[#This Row],[EAD (CNY)]]*Port[[#This Row],[CNY -&gt; FCY]]</f>
        <v>32975.23773075897</v>
      </c>
      <c r="Y686" s="507">
        <f>Port[[#This Row],[EAD_Interest (CNY)]]*Port[[#This Row],[CNY -&gt; FCY]]</f>
        <v>0</v>
      </c>
      <c r="Z686" s="507">
        <f>Port[[#This Row],[ECL_Drawn (CNY)]]*Port[[#This Row],[CNY -&gt; FCY]]</f>
        <v>479.13585312690719</v>
      </c>
      <c r="AA686" s="507">
        <f>Port[[#This Row],[ECL_Undrawn (CNY)]]*Port[[#This Row],[CNY -&gt; FCY]]</f>
        <v>0</v>
      </c>
      <c r="AB686" s="507">
        <f>Port[[#This Row],[ECL (CNY)]]*Port[[#This Row],[CNY -&gt; FCY]]</f>
        <v>479.13585312690719</v>
      </c>
      <c r="AC686" s="507">
        <f>Port[[#This Row],[ECL_Interest (CNY)]]*Port[[#This Row],[CNY -&gt; FCY]]</f>
        <v>0</v>
      </c>
      <c r="AD686" s="507">
        <f>Port[[#This Row],[EAD_Drawn (CNY)]]*Port[[#This Row],[CNY -&gt; THB]]</f>
        <v>1103508.88353216</v>
      </c>
      <c r="AE686" s="507">
        <f>Port[[#This Row],[EAD_Undrawn (CNY)]]*Port[[#This Row],[CNY -&gt; THB]]</f>
        <v>0</v>
      </c>
      <c r="AF686" s="507">
        <f>Port[[#This Row],[EAD (CNY)]]*Port[[#This Row],[CNY -&gt; THB]]</f>
        <v>1103508.88353216</v>
      </c>
      <c r="AG686" s="507">
        <f>Port[[#This Row],[EAD_Interest (CNY)]]*Port[[#This Row],[CNY -&gt; THB]]</f>
        <v>0</v>
      </c>
      <c r="AH686" s="507">
        <f>Port[[#This Row],[ECL_Drawn (CNY)]]*Port[[#This Row],[CNY -&gt; THB]]</f>
        <v>16034.17311685088</v>
      </c>
      <c r="AI686" s="507">
        <f>Port[[#This Row],[ECL_Undrawn (CNY)]]*Port[[#This Row],[CNY -&gt; THB]]</f>
        <v>0</v>
      </c>
      <c r="AJ686" s="507">
        <f>Port[[#This Row],[ECL (CNY)]]*Port[[#This Row],[CNY -&gt; THB]]</f>
        <v>16034.17311685088</v>
      </c>
      <c r="AK686" s="507">
        <f>Port[[#This Row],[ECL_Interest (CNY)]]*Port[[#This Row],[CNY -&gt; THB]]</f>
        <v>0</v>
      </c>
      <c r="AL686" s="507">
        <f>Port[[#This Row],[EAD (THB)]]*Port[[#This Row],[PD_avg]]</f>
        <v>14394.05880366726</v>
      </c>
      <c r="AM686" s="507">
        <f>Port[[#This Row],[EAD_Interest (THB)]]*Port[[#This Row],[PD_avg]]</f>
        <v>0</v>
      </c>
      <c r="AN686" s="507">
        <f>Port[[#This Row],[EAD (THB)]]*Port[[#This Row],[LGD_avg]]</f>
        <v>1229246.9216555874</v>
      </c>
      <c r="AO686" s="507">
        <f>Port[[#This Row],[EAD_Interest (THB)]]*Port[[#This Row],[LGD_avg]]</f>
        <v>0</v>
      </c>
      <c r="AP686" s="507">
        <f>Port[[#This Row],[EAD_Drawn (THB)]]+Port[[#This Row],[EAD_Interest (THB)]]</f>
        <v>1103508.88353216</v>
      </c>
      <c r="AQ68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16034.17311685088</v>
      </c>
      <c r="AR686" s="522">
        <f>MAX(Port[[#This Row],[ECL (THB)]]+Port[[#This Row],[ECL_Interest (THB)]], Port[[#This Row],[ECL CBIRC (THB)]])</f>
        <v>16034.17311685088</v>
      </c>
    </row>
    <row r="687" spans="1:44">
      <c r="A687" s="2" t="s">
        <v>496</v>
      </c>
      <c r="B687" s="2" t="s">
        <v>382</v>
      </c>
      <c r="C687" s="2" t="s">
        <v>379</v>
      </c>
      <c r="D687" s="2" t="s">
        <v>30</v>
      </c>
      <c r="E687" s="2" t="s">
        <v>19</v>
      </c>
      <c r="F687" s="2" t="s">
        <v>380</v>
      </c>
      <c r="G687" s="2" t="s">
        <v>57</v>
      </c>
      <c r="H687">
        <v>1</v>
      </c>
      <c r="I687" s="2" t="s">
        <v>526</v>
      </c>
      <c r="J687" s="505">
        <v>1.3043899345507868E-2</v>
      </c>
      <c r="K687" s="505">
        <v>1.2287014836979981</v>
      </c>
      <c r="L687" s="3">
        <v>0.15684552284455039</v>
      </c>
      <c r="M687" s="3">
        <v>5.2488000000000001</v>
      </c>
      <c r="N687" s="507">
        <v>233243.79745799999</v>
      </c>
      <c r="O687" s="507">
        <v>0</v>
      </c>
      <c r="P687" s="507">
        <v>233243.79745799999</v>
      </c>
      <c r="Q687" s="507">
        <v>0</v>
      </c>
      <c r="R687" s="507">
        <v>3738.2119817310631</v>
      </c>
      <c r="S687" s="507">
        <v>0</v>
      </c>
      <c r="T687" s="507">
        <v>3738.2119817310631</v>
      </c>
      <c r="U687" s="507">
        <v>0</v>
      </c>
      <c r="V687" s="507">
        <f>Port[[#This Row],[EAD_Drawn (CNY)]]*Port[[#This Row],[CNY -&gt; FCY]]</f>
        <v>36583.24536254842</v>
      </c>
      <c r="W687" s="507">
        <f>Port[[#This Row],[EAD_Undrawn (CNY)]]*Port[[#This Row],[CNY -&gt; FCY]]</f>
        <v>0</v>
      </c>
      <c r="X687" s="507">
        <f>Port[[#This Row],[EAD (CNY)]]*Port[[#This Row],[CNY -&gt; FCY]]</f>
        <v>36583.24536254842</v>
      </c>
      <c r="Y687" s="507">
        <f>Port[[#This Row],[EAD_Interest (CNY)]]*Port[[#This Row],[CNY -&gt; FCY]]</f>
        <v>0</v>
      </c>
      <c r="Z687" s="507">
        <f>Port[[#This Row],[ECL_Drawn (CNY)]]*Port[[#This Row],[CNY -&gt; FCY]]</f>
        <v>586.3218127783714</v>
      </c>
      <c r="AA687" s="507">
        <f>Port[[#This Row],[ECL_Undrawn (CNY)]]*Port[[#This Row],[CNY -&gt; FCY]]</f>
        <v>0</v>
      </c>
      <c r="AB687" s="507">
        <f>Port[[#This Row],[ECL (CNY)]]*Port[[#This Row],[CNY -&gt; FCY]]</f>
        <v>586.3218127783714</v>
      </c>
      <c r="AC687" s="507">
        <f>Port[[#This Row],[ECL_Interest (CNY)]]*Port[[#This Row],[CNY -&gt; FCY]]</f>
        <v>0</v>
      </c>
      <c r="AD687" s="507">
        <f>Port[[#This Row],[EAD_Drawn (CNY)]]*Port[[#This Row],[CNY -&gt; THB]]</f>
        <v>1224250.0440975504</v>
      </c>
      <c r="AE687" s="507">
        <f>Port[[#This Row],[EAD_Undrawn (CNY)]]*Port[[#This Row],[CNY -&gt; THB]]</f>
        <v>0</v>
      </c>
      <c r="AF687" s="507">
        <f>Port[[#This Row],[EAD (CNY)]]*Port[[#This Row],[CNY -&gt; THB]]</f>
        <v>1224250.0440975504</v>
      </c>
      <c r="AG687" s="507">
        <f>Port[[#This Row],[EAD_Interest (CNY)]]*Port[[#This Row],[CNY -&gt; THB]]</f>
        <v>0</v>
      </c>
      <c r="AH687" s="507">
        <f>Port[[#This Row],[ECL_Drawn (CNY)]]*Port[[#This Row],[CNY -&gt; THB]]</f>
        <v>19621.127049710005</v>
      </c>
      <c r="AI687" s="507">
        <f>Port[[#This Row],[ECL_Undrawn (CNY)]]*Port[[#This Row],[CNY -&gt; THB]]</f>
        <v>0</v>
      </c>
      <c r="AJ687" s="507">
        <f>Port[[#This Row],[ECL (CNY)]]*Port[[#This Row],[CNY -&gt; THB]]</f>
        <v>19621.127049710005</v>
      </c>
      <c r="AK687" s="507">
        <f>Port[[#This Row],[ECL_Interest (CNY)]]*Port[[#This Row],[CNY -&gt; THB]]</f>
        <v>0</v>
      </c>
      <c r="AL687" s="507">
        <f>Port[[#This Row],[EAD (THB)]]*Port[[#This Row],[PD_avg]]</f>
        <v>15968.994348942017</v>
      </c>
      <c r="AM687" s="507">
        <f>Port[[#This Row],[EAD_Interest (THB)]]*Port[[#This Row],[PD_avg]]</f>
        <v>0</v>
      </c>
      <c r="AN687" s="507">
        <f>Port[[#This Row],[EAD (THB)]]*Port[[#This Row],[LGD_avg]]</f>
        <v>1504237.8455999999</v>
      </c>
      <c r="AO687" s="507">
        <f>Port[[#This Row],[EAD_Interest (THB)]]*Port[[#This Row],[LGD_avg]]</f>
        <v>0</v>
      </c>
      <c r="AP687" s="507">
        <f>Port[[#This Row],[EAD_Drawn (THB)]]+Port[[#This Row],[EAD_Interest (THB)]]</f>
        <v>1224250.0440975504</v>
      </c>
      <c r="AQ68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19621.127049710005</v>
      </c>
      <c r="AR687" s="522">
        <f>MAX(Port[[#This Row],[ECL (THB)]]+Port[[#This Row],[ECL_Interest (THB)]], Port[[#This Row],[ECL CBIRC (THB)]])</f>
        <v>19621.127049710005</v>
      </c>
    </row>
    <row r="688" spans="1:44">
      <c r="A688" s="2" t="s">
        <v>497</v>
      </c>
      <c r="B688" s="2" t="s">
        <v>382</v>
      </c>
      <c r="C688" s="2" t="s">
        <v>379</v>
      </c>
      <c r="D688" s="2" t="s">
        <v>30</v>
      </c>
      <c r="E688" s="2" t="s">
        <v>19</v>
      </c>
      <c r="F688" s="2" t="s">
        <v>380</v>
      </c>
      <c r="G688" s="2" t="s">
        <v>57</v>
      </c>
      <c r="H688">
        <v>1</v>
      </c>
      <c r="I688" s="2" t="s">
        <v>526</v>
      </c>
      <c r="J688" s="505">
        <v>1.3043899345507868E-2</v>
      </c>
      <c r="K688" s="505">
        <v>0.44459475514649111</v>
      </c>
      <c r="L688" s="3">
        <v>0.15684552284455039</v>
      </c>
      <c r="M688" s="3">
        <v>5.2488000000000001</v>
      </c>
      <c r="N688" s="507">
        <v>456169.63499799994</v>
      </c>
      <c r="O688" s="507">
        <v>0</v>
      </c>
      <c r="P688" s="507">
        <v>456169.63499799994</v>
      </c>
      <c r="Q688" s="507">
        <v>0</v>
      </c>
      <c r="R688" s="507">
        <v>2645.4414070987195</v>
      </c>
      <c r="S688" s="507">
        <v>0</v>
      </c>
      <c r="T688" s="507">
        <v>2645.4414070987195</v>
      </c>
      <c r="U688" s="507">
        <v>0</v>
      </c>
      <c r="V688" s="507">
        <f>Port[[#This Row],[EAD_Drawn (CNY)]]*Port[[#This Row],[CNY -&gt; FCY]]</f>
        <v>71548.164907069018</v>
      </c>
      <c r="W688" s="507">
        <f>Port[[#This Row],[EAD_Undrawn (CNY)]]*Port[[#This Row],[CNY -&gt; FCY]]</f>
        <v>0</v>
      </c>
      <c r="X688" s="507">
        <f>Port[[#This Row],[EAD (CNY)]]*Port[[#This Row],[CNY -&gt; FCY]]</f>
        <v>71548.164907069018</v>
      </c>
      <c r="Y688" s="507">
        <f>Port[[#This Row],[EAD_Interest (CNY)]]*Port[[#This Row],[CNY -&gt; FCY]]</f>
        <v>0</v>
      </c>
      <c r="Z688" s="507">
        <f>Port[[#This Row],[ECL_Drawn (CNY)]]*Port[[#This Row],[CNY -&gt; FCY]]</f>
        <v>414.92564065102175</v>
      </c>
      <c r="AA688" s="507">
        <f>Port[[#This Row],[ECL_Undrawn (CNY)]]*Port[[#This Row],[CNY -&gt; FCY]]</f>
        <v>0</v>
      </c>
      <c r="AB688" s="507">
        <f>Port[[#This Row],[ECL (CNY)]]*Port[[#This Row],[CNY -&gt; FCY]]</f>
        <v>414.92564065102175</v>
      </c>
      <c r="AC688" s="507">
        <f>Port[[#This Row],[ECL_Interest (CNY)]]*Port[[#This Row],[CNY -&gt; FCY]]</f>
        <v>0</v>
      </c>
      <c r="AD688" s="507">
        <f>Port[[#This Row],[EAD_Drawn (CNY)]]*Port[[#This Row],[CNY -&gt; THB]]</f>
        <v>2394343.1801775023</v>
      </c>
      <c r="AE688" s="507">
        <f>Port[[#This Row],[EAD_Undrawn (CNY)]]*Port[[#This Row],[CNY -&gt; THB]]</f>
        <v>0</v>
      </c>
      <c r="AF688" s="507">
        <f>Port[[#This Row],[EAD (CNY)]]*Port[[#This Row],[CNY -&gt; THB]]</f>
        <v>2394343.1801775023</v>
      </c>
      <c r="AG688" s="507">
        <f>Port[[#This Row],[EAD_Interest (CNY)]]*Port[[#This Row],[CNY -&gt; THB]]</f>
        <v>0</v>
      </c>
      <c r="AH688" s="507">
        <f>Port[[#This Row],[ECL_Drawn (CNY)]]*Port[[#This Row],[CNY -&gt; THB]]</f>
        <v>13885.39285757976</v>
      </c>
      <c r="AI688" s="507">
        <f>Port[[#This Row],[ECL_Undrawn (CNY)]]*Port[[#This Row],[CNY -&gt; THB]]</f>
        <v>0</v>
      </c>
      <c r="AJ688" s="507">
        <f>Port[[#This Row],[ECL (CNY)]]*Port[[#This Row],[CNY -&gt; THB]]</f>
        <v>13885.39285757976</v>
      </c>
      <c r="AK688" s="507">
        <f>Port[[#This Row],[ECL_Interest (CNY)]]*Port[[#This Row],[CNY -&gt; THB]]</f>
        <v>0</v>
      </c>
      <c r="AL688" s="507">
        <f>Port[[#This Row],[EAD (THB)]]*Port[[#This Row],[PD_avg]]</f>
        <v>31231.57144083855</v>
      </c>
      <c r="AM688" s="507">
        <f>Port[[#This Row],[EAD_Interest (THB)]]*Port[[#This Row],[PD_avg]]</f>
        <v>0</v>
      </c>
      <c r="AN688" s="507">
        <f>Port[[#This Row],[EAD (THB)]]*Port[[#This Row],[LGD_avg]]</f>
        <v>1064512.4199276874</v>
      </c>
      <c r="AO688" s="507">
        <f>Port[[#This Row],[EAD_Interest (THB)]]*Port[[#This Row],[LGD_avg]]</f>
        <v>0</v>
      </c>
      <c r="AP688" s="507">
        <f>Port[[#This Row],[EAD_Drawn (THB)]]+Port[[#This Row],[EAD_Interest (THB)]]</f>
        <v>2394343.1801775023</v>
      </c>
      <c r="AQ68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13885.39285757976</v>
      </c>
      <c r="AR688" s="522">
        <f>MAX(Port[[#This Row],[ECL (THB)]]+Port[[#This Row],[ECL_Interest (THB)]], Port[[#This Row],[ECL CBIRC (THB)]])</f>
        <v>13885.39285757976</v>
      </c>
    </row>
    <row r="689" spans="1:44">
      <c r="A689" s="2" t="s">
        <v>498</v>
      </c>
      <c r="B689" s="2" t="s">
        <v>382</v>
      </c>
      <c r="C689" s="2" t="s">
        <v>379</v>
      </c>
      <c r="D689" s="2" t="s">
        <v>30</v>
      </c>
      <c r="E689" s="2" t="s">
        <v>19</v>
      </c>
      <c r="F689" s="2" t="s">
        <v>380</v>
      </c>
      <c r="G689" s="2" t="s">
        <v>57</v>
      </c>
      <c r="H689">
        <v>1</v>
      </c>
      <c r="I689" s="2" t="s">
        <v>526</v>
      </c>
      <c r="J689" s="505">
        <v>1.3043899345507868E-2</v>
      </c>
      <c r="K689" s="505">
        <v>6.7270219952640445E-2</v>
      </c>
      <c r="L689" s="3">
        <v>0.15684552284455039</v>
      </c>
      <c r="M689" s="3">
        <v>5.2488000000000001</v>
      </c>
      <c r="N689" s="507">
        <v>284572.675506</v>
      </c>
      <c r="O689" s="507">
        <v>0</v>
      </c>
      <c r="P689" s="507">
        <v>284572.675506</v>
      </c>
      <c r="Q689" s="507">
        <v>0</v>
      </c>
      <c r="R689" s="507">
        <v>249.70284102848251</v>
      </c>
      <c r="S689" s="507">
        <v>0</v>
      </c>
      <c r="T689" s="507">
        <v>249.70284102848251</v>
      </c>
      <c r="U689" s="507">
        <v>0</v>
      </c>
      <c r="V689" s="507">
        <f>Port[[#This Row],[EAD_Drawn (CNY)]]*Port[[#This Row],[CNY -&gt; FCY]]</f>
        <v>44633.950077011148</v>
      </c>
      <c r="W689" s="507">
        <f>Port[[#This Row],[EAD_Undrawn (CNY)]]*Port[[#This Row],[CNY -&gt; FCY]]</f>
        <v>0</v>
      </c>
      <c r="X689" s="507">
        <f>Port[[#This Row],[EAD (CNY)]]*Port[[#This Row],[CNY -&gt; FCY]]</f>
        <v>44633.950077011148</v>
      </c>
      <c r="Y689" s="507">
        <f>Port[[#This Row],[EAD_Interest (CNY)]]*Port[[#This Row],[CNY -&gt; FCY]]</f>
        <v>0</v>
      </c>
      <c r="Z689" s="507">
        <f>Port[[#This Row],[ECL_Drawn (CNY)]]*Port[[#This Row],[CNY -&gt; FCY]]</f>
        <v>39.164772656881986</v>
      </c>
      <c r="AA689" s="507">
        <f>Port[[#This Row],[ECL_Undrawn (CNY)]]*Port[[#This Row],[CNY -&gt; FCY]]</f>
        <v>0</v>
      </c>
      <c r="AB689" s="507">
        <f>Port[[#This Row],[ECL (CNY)]]*Port[[#This Row],[CNY -&gt; FCY]]</f>
        <v>39.164772656881986</v>
      </c>
      <c r="AC689" s="507">
        <f>Port[[#This Row],[ECL_Interest (CNY)]]*Port[[#This Row],[CNY -&gt; FCY]]</f>
        <v>0</v>
      </c>
      <c r="AD689" s="507">
        <f>Port[[#This Row],[EAD_Drawn (CNY)]]*Port[[#This Row],[CNY -&gt; THB]]</f>
        <v>1493665.0591958929</v>
      </c>
      <c r="AE689" s="507">
        <f>Port[[#This Row],[EAD_Undrawn (CNY)]]*Port[[#This Row],[CNY -&gt; THB]]</f>
        <v>0</v>
      </c>
      <c r="AF689" s="507">
        <f>Port[[#This Row],[EAD (CNY)]]*Port[[#This Row],[CNY -&gt; THB]]</f>
        <v>1493665.0591958929</v>
      </c>
      <c r="AG689" s="507">
        <f>Port[[#This Row],[EAD_Interest (CNY)]]*Port[[#This Row],[CNY -&gt; THB]]</f>
        <v>0</v>
      </c>
      <c r="AH689" s="507">
        <f>Port[[#This Row],[ECL_Drawn (CNY)]]*Port[[#This Row],[CNY -&gt; THB]]</f>
        <v>1310.640271990299</v>
      </c>
      <c r="AI689" s="507">
        <f>Port[[#This Row],[ECL_Undrawn (CNY)]]*Port[[#This Row],[CNY -&gt; THB]]</f>
        <v>0</v>
      </c>
      <c r="AJ689" s="507">
        <f>Port[[#This Row],[ECL (CNY)]]*Port[[#This Row],[CNY -&gt; THB]]</f>
        <v>1310.640271990299</v>
      </c>
      <c r="AK689" s="507">
        <f>Port[[#This Row],[ECL_Interest (CNY)]]*Port[[#This Row],[CNY -&gt; THB]]</f>
        <v>0</v>
      </c>
      <c r="AL689" s="507">
        <f>Port[[#This Row],[EAD (THB)]]*Port[[#This Row],[PD_avg]]</f>
        <v>19483.216688053279</v>
      </c>
      <c r="AM689" s="507">
        <f>Port[[#This Row],[EAD_Interest (THB)]]*Port[[#This Row],[PD_avg]]</f>
        <v>0</v>
      </c>
      <c r="AN689" s="507">
        <f>Port[[#This Row],[EAD (THB)]]*Port[[#This Row],[LGD_avg]]</f>
        <v>100479.17706768142</v>
      </c>
      <c r="AO689" s="507">
        <f>Port[[#This Row],[EAD_Interest (THB)]]*Port[[#This Row],[LGD_avg]]</f>
        <v>0</v>
      </c>
      <c r="AP689" s="507">
        <f>Port[[#This Row],[EAD_Drawn (THB)]]+Port[[#This Row],[EAD_Interest (THB)]]</f>
        <v>1493665.0591958929</v>
      </c>
      <c r="AQ68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1310.640271990299</v>
      </c>
      <c r="AR689" s="522">
        <f>MAX(Port[[#This Row],[ECL (THB)]]+Port[[#This Row],[ECL_Interest (THB)]], Port[[#This Row],[ECL CBIRC (THB)]])</f>
        <v>1310.640271990299</v>
      </c>
    </row>
    <row r="690" spans="1:44">
      <c r="A690" s="2" t="s">
        <v>499</v>
      </c>
      <c r="B690" s="2" t="s">
        <v>382</v>
      </c>
      <c r="C690" s="2" t="s">
        <v>379</v>
      </c>
      <c r="D690" s="2" t="s">
        <v>30</v>
      </c>
      <c r="E690" s="2" t="s">
        <v>19</v>
      </c>
      <c r="F690" s="2" t="s">
        <v>380</v>
      </c>
      <c r="G690" s="2" t="s">
        <v>57</v>
      </c>
      <c r="H690">
        <v>1</v>
      </c>
      <c r="I690" s="2" t="s">
        <v>526</v>
      </c>
      <c r="J690" s="505">
        <v>1.3043899345507868E-2</v>
      </c>
      <c r="K690" s="505">
        <v>4.942492577308399</v>
      </c>
      <c r="L690" s="3">
        <v>0.15684552284455039</v>
      </c>
      <c r="M690" s="3">
        <v>5.2488000000000001</v>
      </c>
      <c r="N690" s="507">
        <v>123228.90727</v>
      </c>
      <c r="O690" s="507">
        <v>0</v>
      </c>
      <c r="P690" s="507">
        <v>123228.90727</v>
      </c>
      <c r="Q690" s="507">
        <v>0</v>
      </c>
      <c r="R690" s="507">
        <v>7944.4907191914481</v>
      </c>
      <c r="S690" s="507">
        <v>0</v>
      </c>
      <c r="T690" s="507">
        <v>7944.4907191914481</v>
      </c>
      <c r="U690" s="507">
        <v>0</v>
      </c>
      <c r="V690" s="507">
        <f>Port[[#This Row],[EAD_Drawn (CNY)]]*Port[[#This Row],[CNY -&gt; FCY]]</f>
        <v>19327.902390325766</v>
      </c>
      <c r="W690" s="507">
        <f>Port[[#This Row],[EAD_Undrawn (CNY)]]*Port[[#This Row],[CNY -&gt; FCY]]</f>
        <v>0</v>
      </c>
      <c r="X690" s="507">
        <f>Port[[#This Row],[EAD (CNY)]]*Port[[#This Row],[CNY -&gt; FCY]]</f>
        <v>19327.902390325766</v>
      </c>
      <c r="Y690" s="507">
        <f>Port[[#This Row],[EAD_Interest (CNY)]]*Port[[#This Row],[CNY -&gt; FCY]]</f>
        <v>0</v>
      </c>
      <c r="Z690" s="507">
        <f>Port[[#This Row],[ECL_Drawn (CNY)]]*Port[[#This Row],[CNY -&gt; FCY]]</f>
        <v>1246.0578005852608</v>
      </c>
      <c r="AA690" s="507">
        <f>Port[[#This Row],[ECL_Undrawn (CNY)]]*Port[[#This Row],[CNY -&gt; FCY]]</f>
        <v>0</v>
      </c>
      <c r="AB690" s="507">
        <f>Port[[#This Row],[ECL (CNY)]]*Port[[#This Row],[CNY -&gt; FCY]]</f>
        <v>1246.0578005852608</v>
      </c>
      <c r="AC690" s="507">
        <f>Port[[#This Row],[ECL_Interest (CNY)]]*Port[[#This Row],[CNY -&gt; FCY]]</f>
        <v>0</v>
      </c>
      <c r="AD690" s="507">
        <f>Port[[#This Row],[EAD_Drawn (CNY)]]*Port[[#This Row],[CNY -&gt; THB]]</f>
        <v>646803.88847877597</v>
      </c>
      <c r="AE690" s="507">
        <f>Port[[#This Row],[EAD_Undrawn (CNY)]]*Port[[#This Row],[CNY -&gt; THB]]</f>
        <v>0</v>
      </c>
      <c r="AF690" s="507">
        <f>Port[[#This Row],[EAD (CNY)]]*Port[[#This Row],[CNY -&gt; THB]]</f>
        <v>646803.88847877597</v>
      </c>
      <c r="AG690" s="507">
        <f>Port[[#This Row],[EAD_Interest (CNY)]]*Port[[#This Row],[CNY -&gt; THB]]</f>
        <v>0</v>
      </c>
      <c r="AH690" s="507">
        <f>Port[[#This Row],[ECL_Drawn (CNY)]]*Port[[#This Row],[CNY -&gt; THB]]</f>
        <v>41699.042886892072</v>
      </c>
      <c r="AI690" s="507">
        <f>Port[[#This Row],[ECL_Undrawn (CNY)]]*Port[[#This Row],[CNY -&gt; THB]]</f>
        <v>0</v>
      </c>
      <c r="AJ690" s="507">
        <f>Port[[#This Row],[ECL (CNY)]]*Port[[#This Row],[CNY -&gt; THB]]</f>
        <v>41699.042886892072</v>
      </c>
      <c r="AK690" s="507">
        <f>Port[[#This Row],[ECL_Interest (CNY)]]*Port[[#This Row],[CNY -&gt; THB]]</f>
        <v>0</v>
      </c>
      <c r="AL690" s="507">
        <f>Port[[#This Row],[EAD (THB)]]*Port[[#This Row],[PD_avg]]</f>
        <v>8436.8448176002494</v>
      </c>
      <c r="AM690" s="507">
        <f>Port[[#This Row],[EAD_Interest (THB)]]*Port[[#This Row],[PD_avg]]</f>
        <v>0</v>
      </c>
      <c r="AN690" s="507">
        <f>Port[[#This Row],[EAD (THB)]]*Port[[#This Row],[LGD_avg]]</f>
        <v>3196823.4177805595</v>
      </c>
      <c r="AO690" s="507">
        <f>Port[[#This Row],[EAD_Interest (THB)]]*Port[[#This Row],[LGD_avg]]</f>
        <v>0</v>
      </c>
      <c r="AP690" s="507">
        <f>Port[[#This Row],[EAD_Drawn (THB)]]+Port[[#This Row],[EAD_Interest (THB)]]</f>
        <v>646803.88847877597</v>
      </c>
      <c r="AQ69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41699.042886892072</v>
      </c>
      <c r="AR690" s="522">
        <f>MAX(Port[[#This Row],[ECL (THB)]]+Port[[#This Row],[ECL_Interest (THB)]], Port[[#This Row],[ECL CBIRC (THB)]])</f>
        <v>41699.042886892072</v>
      </c>
    </row>
    <row r="691" spans="1:44">
      <c r="A691" s="2" t="s">
        <v>500</v>
      </c>
      <c r="B691" s="2" t="s">
        <v>382</v>
      </c>
      <c r="C691" s="2" t="s">
        <v>379</v>
      </c>
      <c r="D691" s="2" t="s">
        <v>30</v>
      </c>
      <c r="E691" s="2" t="s">
        <v>19</v>
      </c>
      <c r="F691" s="2" t="s">
        <v>380</v>
      </c>
      <c r="G691" s="2" t="s">
        <v>57</v>
      </c>
      <c r="H691">
        <v>1</v>
      </c>
      <c r="I691" s="2" t="s">
        <v>526</v>
      </c>
      <c r="J691" s="505">
        <v>1.3043899345507868E-2</v>
      </c>
      <c r="K691" s="505">
        <v>0.32194952978056429</v>
      </c>
      <c r="L691" s="3">
        <v>0.15684552284455039</v>
      </c>
      <c r="M691" s="3">
        <v>5.2488000000000001</v>
      </c>
      <c r="N691" s="507">
        <v>731370.02399999998</v>
      </c>
      <c r="O691" s="507">
        <v>0</v>
      </c>
      <c r="P691" s="507">
        <v>731370.02399999998</v>
      </c>
      <c r="Q691" s="507">
        <v>0</v>
      </c>
      <c r="R691" s="507">
        <v>3071.3717850123644</v>
      </c>
      <c r="S691" s="507">
        <v>0</v>
      </c>
      <c r="T691" s="507">
        <v>3071.3717850123644</v>
      </c>
      <c r="U691" s="507">
        <v>0</v>
      </c>
      <c r="V691" s="507">
        <f>Port[[#This Row],[EAD_Drawn (CNY)]]*Port[[#This Row],[CNY -&gt; FCY]]</f>
        <v>114712.11380711137</v>
      </c>
      <c r="W691" s="507">
        <f>Port[[#This Row],[EAD_Undrawn (CNY)]]*Port[[#This Row],[CNY -&gt; FCY]]</f>
        <v>0</v>
      </c>
      <c r="X691" s="507">
        <f>Port[[#This Row],[EAD (CNY)]]*Port[[#This Row],[CNY -&gt; FCY]]</f>
        <v>114712.11380711137</v>
      </c>
      <c r="Y691" s="507">
        <f>Port[[#This Row],[EAD_Interest (CNY)]]*Port[[#This Row],[CNY -&gt; FCY]]</f>
        <v>0</v>
      </c>
      <c r="Z691" s="507">
        <f>Port[[#This Row],[ECL_Drawn (CNY)]]*Port[[#This Row],[CNY -&gt; FCY]]</f>
        <v>481.73091347026428</v>
      </c>
      <c r="AA691" s="507">
        <f>Port[[#This Row],[ECL_Undrawn (CNY)]]*Port[[#This Row],[CNY -&gt; FCY]]</f>
        <v>0</v>
      </c>
      <c r="AB691" s="507">
        <f>Port[[#This Row],[ECL (CNY)]]*Port[[#This Row],[CNY -&gt; FCY]]</f>
        <v>481.73091347026428</v>
      </c>
      <c r="AC691" s="507">
        <f>Port[[#This Row],[ECL_Interest (CNY)]]*Port[[#This Row],[CNY -&gt; FCY]]</f>
        <v>0</v>
      </c>
      <c r="AD691" s="507">
        <f>Port[[#This Row],[EAD_Drawn (CNY)]]*Port[[#This Row],[CNY -&gt; THB]]</f>
        <v>3838814.9819712001</v>
      </c>
      <c r="AE691" s="507">
        <f>Port[[#This Row],[EAD_Undrawn (CNY)]]*Port[[#This Row],[CNY -&gt; THB]]</f>
        <v>0</v>
      </c>
      <c r="AF691" s="507">
        <f>Port[[#This Row],[EAD (CNY)]]*Port[[#This Row],[CNY -&gt; THB]]</f>
        <v>3838814.9819712001</v>
      </c>
      <c r="AG691" s="507">
        <f>Port[[#This Row],[EAD_Interest (CNY)]]*Port[[#This Row],[CNY -&gt; THB]]</f>
        <v>0</v>
      </c>
      <c r="AH691" s="507">
        <f>Port[[#This Row],[ECL_Drawn (CNY)]]*Port[[#This Row],[CNY -&gt; THB]]</f>
        <v>16121.016225172898</v>
      </c>
      <c r="AI691" s="507">
        <f>Port[[#This Row],[ECL_Undrawn (CNY)]]*Port[[#This Row],[CNY -&gt; THB]]</f>
        <v>0</v>
      </c>
      <c r="AJ691" s="507">
        <f>Port[[#This Row],[ECL (CNY)]]*Port[[#This Row],[CNY -&gt; THB]]</f>
        <v>16121.016225172898</v>
      </c>
      <c r="AK691" s="507">
        <f>Port[[#This Row],[ECL_Interest (CNY)]]*Port[[#This Row],[CNY -&gt; THB]]</f>
        <v>0</v>
      </c>
      <c r="AL691" s="507">
        <f>Port[[#This Row],[EAD (THB)]]*Port[[#This Row],[PD_avg]]</f>
        <v>50073.116230859938</v>
      </c>
      <c r="AM691" s="507">
        <f>Port[[#This Row],[EAD_Interest (THB)]]*Port[[#This Row],[PD_avg]]</f>
        <v>0</v>
      </c>
      <c r="AN691" s="507">
        <f>Port[[#This Row],[EAD (THB)]]*Port[[#This Row],[LGD_avg]]</f>
        <v>1235904.6783602133</v>
      </c>
      <c r="AO691" s="507">
        <f>Port[[#This Row],[EAD_Interest (THB)]]*Port[[#This Row],[LGD_avg]]</f>
        <v>0</v>
      </c>
      <c r="AP691" s="507">
        <f>Port[[#This Row],[EAD_Drawn (THB)]]+Port[[#This Row],[EAD_Interest (THB)]]</f>
        <v>3838814.9819712001</v>
      </c>
      <c r="AQ69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16121.016225172898</v>
      </c>
      <c r="AR691" s="522">
        <f>MAX(Port[[#This Row],[ECL (THB)]]+Port[[#This Row],[ECL_Interest (THB)]], Port[[#This Row],[ECL CBIRC (THB)]])</f>
        <v>16121.016225172898</v>
      </c>
    </row>
    <row r="692" spans="1:44">
      <c r="A692" s="2" t="s">
        <v>501</v>
      </c>
      <c r="B692" s="2" t="s">
        <v>382</v>
      </c>
      <c r="C692" s="2" t="s">
        <v>379</v>
      </c>
      <c r="D692" s="2" t="s">
        <v>30</v>
      </c>
      <c r="E692" s="2" t="s">
        <v>19</v>
      </c>
      <c r="F692" s="2" t="s">
        <v>380</v>
      </c>
      <c r="G692" s="2" t="s">
        <v>57</v>
      </c>
      <c r="H692">
        <v>1</v>
      </c>
      <c r="I692" s="2" t="s">
        <v>526</v>
      </c>
      <c r="J692" s="505">
        <v>1.3043899345507868E-2</v>
      </c>
      <c r="K692" s="505">
        <v>0.35663958000000001</v>
      </c>
      <c r="L692" s="3">
        <v>0.15684552284455039</v>
      </c>
      <c r="M692" s="3">
        <v>5.2488000000000001</v>
      </c>
      <c r="N692" s="507">
        <v>1273720</v>
      </c>
      <c r="O692" s="507">
        <v>0</v>
      </c>
      <c r="P692" s="507">
        <v>1273720</v>
      </c>
      <c r="Q692" s="507">
        <v>0</v>
      </c>
      <c r="R692" s="507">
        <v>5925.3082271801522</v>
      </c>
      <c r="S692" s="507">
        <v>0</v>
      </c>
      <c r="T692" s="507">
        <v>5925.3082271801522</v>
      </c>
      <c r="U692" s="507">
        <v>0</v>
      </c>
      <c r="V692" s="507">
        <f>Port[[#This Row],[EAD_Drawn (CNY)]]*Port[[#This Row],[CNY -&gt; FCY]]</f>
        <v>199777.27935756074</v>
      </c>
      <c r="W692" s="507">
        <f>Port[[#This Row],[EAD_Undrawn (CNY)]]*Port[[#This Row],[CNY -&gt; FCY]]</f>
        <v>0</v>
      </c>
      <c r="X692" s="507">
        <f>Port[[#This Row],[EAD (CNY)]]*Port[[#This Row],[CNY -&gt; FCY]]</f>
        <v>199777.27935756074</v>
      </c>
      <c r="Y692" s="507">
        <f>Port[[#This Row],[EAD_Interest (CNY)]]*Port[[#This Row],[CNY -&gt; FCY]]</f>
        <v>0</v>
      </c>
      <c r="Z692" s="507">
        <f>Port[[#This Row],[ECL_Drawn (CNY)]]*Port[[#This Row],[CNY -&gt; FCY]]</f>
        <v>929.35806690718698</v>
      </c>
      <c r="AA692" s="507">
        <f>Port[[#This Row],[ECL_Undrawn (CNY)]]*Port[[#This Row],[CNY -&gt; FCY]]</f>
        <v>0</v>
      </c>
      <c r="AB692" s="507">
        <f>Port[[#This Row],[ECL (CNY)]]*Port[[#This Row],[CNY -&gt; FCY]]</f>
        <v>929.35806690718698</v>
      </c>
      <c r="AC692" s="507">
        <f>Port[[#This Row],[ECL_Interest (CNY)]]*Port[[#This Row],[CNY -&gt; FCY]]</f>
        <v>0</v>
      </c>
      <c r="AD692" s="507">
        <f>Port[[#This Row],[EAD_Drawn (CNY)]]*Port[[#This Row],[CNY -&gt; THB]]</f>
        <v>6685501.5360000003</v>
      </c>
      <c r="AE692" s="507">
        <f>Port[[#This Row],[EAD_Undrawn (CNY)]]*Port[[#This Row],[CNY -&gt; THB]]</f>
        <v>0</v>
      </c>
      <c r="AF692" s="507">
        <f>Port[[#This Row],[EAD (CNY)]]*Port[[#This Row],[CNY -&gt; THB]]</f>
        <v>6685501.5360000003</v>
      </c>
      <c r="AG692" s="507">
        <f>Port[[#This Row],[EAD_Interest (CNY)]]*Port[[#This Row],[CNY -&gt; THB]]</f>
        <v>0</v>
      </c>
      <c r="AH692" s="507">
        <f>Port[[#This Row],[ECL_Drawn (CNY)]]*Port[[#This Row],[CNY -&gt; THB]]</f>
        <v>31100.757822823183</v>
      </c>
      <c r="AI692" s="507">
        <f>Port[[#This Row],[ECL_Undrawn (CNY)]]*Port[[#This Row],[CNY -&gt; THB]]</f>
        <v>0</v>
      </c>
      <c r="AJ692" s="507">
        <f>Port[[#This Row],[ECL (CNY)]]*Port[[#This Row],[CNY -&gt; THB]]</f>
        <v>31100.757822823183</v>
      </c>
      <c r="AK692" s="507">
        <f>Port[[#This Row],[ECL_Interest (CNY)]]*Port[[#This Row],[CNY -&gt; THB]]</f>
        <v>0</v>
      </c>
      <c r="AL692" s="507">
        <f>Port[[#This Row],[EAD (THB)]]*Port[[#This Row],[PD_avg]]</f>
        <v>87205.009109822247</v>
      </c>
      <c r="AM692" s="507">
        <f>Port[[#This Row],[EAD_Interest (THB)]]*Port[[#This Row],[PD_avg]]</f>
        <v>0</v>
      </c>
      <c r="AN692" s="507">
        <f>Port[[#This Row],[EAD (THB)]]*Port[[#This Row],[LGD_avg]]</f>
        <v>2384314.4598883949</v>
      </c>
      <c r="AO692" s="507">
        <f>Port[[#This Row],[EAD_Interest (THB)]]*Port[[#This Row],[LGD_avg]]</f>
        <v>0</v>
      </c>
      <c r="AP692" s="507">
        <f>Port[[#This Row],[EAD_Drawn (THB)]]+Port[[#This Row],[EAD_Interest (THB)]]</f>
        <v>6685501.5360000003</v>
      </c>
      <c r="AQ69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31100.757822823183</v>
      </c>
      <c r="AR692" s="522">
        <f>MAX(Port[[#This Row],[ECL (THB)]]+Port[[#This Row],[ECL_Interest (THB)]], Port[[#This Row],[ECL CBIRC (THB)]])</f>
        <v>31100.757822823183</v>
      </c>
    </row>
    <row r="693" spans="1:44">
      <c r="A693" s="2" t="s">
        <v>502</v>
      </c>
      <c r="B693" s="2" t="s">
        <v>382</v>
      </c>
      <c r="C693" s="2" t="s">
        <v>379</v>
      </c>
      <c r="D693" s="2" t="s">
        <v>30</v>
      </c>
      <c r="E693" s="2" t="s">
        <v>19</v>
      </c>
      <c r="F693" s="2" t="s">
        <v>380</v>
      </c>
      <c r="G693" s="2" t="s">
        <v>57</v>
      </c>
      <c r="H693">
        <v>1</v>
      </c>
      <c r="I693" s="2" t="s">
        <v>526</v>
      </c>
      <c r="J693" s="505">
        <v>1.3043899345507868E-2</v>
      </c>
      <c r="K693" s="505">
        <v>0.51179168031444477</v>
      </c>
      <c r="L693" s="3">
        <v>0.15684552284455039</v>
      </c>
      <c r="M693" s="3">
        <v>5.2488000000000001</v>
      </c>
      <c r="N693" s="507">
        <v>2239872.2841599998</v>
      </c>
      <c r="O693" s="507">
        <v>0</v>
      </c>
      <c r="P693" s="507">
        <v>2239872.2841599998</v>
      </c>
      <c r="Q693" s="507">
        <v>0</v>
      </c>
      <c r="R693" s="507">
        <v>14952.847926924253</v>
      </c>
      <c r="S693" s="507">
        <v>0</v>
      </c>
      <c r="T693" s="507">
        <v>14952.847926924253</v>
      </c>
      <c r="U693" s="507">
        <v>0</v>
      </c>
      <c r="V693" s="507">
        <f>Port[[#This Row],[EAD_Drawn (CNY)]]*Port[[#This Row],[CNY -&gt; FCY]]</f>
        <v>351313.93951409252</v>
      </c>
      <c r="W693" s="507">
        <f>Port[[#This Row],[EAD_Undrawn (CNY)]]*Port[[#This Row],[CNY -&gt; FCY]]</f>
        <v>0</v>
      </c>
      <c r="X693" s="507">
        <f>Port[[#This Row],[EAD (CNY)]]*Port[[#This Row],[CNY -&gt; FCY]]</f>
        <v>351313.93951409252</v>
      </c>
      <c r="Y693" s="507">
        <f>Port[[#This Row],[EAD_Interest (CNY)]]*Port[[#This Row],[CNY -&gt; FCY]]</f>
        <v>0</v>
      </c>
      <c r="Z693" s="507">
        <f>Port[[#This Row],[ECL_Drawn (CNY)]]*Port[[#This Row],[CNY -&gt; FCY]]</f>
        <v>2345.2872511134856</v>
      </c>
      <c r="AA693" s="507">
        <f>Port[[#This Row],[ECL_Undrawn (CNY)]]*Port[[#This Row],[CNY -&gt; FCY]]</f>
        <v>0</v>
      </c>
      <c r="AB693" s="507">
        <f>Port[[#This Row],[ECL (CNY)]]*Port[[#This Row],[CNY -&gt; FCY]]</f>
        <v>2345.2872511134856</v>
      </c>
      <c r="AC693" s="507">
        <f>Port[[#This Row],[ECL_Interest (CNY)]]*Port[[#This Row],[CNY -&gt; FCY]]</f>
        <v>0</v>
      </c>
      <c r="AD693" s="507">
        <f>Port[[#This Row],[EAD_Drawn (CNY)]]*Port[[#This Row],[CNY -&gt; THB]]</f>
        <v>11756641.645099007</v>
      </c>
      <c r="AE693" s="507">
        <f>Port[[#This Row],[EAD_Undrawn (CNY)]]*Port[[#This Row],[CNY -&gt; THB]]</f>
        <v>0</v>
      </c>
      <c r="AF693" s="507">
        <f>Port[[#This Row],[EAD (CNY)]]*Port[[#This Row],[CNY -&gt; THB]]</f>
        <v>11756641.645099007</v>
      </c>
      <c r="AG693" s="507">
        <f>Port[[#This Row],[EAD_Interest (CNY)]]*Port[[#This Row],[CNY -&gt; THB]]</f>
        <v>0</v>
      </c>
      <c r="AH693" s="507">
        <f>Port[[#This Row],[ECL_Drawn (CNY)]]*Port[[#This Row],[CNY -&gt; THB]]</f>
        <v>78484.50819884002</v>
      </c>
      <c r="AI693" s="507">
        <f>Port[[#This Row],[ECL_Undrawn (CNY)]]*Port[[#This Row],[CNY -&gt; THB]]</f>
        <v>0</v>
      </c>
      <c r="AJ693" s="507">
        <f>Port[[#This Row],[ECL (CNY)]]*Port[[#This Row],[CNY -&gt; THB]]</f>
        <v>78484.50819884002</v>
      </c>
      <c r="AK693" s="507">
        <f>Port[[#This Row],[ECL_Interest (CNY)]]*Port[[#This Row],[CNY -&gt; THB]]</f>
        <v>0</v>
      </c>
      <c r="AL693" s="507">
        <f>Port[[#This Row],[EAD (THB)]]*Port[[#This Row],[PD_avg]]</f>
        <v>153352.45025987749</v>
      </c>
      <c r="AM693" s="507">
        <f>Port[[#This Row],[EAD_Interest (THB)]]*Port[[#This Row],[PD_avg]]</f>
        <v>0</v>
      </c>
      <c r="AN693" s="507">
        <f>Port[[#This Row],[EAD (THB)]]*Port[[#This Row],[LGD_avg]]</f>
        <v>6016951.3823999986</v>
      </c>
      <c r="AO693" s="507">
        <f>Port[[#This Row],[EAD_Interest (THB)]]*Port[[#This Row],[LGD_avg]]</f>
        <v>0</v>
      </c>
      <c r="AP693" s="507">
        <f>Port[[#This Row],[EAD_Drawn (THB)]]+Port[[#This Row],[EAD_Interest (THB)]]</f>
        <v>11756641.645099007</v>
      </c>
      <c r="AQ69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78484.50819884002</v>
      </c>
      <c r="AR693" s="522">
        <f>MAX(Port[[#This Row],[ECL (THB)]]+Port[[#This Row],[ECL_Interest (THB)]], Port[[#This Row],[ECL CBIRC (THB)]])</f>
        <v>78484.50819884002</v>
      </c>
    </row>
    <row r="694" spans="1:44">
      <c r="A694" s="2" t="s">
        <v>503</v>
      </c>
      <c r="B694" s="2" t="s">
        <v>382</v>
      </c>
      <c r="C694" s="2" t="s">
        <v>379</v>
      </c>
      <c r="D694" s="2" t="s">
        <v>30</v>
      </c>
      <c r="E694" s="2" t="s">
        <v>19</v>
      </c>
      <c r="F694" s="2" t="s">
        <v>380</v>
      </c>
      <c r="G694" s="2" t="s">
        <v>57</v>
      </c>
      <c r="H694">
        <v>1</v>
      </c>
      <c r="I694" s="2" t="s">
        <v>526</v>
      </c>
      <c r="J694" s="505">
        <v>1.3043899345507868E-2</v>
      </c>
      <c r="K694" s="505">
        <v>8.5252274738545644E-2</v>
      </c>
      <c r="L694" s="3">
        <v>0.15684552284455039</v>
      </c>
      <c r="M694" s="3">
        <v>5.2488000000000001</v>
      </c>
      <c r="N694" s="507">
        <v>312615.21345599997</v>
      </c>
      <c r="O694" s="507">
        <v>0</v>
      </c>
      <c r="P694" s="507">
        <v>312615.21345599997</v>
      </c>
      <c r="Q694" s="507">
        <v>0</v>
      </c>
      <c r="R694" s="507">
        <v>347.63502324108026</v>
      </c>
      <c r="S694" s="507">
        <v>0</v>
      </c>
      <c r="T694" s="507">
        <v>347.63502324108026</v>
      </c>
      <c r="U694" s="507">
        <v>0</v>
      </c>
      <c r="V694" s="507">
        <f>Port[[#This Row],[EAD_Drawn (CNY)]]*Port[[#This Row],[CNY -&gt; FCY]]</f>
        <v>49032.29660366704</v>
      </c>
      <c r="W694" s="507">
        <f>Port[[#This Row],[EAD_Undrawn (CNY)]]*Port[[#This Row],[CNY -&gt; FCY]]</f>
        <v>0</v>
      </c>
      <c r="X694" s="507">
        <f>Port[[#This Row],[EAD (CNY)]]*Port[[#This Row],[CNY -&gt; FCY]]</f>
        <v>49032.29660366704</v>
      </c>
      <c r="Y694" s="507">
        <f>Port[[#This Row],[EAD_Interest (CNY)]]*Port[[#This Row],[CNY -&gt; FCY]]</f>
        <v>0</v>
      </c>
      <c r="Z694" s="507">
        <f>Port[[#This Row],[ECL_Drawn (CNY)]]*Port[[#This Row],[CNY -&gt; FCY]]</f>
        <v>54.524996979324662</v>
      </c>
      <c r="AA694" s="507">
        <f>Port[[#This Row],[ECL_Undrawn (CNY)]]*Port[[#This Row],[CNY -&gt; FCY]]</f>
        <v>0</v>
      </c>
      <c r="AB694" s="507">
        <f>Port[[#This Row],[ECL (CNY)]]*Port[[#This Row],[CNY -&gt; FCY]]</f>
        <v>54.524996979324662</v>
      </c>
      <c r="AC694" s="507">
        <f>Port[[#This Row],[ECL_Interest (CNY)]]*Port[[#This Row],[CNY -&gt; FCY]]</f>
        <v>0</v>
      </c>
      <c r="AD694" s="507">
        <f>Port[[#This Row],[EAD_Drawn (CNY)]]*Port[[#This Row],[CNY -&gt; THB]]</f>
        <v>1640854.7323878526</v>
      </c>
      <c r="AE694" s="507">
        <f>Port[[#This Row],[EAD_Undrawn (CNY)]]*Port[[#This Row],[CNY -&gt; THB]]</f>
        <v>0</v>
      </c>
      <c r="AF694" s="507">
        <f>Port[[#This Row],[EAD (CNY)]]*Port[[#This Row],[CNY -&gt; THB]]</f>
        <v>1640854.7323878526</v>
      </c>
      <c r="AG694" s="507">
        <f>Port[[#This Row],[EAD_Interest (CNY)]]*Port[[#This Row],[CNY -&gt; THB]]</f>
        <v>0</v>
      </c>
      <c r="AH694" s="507">
        <f>Port[[#This Row],[ECL_Drawn (CNY)]]*Port[[#This Row],[CNY -&gt; THB]]</f>
        <v>1824.666709987782</v>
      </c>
      <c r="AI694" s="507">
        <f>Port[[#This Row],[ECL_Undrawn (CNY)]]*Port[[#This Row],[CNY -&gt; THB]]</f>
        <v>0</v>
      </c>
      <c r="AJ694" s="507">
        <f>Port[[#This Row],[ECL (CNY)]]*Port[[#This Row],[CNY -&gt; THB]]</f>
        <v>1824.666709987782</v>
      </c>
      <c r="AK694" s="507">
        <f>Port[[#This Row],[ECL_Interest (CNY)]]*Port[[#This Row],[CNY -&gt; THB]]</f>
        <v>0</v>
      </c>
      <c r="AL694" s="507">
        <f>Port[[#This Row],[EAD (THB)]]*Port[[#This Row],[PD_avg]]</f>
        <v>21403.1439698674</v>
      </c>
      <c r="AM694" s="507">
        <f>Port[[#This Row],[EAD_Interest (THB)]]*Port[[#This Row],[PD_avg]]</f>
        <v>0</v>
      </c>
      <c r="AN694" s="507">
        <f>Port[[#This Row],[EAD (THB)]]*Port[[#This Row],[LGD_avg]]</f>
        <v>139886.598451572</v>
      </c>
      <c r="AO694" s="507">
        <f>Port[[#This Row],[EAD_Interest (THB)]]*Port[[#This Row],[LGD_avg]]</f>
        <v>0</v>
      </c>
      <c r="AP694" s="507">
        <f>Port[[#This Row],[EAD_Drawn (THB)]]+Port[[#This Row],[EAD_Interest (THB)]]</f>
        <v>1640854.7323878526</v>
      </c>
      <c r="AQ69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1824.666709987782</v>
      </c>
      <c r="AR694" s="522">
        <f>MAX(Port[[#This Row],[ECL (THB)]]+Port[[#This Row],[ECL_Interest (THB)]], Port[[#This Row],[ECL CBIRC (THB)]])</f>
        <v>1824.666709987782</v>
      </c>
    </row>
    <row r="695" spans="1:44">
      <c r="A695" s="2" t="s">
        <v>504</v>
      </c>
      <c r="B695" s="2" t="s">
        <v>382</v>
      </c>
      <c r="C695" s="2" t="s">
        <v>379</v>
      </c>
      <c r="D695" s="2" t="s">
        <v>30</v>
      </c>
      <c r="E695" s="2" t="s">
        <v>19</v>
      </c>
      <c r="F695" s="2" t="s">
        <v>380</v>
      </c>
      <c r="G695" s="2" t="s">
        <v>57</v>
      </c>
      <c r="H695">
        <v>1</v>
      </c>
      <c r="I695" s="2" t="s">
        <v>526</v>
      </c>
      <c r="J695" s="505">
        <v>1.3043899345507868E-2</v>
      </c>
      <c r="K695" s="505">
        <v>3.5555199999999991</v>
      </c>
      <c r="L695" s="3">
        <v>0.15684552284455039</v>
      </c>
      <c r="M695" s="3">
        <v>5.2488000000000001</v>
      </c>
      <c r="N695" s="507">
        <v>28658.7</v>
      </c>
      <c r="O695" s="507">
        <v>0</v>
      </c>
      <c r="P695" s="507">
        <v>28658.7</v>
      </c>
      <c r="Q695" s="507">
        <v>0</v>
      </c>
      <c r="R695" s="507">
        <v>1329.1287465284429</v>
      </c>
      <c r="S695" s="507">
        <v>0</v>
      </c>
      <c r="T695" s="507">
        <v>1329.1287465284429</v>
      </c>
      <c r="U695" s="507">
        <v>0</v>
      </c>
      <c r="V695" s="507">
        <f>Port[[#This Row],[EAD_Drawn (CNY)]]*Port[[#This Row],[CNY -&gt; FCY]]</f>
        <v>4494.9887855451161</v>
      </c>
      <c r="W695" s="507">
        <f>Port[[#This Row],[EAD_Undrawn (CNY)]]*Port[[#This Row],[CNY -&gt; FCY]]</f>
        <v>0</v>
      </c>
      <c r="X695" s="507">
        <f>Port[[#This Row],[EAD (CNY)]]*Port[[#This Row],[CNY -&gt; FCY]]</f>
        <v>4494.9887855451161</v>
      </c>
      <c r="Y695" s="507">
        <f>Port[[#This Row],[EAD_Interest (CNY)]]*Port[[#This Row],[CNY -&gt; FCY]]</f>
        <v>0</v>
      </c>
      <c r="Z695" s="507">
        <f>Port[[#This Row],[ECL_Drawn (CNY)]]*Port[[#This Row],[CNY -&gt; FCY]]</f>
        <v>208.46789317697551</v>
      </c>
      <c r="AA695" s="507">
        <f>Port[[#This Row],[ECL_Undrawn (CNY)]]*Port[[#This Row],[CNY -&gt; FCY]]</f>
        <v>0</v>
      </c>
      <c r="AB695" s="507">
        <f>Port[[#This Row],[ECL (CNY)]]*Port[[#This Row],[CNY -&gt; FCY]]</f>
        <v>208.46789317697551</v>
      </c>
      <c r="AC695" s="507">
        <f>Port[[#This Row],[ECL_Interest (CNY)]]*Port[[#This Row],[CNY -&gt; FCY]]</f>
        <v>0</v>
      </c>
      <c r="AD695" s="507">
        <f>Port[[#This Row],[EAD_Drawn (CNY)]]*Port[[#This Row],[CNY -&gt; THB]]</f>
        <v>150423.78456</v>
      </c>
      <c r="AE695" s="507">
        <f>Port[[#This Row],[EAD_Undrawn (CNY)]]*Port[[#This Row],[CNY -&gt; THB]]</f>
        <v>0</v>
      </c>
      <c r="AF695" s="507">
        <f>Port[[#This Row],[EAD (CNY)]]*Port[[#This Row],[CNY -&gt; THB]]</f>
        <v>150423.78456</v>
      </c>
      <c r="AG695" s="507">
        <f>Port[[#This Row],[EAD_Interest (CNY)]]*Port[[#This Row],[CNY -&gt; THB]]</f>
        <v>0</v>
      </c>
      <c r="AH695" s="507">
        <f>Port[[#This Row],[ECL_Drawn (CNY)]]*Port[[#This Row],[CNY -&gt; THB]]</f>
        <v>6976.3309647784909</v>
      </c>
      <c r="AI695" s="507">
        <f>Port[[#This Row],[ECL_Undrawn (CNY)]]*Port[[#This Row],[CNY -&gt; THB]]</f>
        <v>0</v>
      </c>
      <c r="AJ695" s="507">
        <f>Port[[#This Row],[ECL (CNY)]]*Port[[#This Row],[CNY -&gt; THB]]</f>
        <v>6976.3309647784909</v>
      </c>
      <c r="AK695" s="507">
        <f>Port[[#This Row],[ECL_Interest (CNY)]]*Port[[#This Row],[CNY -&gt; THB]]</f>
        <v>0</v>
      </c>
      <c r="AL695" s="507">
        <f>Port[[#This Row],[EAD (THB)]]*Port[[#This Row],[PD_avg]]</f>
        <v>1962.1127049710005</v>
      </c>
      <c r="AM695" s="507">
        <f>Port[[#This Row],[EAD_Interest (THB)]]*Port[[#This Row],[PD_avg]]</f>
        <v>0</v>
      </c>
      <c r="AN695" s="507">
        <f>Port[[#This Row],[EAD (THB)]]*Port[[#This Row],[LGD_avg]]</f>
        <v>534834.77447877103</v>
      </c>
      <c r="AO695" s="507">
        <f>Port[[#This Row],[EAD_Interest (THB)]]*Port[[#This Row],[LGD_avg]]</f>
        <v>0</v>
      </c>
      <c r="AP695" s="507">
        <f>Port[[#This Row],[EAD_Drawn (THB)]]+Port[[#This Row],[EAD_Interest (THB)]]</f>
        <v>150423.78456</v>
      </c>
      <c r="AQ69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6976.3309647784909</v>
      </c>
      <c r="AR695" s="522">
        <f>MAX(Port[[#This Row],[ECL (THB)]]+Port[[#This Row],[ECL_Interest (THB)]], Port[[#This Row],[ECL CBIRC (THB)]])</f>
        <v>6976.3309647784909</v>
      </c>
    </row>
    <row r="696" spans="1:44">
      <c r="A696" s="2" t="s">
        <v>505</v>
      </c>
      <c r="B696" s="2" t="s">
        <v>382</v>
      </c>
      <c r="C696" s="2" t="s">
        <v>379</v>
      </c>
      <c r="D696" s="2" t="s">
        <v>30</v>
      </c>
      <c r="E696" s="2" t="s">
        <v>19</v>
      </c>
      <c r="F696" s="2" t="s">
        <v>380</v>
      </c>
      <c r="G696" s="2" t="s">
        <v>57</v>
      </c>
      <c r="H696">
        <v>1</v>
      </c>
      <c r="I696" s="2" t="s">
        <v>526</v>
      </c>
      <c r="J696" s="505">
        <v>1.3043899345507868E-2</v>
      </c>
      <c r="K696" s="505">
        <v>2.0662854006586171</v>
      </c>
      <c r="L696" s="3">
        <v>0.15684552284455039</v>
      </c>
      <c r="M696" s="3">
        <v>5.2488000000000001</v>
      </c>
      <c r="N696" s="507">
        <v>52216.151399999995</v>
      </c>
      <c r="O696" s="507">
        <v>0</v>
      </c>
      <c r="P696" s="507">
        <v>52216.151399999995</v>
      </c>
      <c r="Q696" s="507">
        <v>0</v>
      </c>
      <c r="R696" s="507">
        <v>1407.3515798885619</v>
      </c>
      <c r="S696" s="507">
        <v>0</v>
      </c>
      <c r="T696" s="507">
        <v>1407.3515798885619</v>
      </c>
      <c r="U696" s="507">
        <v>0</v>
      </c>
      <c r="V696" s="507">
        <f>Port[[#This Row],[EAD_Drawn (CNY)]]*Port[[#This Row],[CNY -&gt; FCY]]</f>
        <v>8189.8695672632011</v>
      </c>
      <c r="W696" s="507">
        <f>Port[[#This Row],[EAD_Undrawn (CNY)]]*Port[[#This Row],[CNY -&gt; FCY]]</f>
        <v>0</v>
      </c>
      <c r="X696" s="507">
        <f>Port[[#This Row],[EAD (CNY)]]*Port[[#This Row],[CNY -&gt; FCY]]</f>
        <v>8189.8695672632011</v>
      </c>
      <c r="Y696" s="507">
        <f>Port[[#This Row],[EAD_Interest (CNY)]]*Port[[#This Row],[CNY -&gt; FCY]]</f>
        <v>0</v>
      </c>
      <c r="Z696" s="507">
        <f>Port[[#This Row],[ECL_Drawn (CNY)]]*Port[[#This Row],[CNY -&gt; FCY]]</f>
        <v>220.73679437372553</v>
      </c>
      <c r="AA696" s="507">
        <f>Port[[#This Row],[ECL_Undrawn (CNY)]]*Port[[#This Row],[CNY -&gt; FCY]]</f>
        <v>0</v>
      </c>
      <c r="AB696" s="507">
        <f>Port[[#This Row],[ECL (CNY)]]*Port[[#This Row],[CNY -&gt; FCY]]</f>
        <v>220.73679437372553</v>
      </c>
      <c r="AC696" s="507">
        <f>Port[[#This Row],[ECL_Interest (CNY)]]*Port[[#This Row],[CNY -&gt; FCY]]</f>
        <v>0</v>
      </c>
      <c r="AD696" s="507">
        <f>Port[[#This Row],[EAD_Drawn (CNY)]]*Port[[#This Row],[CNY -&gt; THB]]</f>
        <v>274072.13546831999</v>
      </c>
      <c r="AE696" s="507">
        <f>Port[[#This Row],[EAD_Undrawn (CNY)]]*Port[[#This Row],[CNY -&gt; THB]]</f>
        <v>0</v>
      </c>
      <c r="AF696" s="507">
        <f>Port[[#This Row],[EAD (CNY)]]*Port[[#This Row],[CNY -&gt; THB]]</f>
        <v>274072.13546831999</v>
      </c>
      <c r="AG696" s="507">
        <f>Port[[#This Row],[EAD_Interest (CNY)]]*Port[[#This Row],[CNY -&gt; THB]]</f>
        <v>0</v>
      </c>
      <c r="AH696" s="507">
        <f>Port[[#This Row],[ECL_Drawn (CNY)]]*Port[[#This Row],[CNY -&gt; THB]]</f>
        <v>7386.9069725190839</v>
      </c>
      <c r="AI696" s="507">
        <f>Port[[#This Row],[ECL_Undrawn (CNY)]]*Port[[#This Row],[CNY -&gt; THB]]</f>
        <v>0</v>
      </c>
      <c r="AJ696" s="507">
        <f>Port[[#This Row],[ECL (CNY)]]*Port[[#This Row],[CNY -&gt; THB]]</f>
        <v>7386.9069725190839</v>
      </c>
      <c r="AK696" s="507">
        <f>Port[[#This Row],[ECL_Interest (CNY)]]*Port[[#This Row],[CNY -&gt; THB]]</f>
        <v>0</v>
      </c>
      <c r="AL696" s="507">
        <f>Port[[#This Row],[EAD (THB)]]*Port[[#This Row],[PD_avg]]</f>
        <v>3574.9693484571631</v>
      </c>
      <c r="AM696" s="507">
        <f>Port[[#This Row],[EAD_Interest (THB)]]*Port[[#This Row],[PD_avg]]</f>
        <v>0</v>
      </c>
      <c r="AN696" s="507">
        <f>Port[[#This Row],[EAD (THB)]]*Port[[#This Row],[LGD_avg]]</f>
        <v>566311.25224552036</v>
      </c>
      <c r="AO696" s="507">
        <f>Port[[#This Row],[EAD_Interest (THB)]]*Port[[#This Row],[LGD_avg]]</f>
        <v>0</v>
      </c>
      <c r="AP696" s="507">
        <f>Port[[#This Row],[EAD_Drawn (THB)]]+Port[[#This Row],[EAD_Interest (THB)]]</f>
        <v>274072.13546831999</v>
      </c>
      <c r="AQ69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7386.9069725190839</v>
      </c>
      <c r="AR696" s="522">
        <f>MAX(Port[[#This Row],[ECL (THB)]]+Port[[#This Row],[ECL_Interest (THB)]], Port[[#This Row],[ECL CBIRC (THB)]])</f>
        <v>7386.9069725190839</v>
      </c>
    </row>
    <row r="697" spans="1:44">
      <c r="A697" s="2" t="s">
        <v>506</v>
      </c>
      <c r="B697" s="2" t="s">
        <v>382</v>
      </c>
      <c r="C697" s="2" t="s">
        <v>379</v>
      </c>
      <c r="D697" s="2" t="s">
        <v>30</v>
      </c>
      <c r="E697" s="2" t="s">
        <v>19</v>
      </c>
      <c r="F697" s="2" t="s">
        <v>380</v>
      </c>
      <c r="G697" s="2" t="s">
        <v>57</v>
      </c>
      <c r="H697">
        <v>1</v>
      </c>
      <c r="I697" s="2" t="s">
        <v>526</v>
      </c>
      <c r="J697" s="505">
        <v>1.3043899345507868E-2</v>
      </c>
      <c r="K697" s="505">
        <v>0.60414045694237528</v>
      </c>
      <c r="L697" s="3">
        <v>0.15684552284455039</v>
      </c>
      <c r="M697" s="3">
        <v>5.2488000000000001</v>
      </c>
      <c r="N697" s="507">
        <v>313199.02301799995</v>
      </c>
      <c r="O697" s="507">
        <v>0</v>
      </c>
      <c r="P697" s="507">
        <v>313199.02301799995</v>
      </c>
      <c r="Q697" s="507">
        <v>0</v>
      </c>
      <c r="R697" s="507">
        <v>2468.1170788181175</v>
      </c>
      <c r="S697" s="507">
        <v>0</v>
      </c>
      <c r="T697" s="507">
        <v>2468.1170788181175</v>
      </c>
      <c r="U697" s="507">
        <v>0</v>
      </c>
      <c r="V697" s="507">
        <f>Port[[#This Row],[EAD_Drawn (CNY)]]*Port[[#This Row],[CNY -&gt; FCY]]</f>
        <v>49123.864519660572</v>
      </c>
      <c r="W697" s="507">
        <f>Port[[#This Row],[EAD_Undrawn (CNY)]]*Port[[#This Row],[CNY -&gt; FCY]]</f>
        <v>0</v>
      </c>
      <c r="X697" s="507">
        <f>Port[[#This Row],[EAD (CNY)]]*Port[[#This Row],[CNY -&gt; FCY]]</f>
        <v>49123.864519660572</v>
      </c>
      <c r="Y697" s="507">
        <f>Port[[#This Row],[EAD_Interest (CNY)]]*Port[[#This Row],[CNY -&gt; FCY]]</f>
        <v>0</v>
      </c>
      <c r="Z697" s="507">
        <f>Port[[#This Row],[ECL_Drawn (CNY)]]*Port[[#This Row],[CNY -&gt; FCY]]</f>
        <v>387.11311366879204</v>
      </c>
      <c r="AA697" s="507">
        <f>Port[[#This Row],[ECL_Undrawn (CNY)]]*Port[[#This Row],[CNY -&gt; FCY]]</f>
        <v>0</v>
      </c>
      <c r="AB697" s="507">
        <f>Port[[#This Row],[ECL (CNY)]]*Port[[#This Row],[CNY -&gt; FCY]]</f>
        <v>387.11311366879204</v>
      </c>
      <c r="AC697" s="507">
        <f>Port[[#This Row],[ECL_Interest (CNY)]]*Port[[#This Row],[CNY -&gt; FCY]]</f>
        <v>0</v>
      </c>
      <c r="AD697" s="507">
        <f>Port[[#This Row],[EAD_Drawn (CNY)]]*Port[[#This Row],[CNY -&gt; THB]]</f>
        <v>1643919.0320168782</v>
      </c>
      <c r="AE697" s="507">
        <f>Port[[#This Row],[EAD_Undrawn (CNY)]]*Port[[#This Row],[CNY -&gt; THB]]</f>
        <v>0</v>
      </c>
      <c r="AF697" s="507">
        <f>Port[[#This Row],[EAD (CNY)]]*Port[[#This Row],[CNY -&gt; THB]]</f>
        <v>1643919.0320168782</v>
      </c>
      <c r="AG697" s="507">
        <f>Port[[#This Row],[EAD_Interest (CNY)]]*Port[[#This Row],[CNY -&gt; THB]]</f>
        <v>0</v>
      </c>
      <c r="AH697" s="507">
        <f>Port[[#This Row],[ECL_Drawn (CNY)]]*Port[[#This Row],[CNY -&gt; THB]]</f>
        <v>12954.652923300535</v>
      </c>
      <c r="AI697" s="507">
        <f>Port[[#This Row],[ECL_Undrawn (CNY)]]*Port[[#This Row],[CNY -&gt; THB]]</f>
        <v>0</v>
      </c>
      <c r="AJ697" s="507">
        <f>Port[[#This Row],[ECL (CNY)]]*Port[[#This Row],[CNY -&gt; THB]]</f>
        <v>12954.652923300535</v>
      </c>
      <c r="AK697" s="507">
        <f>Port[[#This Row],[ECL_Interest (CNY)]]*Port[[#This Row],[CNY -&gt; THB]]</f>
        <v>0</v>
      </c>
      <c r="AL697" s="507">
        <f>Port[[#This Row],[EAD (THB)]]*Port[[#This Row],[PD_avg]]</f>
        <v>21443.114385792887</v>
      </c>
      <c r="AM697" s="507">
        <f>Port[[#This Row],[EAD_Interest (THB)]]*Port[[#This Row],[PD_avg]]</f>
        <v>0</v>
      </c>
      <c r="AN697" s="507">
        <f>Port[[#This Row],[EAD (THB)]]*Port[[#This Row],[LGD_avg]]</f>
        <v>993157.99517894408</v>
      </c>
      <c r="AO697" s="507">
        <f>Port[[#This Row],[EAD_Interest (THB)]]*Port[[#This Row],[LGD_avg]]</f>
        <v>0</v>
      </c>
      <c r="AP697" s="507">
        <f>Port[[#This Row],[EAD_Drawn (THB)]]+Port[[#This Row],[EAD_Interest (THB)]]</f>
        <v>1643919.0320168782</v>
      </c>
      <c r="AQ69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12954.652923300535</v>
      </c>
      <c r="AR697" s="522">
        <f>MAX(Port[[#This Row],[ECL (THB)]]+Port[[#This Row],[ECL_Interest (THB)]], Port[[#This Row],[ECL CBIRC (THB)]])</f>
        <v>12954.652923300535</v>
      </c>
    </row>
    <row r="698" spans="1:44">
      <c r="A698" s="2" t="s">
        <v>507</v>
      </c>
      <c r="B698" s="2" t="s">
        <v>382</v>
      </c>
      <c r="C698" s="2" t="s">
        <v>379</v>
      </c>
      <c r="D698" s="2" t="s">
        <v>30</v>
      </c>
      <c r="E698" s="2" t="s">
        <v>19</v>
      </c>
      <c r="F698" s="2" t="s">
        <v>380</v>
      </c>
      <c r="G698" s="2" t="s">
        <v>57</v>
      </c>
      <c r="H698">
        <v>1</v>
      </c>
      <c r="I698" s="2" t="s">
        <v>526</v>
      </c>
      <c r="J698" s="505">
        <v>1.3043899345507868E-2</v>
      </c>
      <c r="K698" s="505">
        <v>5.3279066045970325</v>
      </c>
      <c r="L698" s="3">
        <v>0.15684552284455039</v>
      </c>
      <c r="M698" s="3">
        <v>5.2488000000000001</v>
      </c>
      <c r="N698" s="507">
        <v>39399.980759999999</v>
      </c>
      <c r="O698" s="507">
        <v>0</v>
      </c>
      <c r="P698" s="507">
        <v>39399.980759999999</v>
      </c>
      <c r="Q698" s="507">
        <v>0</v>
      </c>
      <c r="R698" s="507">
        <v>2738.1677553055583</v>
      </c>
      <c r="S698" s="507">
        <v>0</v>
      </c>
      <c r="T698" s="507">
        <v>2738.1677553055583</v>
      </c>
      <c r="U698" s="507">
        <v>0</v>
      </c>
      <c r="V698" s="507">
        <f>Port[[#This Row],[EAD_Drawn (CNY)]]*Port[[#This Row],[CNY -&gt; FCY]]</f>
        <v>6179.7105823674256</v>
      </c>
      <c r="W698" s="507">
        <f>Port[[#This Row],[EAD_Undrawn (CNY)]]*Port[[#This Row],[CNY -&gt; FCY]]</f>
        <v>0</v>
      </c>
      <c r="X698" s="507">
        <f>Port[[#This Row],[EAD (CNY)]]*Port[[#This Row],[CNY -&gt; FCY]]</f>
        <v>6179.7105823674256</v>
      </c>
      <c r="Y698" s="507">
        <f>Port[[#This Row],[EAD_Interest (CNY)]]*Port[[#This Row],[CNY -&gt; FCY]]</f>
        <v>0</v>
      </c>
      <c r="Z698" s="507">
        <f>Port[[#This Row],[ECL_Drawn (CNY)]]*Port[[#This Row],[CNY -&gt; FCY]]</f>
        <v>429.46935321698919</v>
      </c>
      <c r="AA698" s="507">
        <f>Port[[#This Row],[ECL_Undrawn (CNY)]]*Port[[#This Row],[CNY -&gt; FCY]]</f>
        <v>0</v>
      </c>
      <c r="AB698" s="507">
        <f>Port[[#This Row],[ECL (CNY)]]*Port[[#This Row],[CNY -&gt; FCY]]</f>
        <v>429.46935321698919</v>
      </c>
      <c r="AC698" s="507">
        <f>Port[[#This Row],[ECL_Interest (CNY)]]*Port[[#This Row],[CNY -&gt; FCY]]</f>
        <v>0</v>
      </c>
      <c r="AD698" s="507">
        <f>Port[[#This Row],[EAD_Drawn (CNY)]]*Port[[#This Row],[CNY -&gt; THB]]</f>
        <v>206802.619013088</v>
      </c>
      <c r="AE698" s="507">
        <f>Port[[#This Row],[EAD_Undrawn (CNY)]]*Port[[#This Row],[CNY -&gt; THB]]</f>
        <v>0</v>
      </c>
      <c r="AF698" s="507">
        <f>Port[[#This Row],[EAD (CNY)]]*Port[[#This Row],[CNY -&gt; THB]]</f>
        <v>206802.619013088</v>
      </c>
      <c r="AG698" s="507">
        <f>Port[[#This Row],[EAD_Interest (CNY)]]*Port[[#This Row],[CNY -&gt; THB]]</f>
        <v>0</v>
      </c>
      <c r="AH698" s="507">
        <f>Port[[#This Row],[ECL_Drawn (CNY)]]*Port[[#This Row],[CNY -&gt; THB]]</f>
        <v>14372.094914047815</v>
      </c>
      <c r="AI698" s="507">
        <f>Port[[#This Row],[ECL_Undrawn (CNY)]]*Port[[#This Row],[CNY -&gt; THB]]</f>
        <v>0</v>
      </c>
      <c r="AJ698" s="507">
        <f>Port[[#This Row],[ECL (CNY)]]*Port[[#This Row],[CNY -&gt; THB]]</f>
        <v>14372.094914047815</v>
      </c>
      <c r="AK698" s="507">
        <f>Port[[#This Row],[ECL_Interest (CNY)]]*Port[[#This Row],[CNY -&gt; THB]]</f>
        <v>0</v>
      </c>
      <c r="AL698" s="507">
        <f>Port[[#This Row],[EAD (THB)]]*Port[[#This Row],[PD_avg]]</f>
        <v>2697.5125467941316</v>
      </c>
      <c r="AM698" s="507">
        <f>Port[[#This Row],[EAD_Interest (THB)]]*Port[[#This Row],[PD_avg]]</f>
        <v>0</v>
      </c>
      <c r="AN698" s="507">
        <f>Port[[#This Row],[EAD (THB)]]*Port[[#This Row],[LGD_avg]]</f>
        <v>1101825.0396877953</v>
      </c>
      <c r="AO698" s="507">
        <f>Port[[#This Row],[EAD_Interest (THB)]]*Port[[#This Row],[LGD_avg]]</f>
        <v>0</v>
      </c>
      <c r="AP698" s="507">
        <f>Port[[#This Row],[EAD_Drawn (THB)]]+Port[[#This Row],[EAD_Interest (THB)]]</f>
        <v>206802.619013088</v>
      </c>
      <c r="AQ69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14372.094914047815</v>
      </c>
      <c r="AR698" s="522">
        <f>MAX(Port[[#This Row],[ECL (THB)]]+Port[[#This Row],[ECL_Interest (THB)]], Port[[#This Row],[ECL CBIRC (THB)]])</f>
        <v>14372.094914047815</v>
      </c>
    </row>
    <row r="699" spans="1:44">
      <c r="A699" s="2" t="s">
        <v>508</v>
      </c>
      <c r="B699" s="2" t="s">
        <v>382</v>
      </c>
      <c r="C699" s="2" t="s">
        <v>379</v>
      </c>
      <c r="D699" s="2" t="s">
        <v>30</v>
      </c>
      <c r="E699" s="2" t="s">
        <v>19</v>
      </c>
      <c r="F699" s="2" t="s">
        <v>380</v>
      </c>
      <c r="G699" s="2" t="s">
        <v>57</v>
      </c>
      <c r="H699">
        <v>1</v>
      </c>
      <c r="I699" s="2" t="s">
        <v>526</v>
      </c>
      <c r="J699" s="505">
        <v>1.3043899345507868E-2</v>
      </c>
      <c r="K699" s="505">
        <v>17.962866975033432</v>
      </c>
      <c r="L699" s="3">
        <v>0.15684552284455039</v>
      </c>
      <c r="M699" s="3">
        <v>5.2488000000000001</v>
      </c>
      <c r="N699" s="507">
        <v>22855.631680000002</v>
      </c>
      <c r="O699" s="507">
        <v>0</v>
      </c>
      <c r="P699" s="507">
        <v>22855.631680000002</v>
      </c>
      <c r="Q699" s="507">
        <v>0</v>
      </c>
      <c r="R699" s="507">
        <v>5355.2077230518771</v>
      </c>
      <c r="S699" s="507">
        <v>0</v>
      </c>
      <c r="T699" s="507">
        <v>5355.2077230518771</v>
      </c>
      <c r="U699" s="507">
        <v>0</v>
      </c>
      <c r="V699" s="507">
        <f>Port[[#This Row],[EAD_Drawn (CNY)]]*Port[[#This Row],[CNY -&gt; FCY]]</f>
        <v>3584.8035007920698</v>
      </c>
      <c r="W699" s="507">
        <f>Port[[#This Row],[EAD_Undrawn (CNY)]]*Port[[#This Row],[CNY -&gt; FCY]]</f>
        <v>0</v>
      </c>
      <c r="X699" s="507">
        <f>Port[[#This Row],[EAD (CNY)]]*Port[[#This Row],[CNY -&gt; FCY]]</f>
        <v>3584.8035007920698</v>
      </c>
      <c r="Y699" s="507">
        <f>Port[[#This Row],[EAD_Interest (CNY)]]*Port[[#This Row],[CNY -&gt; FCY]]</f>
        <v>0</v>
      </c>
      <c r="Z699" s="507">
        <f>Port[[#This Row],[ECL_Drawn (CNY)]]*Port[[#This Row],[CNY -&gt; FCY]]</f>
        <v>839.94035526324592</v>
      </c>
      <c r="AA699" s="507">
        <f>Port[[#This Row],[ECL_Undrawn (CNY)]]*Port[[#This Row],[CNY -&gt; FCY]]</f>
        <v>0</v>
      </c>
      <c r="AB699" s="507">
        <f>Port[[#This Row],[ECL (CNY)]]*Port[[#This Row],[CNY -&gt; FCY]]</f>
        <v>839.94035526324592</v>
      </c>
      <c r="AC699" s="507">
        <f>Port[[#This Row],[ECL_Interest (CNY)]]*Port[[#This Row],[CNY -&gt; FCY]]</f>
        <v>0</v>
      </c>
      <c r="AD699" s="507">
        <f>Port[[#This Row],[EAD_Drawn (CNY)]]*Port[[#This Row],[CNY -&gt; THB]]</f>
        <v>119964.63956198402</v>
      </c>
      <c r="AE699" s="507">
        <f>Port[[#This Row],[EAD_Undrawn (CNY)]]*Port[[#This Row],[CNY -&gt; THB]]</f>
        <v>0</v>
      </c>
      <c r="AF699" s="507">
        <f>Port[[#This Row],[EAD (CNY)]]*Port[[#This Row],[CNY -&gt; THB]]</f>
        <v>119964.63956198402</v>
      </c>
      <c r="AG699" s="507">
        <f>Port[[#This Row],[EAD_Interest (CNY)]]*Port[[#This Row],[CNY -&gt; THB]]</f>
        <v>0</v>
      </c>
      <c r="AH699" s="507">
        <f>Port[[#This Row],[ECL_Drawn (CNY)]]*Port[[#This Row],[CNY -&gt; THB]]</f>
        <v>28108.414296754694</v>
      </c>
      <c r="AI699" s="507">
        <f>Port[[#This Row],[ECL_Undrawn (CNY)]]*Port[[#This Row],[CNY -&gt; THB]]</f>
        <v>0</v>
      </c>
      <c r="AJ699" s="507">
        <f>Port[[#This Row],[ECL (CNY)]]*Port[[#This Row],[CNY -&gt; THB]]</f>
        <v>28108.414296754694</v>
      </c>
      <c r="AK699" s="507">
        <f>Port[[#This Row],[ECL_Interest (CNY)]]*Port[[#This Row],[CNY -&gt; THB]]</f>
        <v>0</v>
      </c>
      <c r="AL699" s="507">
        <f>Port[[#This Row],[EAD (THB)]]*Port[[#This Row],[PD_avg]]</f>
        <v>1564.8066834666506</v>
      </c>
      <c r="AM699" s="507">
        <f>Port[[#This Row],[EAD_Interest (THB)]]*Port[[#This Row],[PD_avg]]</f>
        <v>0</v>
      </c>
      <c r="AN699" s="507">
        <f>Port[[#This Row],[EAD (THB)]]*Port[[#This Row],[LGD_avg]]</f>
        <v>2154908.8621597518</v>
      </c>
      <c r="AO699" s="507">
        <f>Port[[#This Row],[EAD_Interest (THB)]]*Port[[#This Row],[LGD_avg]]</f>
        <v>0</v>
      </c>
      <c r="AP699" s="507">
        <f>Port[[#This Row],[EAD_Drawn (THB)]]+Port[[#This Row],[EAD_Interest (THB)]]</f>
        <v>119964.63956198402</v>
      </c>
      <c r="AQ69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28108.414296754694</v>
      </c>
      <c r="AR699" s="522">
        <f>MAX(Port[[#This Row],[ECL (THB)]]+Port[[#This Row],[ECL_Interest (THB)]], Port[[#This Row],[ECL CBIRC (THB)]])</f>
        <v>28108.414296754694</v>
      </c>
    </row>
    <row r="700" spans="1:44">
      <c r="A700" s="2" t="s">
        <v>509</v>
      </c>
      <c r="B700" s="2" t="s">
        <v>382</v>
      </c>
      <c r="C700" s="2" t="s">
        <v>379</v>
      </c>
      <c r="D700" s="2" t="s">
        <v>30</v>
      </c>
      <c r="E700" s="2" t="s">
        <v>19</v>
      </c>
      <c r="F700" s="2" t="s">
        <v>380</v>
      </c>
      <c r="G700" s="2" t="s">
        <v>57</v>
      </c>
      <c r="H700">
        <v>1</v>
      </c>
      <c r="I700" s="2" t="s">
        <v>526</v>
      </c>
      <c r="J700" s="505">
        <v>1.3043899345507868E-2</v>
      </c>
      <c r="K700" s="505">
        <v>0.49987094939768478</v>
      </c>
      <c r="L700" s="3">
        <v>0.15684552284455039</v>
      </c>
      <c r="M700" s="3">
        <v>5.2488000000000001</v>
      </c>
      <c r="N700" s="507">
        <v>1146348</v>
      </c>
      <c r="O700" s="507">
        <v>0</v>
      </c>
      <c r="P700" s="507">
        <v>1146348</v>
      </c>
      <c r="Q700" s="507">
        <v>0</v>
      </c>
      <c r="R700" s="507">
        <v>7474.4942894308297</v>
      </c>
      <c r="S700" s="507">
        <v>0</v>
      </c>
      <c r="T700" s="507">
        <v>7474.4942894308297</v>
      </c>
      <c r="U700" s="507">
        <v>0</v>
      </c>
      <c r="V700" s="507">
        <f>Port[[#This Row],[EAD_Drawn (CNY)]]*Port[[#This Row],[CNY -&gt; FCY]]</f>
        <v>179799.55142180464</v>
      </c>
      <c r="W700" s="507">
        <f>Port[[#This Row],[EAD_Undrawn (CNY)]]*Port[[#This Row],[CNY -&gt; FCY]]</f>
        <v>0</v>
      </c>
      <c r="X700" s="507">
        <f>Port[[#This Row],[EAD (CNY)]]*Port[[#This Row],[CNY -&gt; FCY]]</f>
        <v>179799.55142180464</v>
      </c>
      <c r="Y700" s="507">
        <f>Port[[#This Row],[EAD_Interest (CNY)]]*Port[[#This Row],[CNY -&gt; FCY]]</f>
        <v>0</v>
      </c>
      <c r="Z700" s="507">
        <f>Port[[#This Row],[ECL_Drawn (CNY)]]*Port[[#This Row],[CNY -&gt; FCY]]</f>
        <v>1172.3409648243846</v>
      </c>
      <c r="AA700" s="507">
        <f>Port[[#This Row],[ECL_Undrawn (CNY)]]*Port[[#This Row],[CNY -&gt; FCY]]</f>
        <v>0</v>
      </c>
      <c r="AB700" s="507">
        <f>Port[[#This Row],[ECL (CNY)]]*Port[[#This Row],[CNY -&gt; FCY]]</f>
        <v>1172.3409648243846</v>
      </c>
      <c r="AC700" s="507">
        <f>Port[[#This Row],[ECL_Interest (CNY)]]*Port[[#This Row],[CNY -&gt; FCY]]</f>
        <v>0</v>
      </c>
      <c r="AD700" s="507">
        <f>Port[[#This Row],[EAD_Drawn (CNY)]]*Port[[#This Row],[CNY -&gt; THB]]</f>
        <v>6016951.3824000005</v>
      </c>
      <c r="AE700" s="507">
        <f>Port[[#This Row],[EAD_Undrawn (CNY)]]*Port[[#This Row],[CNY -&gt; THB]]</f>
        <v>0</v>
      </c>
      <c r="AF700" s="507">
        <f>Port[[#This Row],[EAD (CNY)]]*Port[[#This Row],[CNY -&gt; THB]]</f>
        <v>6016951.3824000005</v>
      </c>
      <c r="AG700" s="507">
        <f>Port[[#This Row],[EAD_Interest (CNY)]]*Port[[#This Row],[CNY -&gt; THB]]</f>
        <v>0</v>
      </c>
      <c r="AH700" s="507">
        <f>Port[[#This Row],[ECL_Drawn (CNY)]]*Port[[#This Row],[CNY -&gt; THB]]</f>
        <v>39232.125626364541</v>
      </c>
      <c r="AI700" s="507">
        <f>Port[[#This Row],[ECL_Undrawn (CNY)]]*Port[[#This Row],[CNY -&gt; THB]]</f>
        <v>0</v>
      </c>
      <c r="AJ700" s="507">
        <f>Port[[#This Row],[ECL (CNY)]]*Port[[#This Row],[CNY -&gt; THB]]</f>
        <v>39232.125626364541</v>
      </c>
      <c r="AK700" s="507">
        <f>Port[[#This Row],[ECL_Interest (CNY)]]*Port[[#This Row],[CNY -&gt; THB]]</f>
        <v>0</v>
      </c>
      <c r="AL700" s="507">
        <f>Port[[#This Row],[EAD (THB)]]*Port[[#This Row],[PD_avg]]</f>
        <v>78484.508198840034</v>
      </c>
      <c r="AM700" s="507">
        <f>Port[[#This Row],[EAD_Interest (THB)]]*Port[[#This Row],[PD_avg]]</f>
        <v>0</v>
      </c>
      <c r="AN700" s="507">
        <f>Port[[#This Row],[EAD (THB)]]*Port[[#This Row],[LGD_avg]]</f>
        <v>3007699.2</v>
      </c>
      <c r="AO700" s="507">
        <f>Port[[#This Row],[EAD_Interest (THB)]]*Port[[#This Row],[LGD_avg]]</f>
        <v>0</v>
      </c>
      <c r="AP700" s="507">
        <f>Port[[#This Row],[EAD_Drawn (THB)]]+Port[[#This Row],[EAD_Interest (THB)]]</f>
        <v>6016951.3824000005</v>
      </c>
      <c r="AQ70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39232.125626364541</v>
      </c>
      <c r="AR700" s="522">
        <f>MAX(Port[[#This Row],[ECL (THB)]]+Port[[#This Row],[ECL_Interest (THB)]], Port[[#This Row],[ECL CBIRC (THB)]])</f>
        <v>39232.125626364541</v>
      </c>
    </row>
    <row r="701" spans="1:44">
      <c r="A701" s="2" t="s">
        <v>510</v>
      </c>
      <c r="B701" s="2" t="s">
        <v>382</v>
      </c>
      <c r="C701" s="2" t="s">
        <v>379</v>
      </c>
      <c r="D701" s="2" t="s">
        <v>30</v>
      </c>
      <c r="E701" s="2" t="s">
        <v>19</v>
      </c>
      <c r="F701" s="2" t="s">
        <v>380</v>
      </c>
      <c r="G701" s="2" t="s">
        <v>57</v>
      </c>
      <c r="H701">
        <v>1</v>
      </c>
      <c r="I701" s="2" t="s">
        <v>526</v>
      </c>
      <c r="J701" s="505">
        <v>1.3043899345507868E-2</v>
      </c>
      <c r="K701" s="505">
        <v>0.53294596927724636</v>
      </c>
      <c r="L701" s="3">
        <v>0.15684552284455039</v>
      </c>
      <c r="M701" s="3">
        <v>5.2488000000000001</v>
      </c>
      <c r="N701" s="507">
        <v>781120.31716599991</v>
      </c>
      <c r="O701" s="507">
        <v>0</v>
      </c>
      <c r="P701" s="507">
        <v>781120.31716599991</v>
      </c>
      <c r="Q701" s="507">
        <v>0</v>
      </c>
      <c r="R701" s="507">
        <v>5430.1090939305668</v>
      </c>
      <c r="S701" s="507">
        <v>0</v>
      </c>
      <c r="T701" s="507">
        <v>5430.1090939305668</v>
      </c>
      <c r="U701" s="507">
        <v>0</v>
      </c>
      <c r="V701" s="507">
        <f>Port[[#This Row],[EAD_Drawn (CNY)]]*Port[[#This Row],[CNY -&gt; FCY]]</f>
        <v>122515.22455040229</v>
      </c>
      <c r="W701" s="507">
        <f>Port[[#This Row],[EAD_Undrawn (CNY)]]*Port[[#This Row],[CNY -&gt; FCY]]</f>
        <v>0</v>
      </c>
      <c r="X701" s="507">
        <f>Port[[#This Row],[EAD (CNY)]]*Port[[#This Row],[CNY -&gt; FCY]]</f>
        <v>122515.22455040229</v>
      </c>
      <c r="Y701" s="507">
        <f>Port[[#This Row],[EAD_Interest (CNY)]]*Port[[#This Row],[CNY -&gt; FCY]]</f>
        <v>0</v>
      </c>
      <c r="Z701" s="507">
        <f>Port[[#This Row],[ECL_Drawn (CNY)]]*Port[[#This Row],[CNY -&gt; FCY]]</f>
        <v>851.68829994048758</v>
      </c>
      <c r="AA701" s="507">
        <f>Port[[#This Row],[ECL_Undrawn (CNY)]]*Port[[#This Row],[CNY -&gt; FCY]]</f>
        <v>0</v>
      </c>
      <c r="AB701" s="507">
        <f>Port[[#This Row],[ECL (CNY)]]*Port[[#This Row],[CNY -&gt; FCY]]</f>
        <v>851.68829994048758</v>
      </c>
      <c r="AC701" s="507">
        <f>Port[[#This Row],[ECL_Interest (CNY)]]*Port[[#This Row],[CNY -&gt; FCY]]</f>
        <v>0</v>
      </c>
      <c r="AD701" s="507">
        <f>Port[[#This Row],[EAD_Drawn (CNY)]]*Port[[#This Row],[CNY -&gt; THB]]</f>
        <v>4099944.3207409005</v>
      </c>
      <c r="AE701" s="507">
        <f>Port[[#This Row],[EAD_Undrawn (CNY)]]*Port[[#This Row],[CNY -&gt; THB]]</f>
        <v>0</v>
      </c>
      <c r="AF701" s="507">
        <f>Port[[#This Row],[EAD (CNY)]]*Port[[#This Row],[CNY -&gt; THB]]</f>
        <v>4099944.3207409005</v>
      </c>
      <c r="AG701" s="507">
        <f>Port[[#This Row],[EAD_Interest (CNY)]]*Port[[#This Row],[CNY -&gt; THB]]</f>
        <v>0</v>
      </c>
      <c r="AH701" s="507">
        <f>Port[[#This Row],[ECL_Drawn (CNY)]]*Port[[#This Row],[CNY -&gt; THB]]</f>
        <v>28501.556612222761</v>
      </c>
      <c r="AI701" s="507">
        <f>Port[[#This Row],[ECL_Undrawn (CNY)]]*Port[[#This Row],[CNY -&gt; THB]]</f>
        <v>0</v>
      </c>
      <c r="AJ701" s="507">
        <f>Port[[#This Row],[ECL (CNY)]]*Port[[#This Row],[CNY -&gt; THB]]</f>
        <v>28501.556612222761</v>
      </c>
      <c r="AK701" s="507">
        <f>Port[[#This Row],[ECL_Interest (CNY)]]*Port[[#This Row],[CNY -&gt; THB]]</f>
        <v>0</v>
      </c>
      <c r="AL701" s="507">
        <f>Port[[#This Row],[EAD (THB)]]*Port[[#This Row],[PD_avg]]</f>
        <v>53479.261041930935</v>
      </c>
      <c r="AM701" s="507">
        <f>Port[[#This Row],[EAD_Interest (THB)]]*Port[[#This Row],[PD_avg]]</f>
        <v>0</v>
      </c>
      <c r="AN701" s="507">
        <f>Port[[#This Row],[EAD (THB)]]*Port[[#This Row],[LGD_avg]]</f>
        <v>2185048.8000000007</v>
      </c>
      <c r="AO701" s="507">
        <f>Port[[#This Row],[EAD_Interest (THB)]]*Port[[#This Row],[LGD_avg]]</f>
        <v>0</v>
      </c>
      <c r="AP701" s="507">
        <f>Port[[#This Row],[EAD_Drawn (THB)]]+Port[[#This Row],[EAD_Interest (THB)]]</f>
        <v>4099944.3207409005</v>
      </c>
      <c r="AQ70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28501.556612222761</v>
      </c>
      <c r="AR701" s="522">
        <f>MAX(Port[[#This Row],[ECL (THB)]]+Port[[#This Row],[ECL_Interest (THB)]], Port[[#This Row],[ECL CBIRC (THB)]])</f>
        <v>28501.556612222761</v>
      </c>
    </row>
    <row r="702" spans="1:44">
      <c r="A702" s="2" t="s">
        <v>511</v>
      </c>
      <c r="B702" s="2" t="s">
        <v>382</v>
      </c>
      <c r="C702" s="2" t="s">
        <v>379</v>
      </c>
      <c r="D702" s="2" t="s">
        <v>30</v>
      </c>
      <c r="E702" s="2" t="s">
        <v>19</v>
      </c>
      <c r="F702" s="2" t="s">
        <v>380</v>
      </c>
      <c r="G702" s="2" t="s">
        <v>57</v>
      </c>
      <c r="H702">
        <v>1</v>
      </c>
      <c r="I702" s="2" t="s">
        <v>526</v>
      </c>
      <c r="J702" s="505">
        <v>1.3043899345507868E-2</v>
      </c>
      <c r="K702" s="505">
        <v>1.1228943709164014</v>
      </c>
      <c r="L702" s="3">
        <v>0.15684552284455039</v>
      </c>
      <c r="M702" s="3">
        <v>5.2488000000000001</v>
      </c>
      <c r="N702" s="507">
        <v>228085.0404</v>
      </c>
      <c r="O702" s="507">
        <v>0</v>
      </c>
      <c r="P702" s="507">
        <v>228085.0404</v>
      </c>
      <c r="Q702" s="507">
        <v>0</v>
      </c>
      <c r="R702" s="507">
        <v>3340.7436022039228</v>
      </c>
      <c r="S702" s="507">
        <v>0</v>
      </c>
      <c r="T702" s="507">
        <v>3340.7436022039228</v>
      </c>
      <c r="U702" s="507">
        <v>0</v>
      </c>
      <c r="V702" s="507">
        <f>Port[[#This Row],[EAD_Drawn (CNY)]]*Port[[#This Row],[CNY -&gt; FCY]]</f>
        <v>35774.117414558401</v>
      </c>
      <c r="W702" s="507">
        <f>Port[[#This Row],[EAD_Undrawn (CNY)]]*Port[[#This Row],[CNY -&gt; FCY]]</f>
        <v>0</v>
      </c>
      <c r="X702" s="507">
        <f>Port[[#This Row],[EAD (CNY)]]*Port[[#This Row],[CNY -&gt; FCY]]</f>
        <v>35774.117414558401</v>
      </c>
      <c r="Y702" s="507">
        <f>Port[[#This Row],[EAD_Interest (CNY)]]*Port[[#This Row],[CNY -&gt; FCY]]</f>
        <v>0</v>
      </c>
      <c r="Z702" s="507">
        <f>Port[[#This Row],[ECL_Drawn (CNY)]]*Port[[#This Row],[CNY -&gt; FCY]]</f>
        <v>523.98067697726094</v>
      </c>
      <c r="AA702" s="507">
        <f>Port[[#This Row],[ECL_Undrawn (CNY)]]*Port[[#This Row],[CNY -&gt; FCY]]</f>
        <v>0</v>
      </c>
      <c r="AB702" s="507">
        <f>Port[[#This Row],[ECL (CNY)]]*Port[[#This Row],[CNY -&gt; FCY]]</f>
        <v>523.98067697726094</v>
      </c>
      <c r="AC702" s="507">
        <f>Port[[#This Row],[ECL_Interest (CNY)]]*Port[[#This Row],[CNY -&gt; FCY]]</f>
        <v>0</v>
      </c>
      <c r="AD702" s="507">
        <f>Port[[#This Row],[EAD_Drawn (CNY)]]*Port[[#This Row],[CNY -&gt; THB]]</f>
        <v>1197172.7600515201</v>
      </c>
      <c r="AE702" s="507">
        <f>Port[[#This Row],[EAD_Undrawn (CNY)]]*Port[[#This Row],[CNY -&gt; THB]]</f>
        <v>0</v>
      </c>
      <c r="AF702" s="507">
        <f>Port[[#This Row],[EAD (CNY)]]*Port[[#This Row],[CNY -&gt; THB]]</f>
        <v>1197172.7600515201</v>
      </c>
      <c r="AG702" s="507">
        <f>Port[[#This Row],[EAD_Interest (CNY)]]*Port[[#This Row],[CNY -&gt; THB]]</f>
        <v>0</v>
      </c>
      <c r="AH702" s="507">
        <f>Port[[#This Row],[ECL_Drawn (CNY)]]*Port[[#This Row],[CNY -&gt; THB]]</f>
        <v>17534.89501924795</v>
      </c>
      <c r="AI702" s="507">
        <f>Port[[#This Row],[ECL_Undrawn (CNY)]]*Port[[#This Row],[CNY -&gt; THB]]</f>
        <v>0</v>
      </c>
      <c r="AJ702" s="507">
        <f>Port[[#This Row],[ECL (CNY)]]*Port[[#This Row],[CNY -&gt; THB]]</f>
        <v>17534.89501924795</v>
      </c>
      <c r="AK702" s="507">
        <f>Port[[#This Row],[ECL_Interest (CNY)]]*Port[[#This Row],[CNY -&gt; THB]]</f>
        <v>0</v>
      </c>
      <c r="AL702" s="507">
        <f>Port[[#This Row],[EAD (THB)]]*Port[[#This Row],[PD_avg]]</f>
        <v>15615.800981295872</v>
      </c>
      <c r="AM702" s="507">
        <f>Port[[#This Row],[EAD_Interest (THB)]]*Port[[#This Row],[PD_avg]]</f>
        <v>0</v>
      </c>
      <c r="AN702" s="507">
        <f>Port[[#This Row],[EAD (THB)]]*Port[[#This Row],[LGD_avg]]</f>
        <v>1344298.5532763037</v>
      </c>
      <c r="AO702" s="507">
        <f>Port[[#This Row],[EAD_Interest (THB)]]*Port[[#This Row],[LGD_avg]]</f>
        <v>0</v>
      </c>
      <c r="AP702" s="507">
        <f>Port[[#This Row],[EAD_Drawn (THB)]]+Port[[#This Row],[EAD_Interest (THB)]]</f>
        <v>1197172.7600515201</v>
      </c>
      <c r="AQ70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17534.89501924795</v>
      </c>
      <c r="AR702" s="522">
        <f>MAX(Port[[#This Row],[ECL (THB)]]+Port[[#This Row],[ECL_Interest (THB)]], Port[[#This Row],[ECL CBIRC (THB)]])</f>
        <v>17534.89501924795</v>
      </c>
    </row>
    <row r="703" spans="1:44">
      <c r="A703" s="2" t="s">
        <v>512</v>
      </c>
      <c r="B703" s="2" t="s">
        <v>382</v>
      </c>
      <c r="C703" s="2" t="s">
        <v>379</v>
      </c>
      <c r="D703" s="2" t="s">
        <v>30</v>
      </c>
      <c r="E703" s="2" t="s">
        <v>19</v>
      </c>
      <c r="F703" s="2" t="s">
        <v>380</v>
      </c>
      <c r="G703" s="2" t="s">
        <v>57</v>
      </c>
      <c r="H703">
        <v>1</v>
      </c>
      <c r="I703" s="2" t="s">
        <v>526</v>
      </c>
      <c r="J703" s="505">
        <v>1.3043899345507868E-2</v>
      </c>
      <c r="K703" s="505">
        <v>2.9218968120805373</v>
      </c>
      <c r="L703" s="3">
        <v>0.15684552284455039</v>
      </c>
      <c r="M703" s="3">
        <v>5.2488000000000001</v>
      </c>
      <c r="N703" s="507">
        <v>37956.856</v>
      </c>
      <c r="O703" s="507">
        <v>0</v>
      </c>
      <c r="P703" s="507">
        <v>37956.856</v>
      </c>
      <c r="Q703" s="507">
        <v>0</v>
      </c>
      <c r="R703" s="507">
        <v>1446.6469165981227</v>
      </c>
      <c r="S703" s="507">
        <v>0</v>
      </c>
      <c r="T703" s="507">
        <v>1446.6469165981227</v>
      </c>
      <c r="U703" s="507">
        <v>0</v>
      </c>
      <c r="V703" s="507">
        <f>Port[[#This Row],[EAD_Drawn (CNY)]]*Port[[#This Row],[CNY -&gt; FCY]]</f>
        <v>5953.3629248553098</v>
      </c>
      <c r="W703" s="507">
        <f>Port[[#This Row],[EAD_Undrawn (CNY)]]*Port[[#This Row],[CNY -&gt; FCY]]</f>
        <v>0</v>
      </c>
      <c r="X703" s="507">
        <f>Port[[#This Row],[EAD (CNY)]]*Port[[#This Row],[CNY -&gt; FCY]]</f>
        <v>5953.3629248553098</v>
      </c>
      <c r="Y703" s="507">
        <f>Port[[#This Row],[EAD_Interest (CNY)]]*Port[[#This Row],[CNY -&gt; FCY]]</f>
        <v>0</v>
      </c>
      <c r="Z703" s="507">
        <f>Port[[#This Row],[ECL_Drawn (CNY)]]*Port[[#This Row],[CNY -&gt; FCY]]</f>
        <v>226.90009200528925</v>
      </c>
      <c r="AA703" s="507">
        <f>Port[[#This Row],[ECL_Undrawn (CNY)]]*Port[[#This Row],[CNY -&gt; FCY]]</f>
        <v>0</v>
      </c>
      <c r="AB703" s="507">
        <f>Port[[#This Row],[ECL (CNY)]]*Port[[#This Row],[CNY -&gt; FCY]]</f>
        <v>226.90009200528925</v>
      </c>
      <c r="AC703" s="507">
        <f>Port[[#This Row],[ECL_Interest (CNY)]]*Port[[#This Row],[CNY -&gt; FCY]]</f>
        <v>0</v>
      </c>
      <c r="AD703" s="507">
        <f>Port[[#This Row],[EAD_Drawn (CNY)]]*Port[[#This Row],[CNY -&gt; THB]]</f>
        <v>199227.94577280001</v>
      </c>
      <c r="AE703" s="507">
        <f>Port[[#This Row],[EAD_Undrawn (CNY)]]*Port[[#This Row],[CNY -&gt; THB]]</f>
        <v>0</v>
      </c>
      <c r="AF703" s="507">
        <f>Port[[#This Row],[EAD (CNY)]]*Port[[#This Row],[CNY -&gt; THB]]</f>
        <v>199227.94577280001</v>
      </c>
      <c r="AG703" s="507">
        <f>Port[[#This Row],[EAD_Interest (CNY)]]*Port[[#This Row],[CNY -&gt; THB]]</f>
        <v>0</v>
      </c>
      <c r="AH703" s="507">
        <f>Port[[#This Row],[ECL_Drawn (CNY)]]*Port[[#This Row],[CNY -&gt; THB]]</f>
        <v>7593.1603358402272</v>
      </c>
      <c r="AI703" s="507">
        <f>Port[[#This Row],[ECL_Undrawn (CNY)]]*Port[[#This Row],[CNY -&gt; THB]]</f>
        <v>0</v>
      </c>
      <c r="AJ703" s="507">
        <f>Port[[#This Row],[ECL (CNY)]]*Port[[#This Row],[CNY -&gt; THB]]</f>
        <v>7593.1603358402272</v>
      </c>
      <c r="AK703" s="507">
        <f>Port[[#This Row],[ECL_Interest (CNY)]]*Port[[#This Row],[CNY -&gt; THB]]</f>
        <v>0</v>
      </c>
      <c r="AL703" s="507">
        <f>Port[[#This Row],[EAD (THB)]]*Port[[#This Row],[PD_avg]]</f>
        <v>2598.7092714727032</v>
      </c>
      <c r="AM703" s="507">
        <f>Port[[#This Row],[EAD_Interest (THB)]]*Port[[#This Row],[PD_avg]]</f>
        <v>0</v>
      </c>
      <c r="AN703" s="507">
        <f>Port[[#This Row],[EAD (THB)]]*Port[[#This Row],[LGD_avg]]</f>
        <v>582123.49963089847</v>
      </c>
      <c r="AO703" s="507">
        <f>Port[[#This Row],[EAD_Interest (THB)]]*Port[[#This Row],[LGD_avg]]</f>
        <v>0</v>
      </c>
      <c r="AP703" s="507">
        <f>Port[[#This Row],[EAD_Drawn (THB)]]+Port[[#This Row],[EAD_Interest (THB)]]</f>
        <v>199227.94577280001</v>
      </c>
      <c r="AQ70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7593.1603358402272</v>
      </c>
      <c r="AR703" s="522">
        <f>MAX(Port[[#This Row],[ECL (THB)]]+Port[[#This Row],[ECL_Interest (THB)]], Port[[#This Row],[ECL CBIRC (THB)]])</f>
        <v>7593.1603358402272</v>
      </c>
    </row>
    <row r="704" spans="1:44">
      <c r="A704" s="2" t="s">
        <v>513</v>
      </c>
      <c r="B704" s="2" t="s">
        <v>382</v>
      </c>
      <c r="C704" s="2" t="s">
        <v>379</v>
      </c>
      <c r="D704" s="2" t="s">
        <v>30</v>
      </c>
      <c r="E704" s="2" t="s">
        <v>19</v>
      </c>
      <c r="F704" s="2" t="s">
        <v>380</v>
      </c>
      <c r="G704" s="2" t="s">
        <v>57</v>
      </c>
      <c r="H704">
        <v>1</v>
      </c>
      <c r="I704" s="2" t="s">
        <v>526</v>
      </c>
      <c r="J704" s="505">
        <v>1.3043899345507868E-2</v>
      </c>
      <c r="K704" s="505">
        <v>5.1378310315927189</v>
      </c>
      <c r="L704" s="3">
        <v>0.15684552284455039</v>
      </c>
      <c r="M704" s="3">
        <v>5.2488000000000001</v>
      </c>
      <c r="N704" s="507">
        <v>128114.960876</v>
      </c>
      <c r="O704" s="507">
        <v>0</v>
      </c>
      <c r="P704" s="507">
        <v>128114.960876</v>
      </c>
      <c r="Q704" s="507">
        <v>0</v>
      </c>
      <c r="R704" s="507">
        <v>8585.9252796399051</v>
      </c>
      <c r="S704" s="507">
        <v>0</v>
      </c>
      <c r="T704" s="507">
        <v>8585.9252796399051</v>
      </c>
      <c r="U704" s="507">
        <v>0</v>
      </c>
      <c r="V704" s="507">
        <f>Port[[#This Row],[EAD_Drawn (CNY)]]*Port[[#This Row],[CNY -&gt; FCY]]</f>
        <v>20094.258022805338</v>
      </c>
      <c r="W704" s="507">
        <f>Port[[#This Row],[EAD_Undrawn (CNY)]]*Port[[#This Row],[CNY -&gt; FCY]]</f>
        <v>0</v>
      </c>
      <c r="X704" s="507">
        <f>Port[[#This Row],[EAD (CNY)]]*Port[[#This Row],[CNY -&gt; FCY]]</f>
        <v>20094.258022805338</v>
      </c>
      <c r="Y704" s="507">
        <f>Port[[#This Row],[EAD_Interest (CNY)]]*Port[[#This Row],[CNY -&gt; FCY]]</f>
        <v>0</v>
      </c>
      <c r="Z704" s="507">
        <f>Port[[#This Row],[ECL_Drawn (CNY)]]*Port[[#This Row],[CNY -&gt; FCY]]</f>
        <v>1346.6639395893635</v>
      </c>
      <c r="AA704" s="507">
        <f>Port[[#This Row],[ECL_Undrawn (CNY)]]*Port[[#This Row],[CNY -&gt; FCY]]</f>
        <v>0</v>
      </c>
      <c r="AB704" s="507">
        <f>Port[[#This Row],[ECL (CNY)]]*Port[[#This Row],[CNY -&gt; FCY]]</f>
        <v>1346.6639395893635</v>
      </c>
      <c r="AC704" s="507">
        <f>Port[[#This Row],[ECL_Interest (CNY)]]*Port[[#This Row],[CNY -&gt; FCY]]</f>
        <v>0</v>
      </c>
      <c r="AD704" s="507">
        <f>Port[[#This Row],[EAD_Drawn (CNY)]]*Port[[#This Row],[CNY -&gt; THB]]</f>
        <v>672449.80664594879</v>
      </c>
      <c r="AE704" s="507">
        <f>Port[[#This Row],[EAD_Undrawn (CNY)]]*Port[[#This Row],[CNY -&gt; THB]]</f>
        <v>0</v>
      </c>
      <c r="AF704" s="507">
        <f>Port[[#This Row],[EAD (CNY)]]*Port[[#This Row],[CNY -&gt; THB]]</f>
        <v>672449.80664594879</v>
      </c>
      <c r="AG704" s="507">
        <f>Port[[#This Row],[EAD_Interest (CNY)]]*Port[[#This Row],[CNY -&gt; THB]]</f>
        <v>0</v>
      </c>
      <c r="AH704" s="507">
        <f>Port[[#This Row],[ECL_Drawn (CNY)]]*Port[[#This Row],[CNY -&gt; THB]]</f>
        <v>45065.804607773935</v>
      </c>
      <c r="AI704" s="507">
        <f>Port[[#This Row],[ECL_Undrawn (CNY)]]*Port[[#This Row],[CNY -&gt; THB]]</f>
        <v>0</v>
      </c>
      <c r="AJ704" s="507">
        <f>Port[[#This Row],[ECL (CNY)]]*Port[[#This Row],[CNY -&gt; THB]]</f>
        <v>45065.804607773935</v>
      </c>
      <c r="AK704" s="507">
        <f>Port[[#This Row],[ECL_Interest (CNY)]]*Port[[#This Row],[CNY -&gt; THB]]</f>
        <v>0</v>
      </c>
      <c r="AL704" s="507">
        <f>Port[[#This Row],[EAD (THB)]]*Port[[#This Row],[PD_avg]]</f>
        <v>8771.3675927959848</v>
      </c>
      <c r="AM704" s="507">
        <f>Port[[#This Row],[EAD_Interest (THB)]]*Port[[#This Row],[PD_avg]]</f>
        <v>0</v>
      </c>
      <c r="AN704" s="507">
        <f>Port[[#This Row],[EAD (THB)]]*Port[[#This Row],[LGD_avg]]</f>
        <v>3454933.4837740795</v>
      </c>
      <c r="AO704" s="507">
        <f>Port[[#This Row],[EAD_Interest (THB)]]*Port[[#This Row],[LGD_avg]]</f>
        <v>0</v>
      </c>
      <c r="AP704" s="507">
        <f>Port[[#This Row],[EAD_Drawn (THB)]]+Port[[#This Row],[EAD_Interest (THB)]]</f>
        <v>672449.80664594879</v>
      </c>
      <c r="AQ70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45065.804607773935</v>
      </c>
      <c r="AR704" s="522">
        <f>MAX(Port[[#This Row],[ECL (THB)]]+Port[[#This Row],[ECL_Interest (THB)]], Port[[#This Row],[ECL CBIRC (THB)]])</f>
        <v>45065.804607773935</v>
      </c>
    </row>
    <row r="705" spans="1:44">
      <c r="A705" s="2" t="s">
        <v>514</v>
      </c>
      <c r="B705" s="2" t="s">
        <v>382</v>
      </c>
      <c r="C705" s="2" t="s">
        <v>379</v>
      </c>
      <c r="D705" s="2" t="s">
        <v>30</v>
      </c>
      <c r="E705" s="2" t="s">
        <v>19</v>
      </c>
      <c r="F705" s="2" t="s">
        <v>380</v>
      </c>
      <c r="G705" s="2" t="s">
        <v>57</v>
      </c>
      <c r="H705">
        <v>1</v>
      </c>
      <c r="I705" s="2" t="s">
        <v>526</v>
      </c>
      <c r="J705" s="505">
        <v>1.3043899345507868E-2</v>
      </c>
      <c r="K705" s="505">
        <v>3.3962264150943393</v>
      </c>
      <c r="L705" s="3">
        <v>0.15684552284455039</v>
      </c>
      <c r="M705" s="3">
        <v>5.2488000000000001</v>
      </c>
      <c r="N705" s="507">
        <v>337535.8</v>
      </c>
      <c r="O705" s="507">
        <v>0</v>
      </c>
      <c r="P705" s="507">
        <v>337535.8</v>
      </c>
      <c r="Q705" s="507">
        <v>0</v>
      </c>
      <c r="R705" s="507">
        <v>14952.847926924253</v>
      </c>
      <c r="S705" s="507">
        <v>0</v>
      </c>
      <c r="T705" s="507">
        <v>14952.847926924253</v>
      </c>
      <c r="U705" s="507">
        <v>0</v>
      </c>
      <c r="V705" s="507">
        <f>Port[[#This Row],[EAD_Drawn (CNY)]]*Port[[#This Row],[CNY -&gt; FCY]]</f>
        <v>52940.979029753587</v>
      </c>
      <c r="W705" s="507">
        <f>Port[[#This Row],[EAD_Undrawn (CNY)]]*Port[[#This Row],[CNY -&gt; FCY]]</f>
        <v>0</v>
      </c>
      <c r="X705" s="507">
        <f>Port[[#This Row],[EAD (CNY)]]*Port[[#This Row],[CNY -&gt; FCY]]</f>
        <v>52940.979029753587</v>
      </c>
      <c r="Y705" s="507">
        <f>Port[[#This Row],[EAD_Interest (CNY)]]*Port[[#This Row],[CNY -&gt; FCY]]</f>
        <v>0</v>
      </c>
      <c r="Z705" s="507">
        <f>Port[[#This Row],[ECL_Drawn (CNY)]]*Port[[#This Row],[CNY -&gt; FCY]]</f>
        <v>2345.2872511134856</v>
      </c>
      <c r="AA705" s="507">
        <f>Port[[#This Row],[ECL_Undrawn (CNY)]]*Port[[#This Row],[CNY -&gt; FCY]]</f>
        <v>0</v>
      </c>
      <c r="AB705" s="507">
        <f>Port[[#This Row],[ECL (CNY)]]*Port[[#This Row],[CNY -&gt; FCY]]</f>
        <v>2345.2872511134856</v>
      </c>
      <c r="AC705" s="507">
        <f>Port[[#This Row],[ECL_Interest (CNY)]]*Port[[#This Row],[CNY -&gt; FCY]]</f>
        <v>0</v>
      </c>
      <c r="AD705" s="507">
        <f>Port[[#This Row],[EAD_Drawn (CNY)]]*Port[[#This Row],[CNY -&gt; THB]]</f>
        <v>1771657.90704</v>
      </c>
      <c r="AE705" s="507">
        <f>Port[[#This Row],[EAD_Undrawn (CNY)]]*Port[[#This Row],[CNY -&gt; THB]]</f>
        <v>0</v>
      </c>
      <c r="AF705" s="507">
        <f>Port[[#This Row],[EAD (CNY)]]*Port[[#This Row],[CNY -&gt; THB]]</f>
        <v>1771657.90704</v>
      </c>
      <c r="AG705" s="507">
        <f>Port[[#This Row],[EAD_Interest (CNY)]]*Port[[#This Row],[CNY -&gt; THB]]</f>
        <v>0</v>
      </c>
      <c r="AH705" s="507">
        <f>Port[[#This Row],[ECL_Drawn (CNY)]]*Port[[#This Row],[CNY -&gt; THB]]</f>
        <v>78484.50819884002</v>
      </c>
      <c r="AI705" s="507">
        <f>Port[[#This Row],[ECL_Undrawn (CNY)]]*Port[[#This Row],[CNY -&gt; THB]]</f>
        <v>0</v>
      </c>
      <c r="AJ705" s="507">
        <f>Port[[#This Row],[ECL (CNY)]]*Port[[#This Row],[CNY -&gt; THB]]</f>
        <v>78484.50819884002</v>
      </c>
      <c r="AK705" s="507">
        <f>Port[[#This Row],[ECL_Interest (CNY)]]*Port[[#This Row],[CNY -&gt; THB]]</f>
        <v>0</v>
      </c>
      <c r="AL705" s="507">
        <f>Port[[#This Row],[EAD (THB)]]*Port[[#This Row],[PD_avg]]</f>
        <v>23109.327414102896</v>
      </c>
      <c r="AM705" s="507">
        <f>Port[[#This Row],[EAD_Interest (THB)]]*Port[[#This Row],[PD_avg]]</f>
        <v>0</v>
      </c>
      <c r="AN705" s="507">
        <f>Port[[#This Row],[EAD (THB)]]*Port[[#This Row],[LGD_avg]]</f>
        <v>6016951.3823999995</v>
      </c>
      <c r="AO705" s="507">
        <f>Port[[#This Row],[EAD_Interest (THB)]]*Port[[#This Row],[LGD_avg]]</f>
        <v>0</v>
      </c>
      <c r="AP705" s="507">
        <f>Port[[#This Row],[EAD_Drawn (THB)]]+Port[[#This Row],[EAD_Interest (THB)]]</f>
        <v>1771657.90704</v>
      </c>
      <c r="AQ70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78484.50819884002</v>
      </c>
      <c r="AR705" s="522">
        <f>MAX(Port[[#This Row],[ECL (THB)]]+Port[[#This Row],[ECL_Interest (THB)]], Port[[#This Row],[ECL CBIRC (THB)]])</f>
        <v>78484.50819884002</v>
      </c>
    </row>
    <row r="706" spans="1:44">
      <c r="A706" s="2" t="s">
        <v>515</v>
      </c>
      <c r="B706" s="2" t="s">
        <v>382</v>
      </c>
      <c r="C706" s="2" t="s">
        <v>379</v>
      </c>
      <c r="D706" s="2" t="s">
        <v>30</v>
      </c>
      <c r="E706" s="2" t="s">
        <v>19</v>
      </c>
      <c r="F706" s="2" t="s">
        <v>380</v>
      </c>
      <c r="G706" s="2" t="s">
        <v>57</v>
      </c>
      <c r="H706">
        <v>1</v>
      </c>
      <c r="I706" s="2" t="s">
        <v>526</v>
      </c>
      <c r="J706" s="505">
        <v>1.3043899345507868E-2</v>
      </c>
      <c r="K706" s="505">
        <v>9.2565175192003952</v>
      </c>
      <c r="L706" s="3">
        <v>0.15684552284455039</v>
      </c>
      <c r="M706" s="3">
        <v>5.2488000000000001</v>
      </c>
      <c r="N706" s="507">
        <v>217780.07242600003</v>
      </c>
      <c r="O706" s="507">
        <v>0</v>
      </c>
      <c r="P706" s="507">
        <v>217780.07242600003</v>
      </c>
      <c r="Q706" s="507">
        <v>0</v>
      </c>
      <c r="R706" s="507">
        <v>26295.001759238254</v>
      </c>
      <c r="S706" s="507">
        <v>0</v>
      </c>
      <c r="T706" s="507">
        <v>26295.001759238254</v>
      </c>
      <c r="U706" s="507">
        <v>0</v>
      </c>
      <c r="V706" s="507">
        <f>Port[[#This Row],[EAD_Drawn (CNY)]]*Port[[#This Row],[CNY -&gt; FCY]]</f>
        <v>34157.829324780025</v>
      </c>
      <c r="W706" s="507">
        <f>Port[[#This Row],[EAD_Undrawn (CNY)]]*Port[[#This Row],[CNY -&gt; FCY]]</f>
        <v>0</v>
      </c>
      <c r="X706" s="507">
        <f>Port[[#This Row],[EAD (CNY)]]*Port[[#This Row],[CNY -&gt; FCY]]</f>
        <v>34157.829324780025</v>
      </c>
      <c r="Y706" s="507">
        <f>Port[[#This Row],[EAD_Interest (CNY)]]*Port[[#This Row],[CNY -&gt; FCY]]</f>
        <v>0</v>
      </c>
      <c r="Z706" s="507">
        <f>Port[[#This Row],[ECL_Drawn (CNY)]]*Port[[#This Row],[CNY -&gt; FCY]]</f>
        <v>4124.253299126096</v>
      </c>
      <c r="AA706" s="507">
        <f>Port[[#This Row],[ECL_Undrawn (CNY)]]*Port[[#This Row],[CNY -&gt; FCY]]</f>
        <v>0</v>
      </c>
      <c r="AB706" s="507">
        <f>Port[[#This Row],[ECL (CNY)]]*Port[[#This Row],[CNY -&gt; FCY]]</f>
        <v>4124.253299126096</v>
      </c>
      <c r="AC706" s="507">
        <f>Port[[#This Row],[ECL_Interest (CNY)]]*Port[[#This Row],[CNY -&gt; FCY]]</f>
        <v>0</v>
      </c>
      <c r="AD706" s="507">
        <f>Port[[#This Row],[EAD_Drawn (CNY)]]*Port[[#This Row],[CNY -&gt; THB]]</f>
        <v>1143084.044149589</v>
      </c>
      <c r="AE706" s="507">
        <f>Port[[#This Row],[EAD_Undrawn (CNY)]]*Port[[#This Row],[CNY -&gt; THB]]</f>
        <v>0</v>
      </c>
      <c r="AF706" s="507">
        <f>Port[[#This Row],[EAD (CNY)]]*Port[[#This Row],[CNY -&gt; THB]]</f>
        <v>1143084.044149589</v>
      </c>
      <c r="AG706" s="507">
        <f>Port[[#This Row],[EAD_Interest (CNY)]]*Port[[#This Row],[CNY -&gt; THB]]</f>
        <v>0</v>
      </c>
      <c r="AH706" s="507">
        <f>Port[[#This Row],[ECL_Drawn (CNY)]]*Port[[#This Row],[CNY -&gt; THB]]</f>
        <v>138017.20523388975</v>
      </c>
      <c r="AI706" s="507">
        <f>Port[[#This Row],[ECL_Undrawn (CNY)]]*Port[[#This Row],[CNY -&gt; THB]]</f>
        <v>0</v>
      </c>
      <c r="AJ706" s="507">
        <f>Port[[#This Row],[ECL (CNY)]]*Port[[#This Row],[CNY -&gt; THB]]</f>
        <v>138017.20523388975</v>
      </c>
      <c r="AK706" s="507">
        <f>Port[[#This Row],[ECL_Interest (CNY)]]*Port[[#This Row],[CNY -&gt; THB]]</f>
        <v>0</v>
      </c>
      <c r="AL706" s="507">
        <f>Port[[#This Row],[EAD (THB)]]*Port[[#This Row],[PD_avg]]</f>
        <v>14910.273215343312</v>
      </c>
      <c r="AM706" s="507">
        <f>Port[[#This Row],[EAD_Interest (THB)]]*Port[[#This Row],[PD_avg]]</f>
        <v>0</v>
      </c>
      <c r="AN706" s="507">
        <f>Port[[#This Row],[EAD (THB)]]*Port[[#This Row],[LGD_avg]]</f>
        <v>10580977.480589109</v>
      </c>
      <c r="AO706" s="507">
        <f>Port[[#This Row],[EAD_Interest (THB)]]*Port[[#This Row],[LGD_avg]]</f>
        <v>0</v>
      </c>
      <c r="AP706" s="507">
        <f>Port[[#This Row],[EAD_Drawn (THB)]]+Port[[#This Row],[EAD_Interest (THB)]]</f>
        <v>1143084.044149589</v>
      </c>
      <c r="AQ70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138017.20523388975</v>
      </c>
      <c r="AR706" s="522">
        <f>MAX(Port[[#This Row],[ECL (THB)]]+Port[[#This Row],[ECL_Interest (THB)]], Port[[#This Row],[ECL CBIRC (THB)]])</f>
        <v>138017.20523388975</v>
      </c>
    </row>
    <row r="707" spans="1:44">
      <c r="A707" s="2" t="s">
        <v>516</v>
      </c>
      <c r="B707" s="2" t="s">
        <v>382</v>
      </c>
      <c r="C707" s="2" t="s">
        <v>379</v>
      </c>
      <c r="D707" s="2" t="s">
        <v>30</v>
      </c>
      <c r="E707" s="2" t="s">
        <v>19</v>
      </c>
      <c r="F707" s="2" t="s">
        <v>380</v>
      </c>
      <c r="G707" s="2" t="s">
        <v>57</v>
      </c>
      <c r="H707">
        <v>1</v>
      </c>
      <c r="I707" s="2" t="s">
        <v>526</v>
      </c>
      <c r="J707" s="505">
        <v>1.3043899345507868E-2</v>
      </c>
      <c r="K707" s="505">
        <v>0.11827047609297806</v>
      </c>
      <c r="L707" s="3">
        <v>0.15684552284455039</v>
      </c>
      <c r="M707" s="3">
        <v>5.2488000000000001</v>
      </c>
      <c r="N707" s="507">
        <v>2378900.4779959996</v>
      </c>
      <c r="O707" s="507">
        <v>0</v>
      </c>
      <c r="P707" s="507">
        <v>2378900.4779959996</v>
      </c>
      <c r="Q707" s="507">
        <v>0</v>
      </c>
      <c r="R707" s="507">
        <v>3669.9492403750683</v>
      </c>
      <c r="S707" s="507">
        <v>0</v>
      </c>
      <c r="T707" s="507">
        <v>3669.9492403750683</v>
      </c>
      <c r="U707" s="507">
        <v>0</v>
      </c>
      <c r="V707" s="507">
        <f>Port[[#This Row],[EAD_Drawn (CNY)]]*Port[[#This Row],[CNY -&gt; FCY]]</f>
        <v>373119.88926643343</v>
      </c>
      <c r="W707" s="507">
        <f>Port[[#This Row],[EAD_Undrawn (CNY)]]*Port[[#This Row],[CNY -&gt; FCY]]</f>
        <v>0</v>
      </c>
      <c r="X707" s="507">
        <f>Port[[#This Row],[EAD (CNY)]]*Port[[#This Row],[CNY -&gt; FCY]]</f>
        <v>373119.88926643343</v>
      </c>
      <c r="Y707" s="507">
        <f>Port[[#This Row],[EAD_Interest (CNY)]]*Port[[#This Row],[CNY -&gt; FCY]]</f>
        <v>0</v>
      </c>
      <c r="Z707" s="507">
        <f>Port[[#This Row],[ECL_Drawn (CNY)]]*Port[[#This Row],[CNY -&gt; FCY]]</f>
        <v>575.61510741958807</v>
      </c>
      <c r="AA707" s="507">
        <f>Port[[#This Row],[ECL_Undrawn (CNY)]]*Port[[#This Row],[CNY -&gt; FCY]]</f>
        <v>0</v>
      </c>
      <c r="AB707" s="507">
        <f>Port[[#This Row],[ECL (CNY)]]*Port[[#This Row],[CNY -&gt; FCY]]</f>
        <v>575.61510741958807</v>
      </c>
      <c r="AC707" s="507">
        <f>Port[[#This Row],[ECL_Interest (CNY)]]*Port[[#This Row],[CNY -&gt; FCY]]</f>
        <v>0</v>
      </c>
      <c r="AD707" s="507">
        <f>Port[[#This Row],[EAD_Drawn (CNY)]]*Port[[#This Row],[CNY -&gt; THB]]</f>
        <v>12486372.828905404</v>
      </c>
      <c r="AE707" s="507">
        <f>Port[[#This Row],[EAD_Undrawn (CNY)]]*Port[[#This Row],[CNY -&gt; THB]]</f>
        <v>0</v>
      </c>
      <c r="AF707" s="507">
        <f>Port[[#This Row],[EAD (CNY)]]*Port[[#This Row],[CNY -&gt; THB]]</f>
        <v>12486372.828905404</v>
      </c>
      <c r="AG707" s="507">
        <f>Port[[#This Row],[EAD_Interest (CNY)]]*Port[[#This Row],[CNY -&gt; THB]]</f>
        <v>0</v>
      </c>
      <c r="AH707" s="507">
        <f>Port[[#This Row],[ECL_Drawn (CNY)]]*Port[[#This Row],[CNY -&gt; THB]]</f>
        <v>19262.829572880659</v>
      </c>
      <c r="AI707" s="507">
        <f>Port[[#This Row],[ECL_Undrawn (CNY)]]*Port[[#This Row],[CNY -&gt; THB]]</f>
        <v>0</v>
      </c>
      <c r="AJ707" s="507">
        <f>Port[[#This Row],[ECL (CNY)]]*Port[[#This Row],[CNY -&gt; THB]]</f>
        <v>19262.829572880659</v>
      </c>
      <c r="AK707" s="507">
        <f>Port[[#This Row],[ECL_Interest (CNY)]]*Port[[#This Row],[CNY -&gt; THB]]</f>
        <v>0</v>
      </c>
      <c r="AL707" s="507">
        <f>Port[[#This Row],[EAD (THB)]]*Port[[#This Row],[PD_avg]]</f>
        <v>162870.99037072642</v>
      </c>
      <c r="AM707" s="507">
        <f>Port[[#This Row],[EAD_Interest (THB)]]*Port[[#This Row],[PD_avg]]</f>
        <v>0</v>
      </c>
      <c r="AN707" s="507">
        <f>Port[[#This Row],[EAD (THB)]]*Port[[#This Row],[LGD_avg]]</f>
        <v>1476769.2591490673</v>
      </c>
      <c r="AO707" s="507">
        <f>Port[[#This Row],[EAD_Interest (THB)]]*Port[[#This Row],[LGD_avg]]</f>
        <v>0</v>
      </c>
      <c r="AP707" s="507">
        <f>Port[[#This Row],[EAD_Drawn (THB)]]+Port[[#This Row],[EAD_Interest (THB)]]</f>
        <v>12486372.828905404</v>
      </c>
      <c r="AQ70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19262.829572880659</v>
      </c>
      <c r="AR707" s="522">
        <f>MAX(Port[[#This Row],[ECL (THB)]]+Port[[#This Row],[ECL_Interest (THB)]], Port[[#This Row],[ECL CBIRC (THB)]])</f>
        <v>19262.829572880659</v>
      </c>
    </row>
    <row r="708" spans="1:44">
      <c r="A708" s="2" t="s">
        <v>517</v>
      </c>
      <c r="B708" s="2" t="s">
        <v>382</v>
      </c>
      <c r="C708" s="2" t="s">
        <v>379</v>
      </c>
      <c r="D708" s="2" t="s">
        <v>30</v>
      </c>
      <c r="E708" s="2" t="s">
        <v>19</v>
      </c>
      <c r="F708" s="2" t="s">
        <v>380</v>
      </c>
      <c r="G708" s="2" t="s">
        <v>170</v>
      </c>
      <c r="H708">
        <v>1</v>
      </c>
      <c r="I708" s="2" t="s">
        <v>526</v>
      </c>
      <c r="J708" s="505">
        <v>1.3043899345507868E-2</v>
      </c>
      <c r="K708" s="505">
        <v>0.20040050687272015</v>
      </c>
      <c r="L708" s="3">
        <v>5.2308000000000003</v>
      </c>
      <c r="M708" s="3">
        <v>5.2488000000000001</v>
      </c>
      <c r="N708" s="507">
        <v>128706.41098917846</v>
      </c>
      <c r="O708" s="507">
        <v>0</v>
      </c>
      <c r="P708" s="507">
        <v>128706.41098917846</v>
      </c>
      <c r="Q708" s="507">
        <v>0</v>
      </c>
      <c r="R708" s="507">
        <v>336.43907835579574</v>
      </c>
      <c r="S708" s="507">
        <v>0</v>
      </c>
      <c r="T708" s="507">
        <v>336.43907835579574</v>
      </c>
      <c r="U708" s="507">
        <v>0</v>
      </c>
      <c r="V708" s="507">
        <f>Port[[#This Row],[EAD_Drawn (CNY)]]*Port[[#This Row],[CNY -&gt; FCY]]</f>
        <v>673237.49460219475</v>
      </c>
      <c r="W708" s="507">
        <f>Port[[#This Row],[EAD_Undrawn (CNY)]]*Port[[#This Row],[CNY -&gt; FCY]]</f>
        <v>0</v>
      </c>
      <c r="X708" s="507">
        <f>Port[[#This Row],[EAD (CNY)]]*Port[[#This Row],[CNY -&gt; FCY]]</f>
        <v>673237.49460219475</v>
      </c>
      <c r="Y708" s="507">
        <f>Port[[#This Row],[EAD_Interest (CNY)]]*Port[[#This Row],[CNY -&gt; FCY]]</f>
        <v>0</v>
      </c>
      <c r="Z708" s="507">
        <f>Port[[#This Row],[ECL_Drawn (CNY)]]*Port[[#This Row],[CNY -&gt; FCY]]</f>
        <v>1759.8455310634965</v>
      </c>
      <c r="AA708" s="507">
        <f>Port[[#This Row],[ECL_Undrawn (CNY)]]*Port[[#This Row],[CNY -&gt; FCY]]</f>
        <v>0</v>
      </c>
      <c r="AB708" s="507">
        <f>Port[[#This Row],[ECL (CNY)]]*Port[[#This Row],[CNY -&gt; FCY]]</f>
        <v>1759.8455310634965</v>
      </c>
      <c r="AC708" s="507">
        <f>Port[[#This Row],[ECL_Interest (CNY)]]*Port[[#This Row],[CNY -&gt; FCY]]</f>
        <v>0</v>
      </c>
      <c r="AD708" s="507">
        <f>Port[[#This Row],[EAD_Drawn (CNY)]]*Port[[#This Row],[CNY -&gt; THB]]</f>
        <v>675554.21</v>
      </c>
      <c r="AE708" s="507">
        <f>Port[[#This Row],[EAD_Undrawn (CNY)]]*Port[[#This Row],[CNY -&gt; THB]]</f>
        <v>0</v>
      </c>
      <c r="AF708" s="507">
        <f>Port[[#This Row],[EAD (CNY)]]*Port[[#This Row],[CNY -&gt; THB]]</f>
        <v>675554.21</v>
      </c>
      <c r="AG708" s="507">
        <f>Port[[#This Row],[EAD_Interest (CNY)]]*Port[[#This Row],[CNY -&gt; THB]]</f>
        <v>0</v>
      </c>
      <c r="AH708" s="507">
        <f>Port[[#This Row],[ECL_Drawn (CNY)]]*Port[[#This Row],[CNY -&gt; THB]]</f>
        <v>1765.9014344739007</v>
      </c>
      <c r="AI708" s="507">
        <f>Port[[#This Row],[ECL_Undrawn (CNY)]]*Port[[#This Row],[CNY -&gt; THB]]</f>
        <v>0</v>
      </c>
      <c r="AJ708" s="507">
        <f>Port[[#This Row],[ECL (CNY)]]*Port[[#This Row],[CNY -&gt; THB]]</f>
        <v>1765.9014344739007</v>
      </c>
      <c r="AK708" s="507">
        <f>Port[[#This Row],[ECL_Interest (CNY)]]*Port[[#This Row],[CNY -&gt; THB]]</f>
        <v>0</v>
      </c>
      <c r="AL708" s="507">
        <f>Port[[#This Row],[EAD (THB)]]*Port[[#This Row],[PD_avg]]</f>
        <v>8811.8611176740851</v>
      </c>
      <c r="AM708" s="507">
        <f>Port[[#This Row],[EAD_Interest (THB)]]*Port[[#This Row],[PD_avg]]</f>
        <v>0</v>
      </c>
      <c r="AN708" s="507">
        <f>Port[[#This Row],[EAD (THB)]]*Port[[#This Row],[LGD_avg]]</f>
        <v>135381.40610400002</v>
      </c>
      <c r="AO708" s="507">
        <f>Port[[#This Row],[EAD_Interest (THB)]]*Port[[#This Row],[LGD_avg]]</f>
        <v>0</v>
      </c>
      <c r="AP708" s="507">
        <f>Port[[#This Row],[EAD_Drawn (THB)]]+Port[[#This Row],[EAD_Interest (THB)]]</f>
        <v>675554.21</v>
      </c>
      <c r="AQ70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1765.9014344739007</v>
      </c>
      <c r="AR708" s="522">
        <f>MAX(Port[[#This Row],[ECL (THB)]]+Port[[#This Row],[ECL_Interest (THB)]], Port[[#This Row],[ECL CBIRC (THB)]])</f>
        <v>1765.9014344739007</v>
      </c>
    </row>
    <row r="709" spans="1:44">
      <c r="A709" s="2" t="s">
        <v>1302</v>
      </c>
      <c r="B709" s="2" t="s">
        <v>382</v>
      </c>
      <c r="C709" s="2" t="s">
        <v>379</v>
      </c>
      <c r="D709" s="2" t="s">
        <v>30</v>
      </c>
      <c r="E709" s="2" t="s">
        <v>19</v>
      </c>
      <c r="F709" s="2" t="s">
        <v>380</v>
      </c>
      <c r="G709" s="2" t="s">
        <v>57</v>
      </c>
      <c r="H709">
        <v>1</v>
      </c>
      <c r="I709" s="2" t="s">
        <v>526</v>
      </c>
      <c r="J709" s="505">
        <v>1.3043899345507868E-2</v>
      </c>
      <c r="K709" s="505">
        <v>0.45581175272964469</v>
      </c>
      <c r="L709" s="3">
        <v>0.15684552284455039</v>
      </c>
      <c r="M709" s="3">
        <v>5.2488000000000001</v>
      </c>
      <c r="N709" s="507">
        <v>103100.75591199999</v>
      </c>
      <c r="O709" s="507">
        <v>0</v>
      </c>
      <c r="P709" s="507">
        <v>103100.75591199999</v>
      </c>
      <c r="Q709" s="507">
        <v>0</v>
      </c>
      <c r="R709" s="507">
        <v>612.99200076425973</v>
      </c>
      <c r="S709" s="507">
        <v>0</v>
      </c>
      <c r="T709" s="507">
        <v>612.99200076425973</v>
      </c>
      <c r="U709" s="507">
        <v>0</v>
      </c>
      <c r="V709" s="507">
        <f>Port[[#This Row],[EAD_Drawn (CNY)]]*Port[[#This Row],[CNY -&gt; FCY]]</f>
        <v>16170.891966686009</v>
      </c>
      <c r="W709" s="507">
        <f>Port[[#This Row],[EAD_Undrawn (CNY)]]*Port[[#This Row],[CNY -&gt; FCY]]</f>
        <v>0</v>
      </c>
      <c r="X709" s="507">
        <f>Port[[#This Row],[EAD (CNY)]]*Port[[#This Row],[CNY -&gt; FCY]]</f>
        <v>16170.891966686009</v>
      </c>
      <c r="Y709" s="507">
        <f>Port[[#This Row],[EAD_Interest (CNY)]]*Port[[#This Row],[CNY -&gt; FCY]]</f>
        <v>0</v>
      </c>
      <c r="Z709" s="507">
        <f>Port[[#This Row],[ECL_Drawn (CNY)]]*Port[[#This Row],[CNY -&gt; FCY]]</f>
        <v>96.145050859397344</v>
      </c>
      <c r="AA709" s="507">
        <f>Port[[#This Row],[ECL_Undrawn (CNY)]]*Port[[#This Row],[CNY -&gt; FCY]]</f>
        <v>0</v>
      </c>
      <c r="AB709" s="507">
        <f>Port[[#This Row],[ECL (CNY)]]*Port[[#This Row],[CNY -&gt; FCY]]</f>
        <v>96.145050859397344</v>
      </c>
      <c r="AC709" s="507">
        <f>Port[[#This Row],[ECL_Interest (CNY)]]*Port[[#This Row],[CNY -&gt; FCY]]</f>
        <v>0</v>
      </c>
      <c r="AD709" s="507">
        <f>Port[[#This Row],[EAD_Drawn (CNY)]]*Port[[#This Row],[CNY -&gt; THB]]</f>
        <v>541155.24763090559</v>
      </c>
      <c r="AE709" s="507">
        <f>Port[[#This Row],[EAD_Undrawn (CNY)]]*Port[[#This Row],[CNY -&gt; THB]]</f>
        <v>0</v>
      </c>
      <c r="AF709" s="507">
        <f>Port[[#This Row],[EAD (CNY)]]*Port[[#This Row],[CNY -&gt; THB]]</f>
        <v>541155.24763090559</v>
      </c>
      <c r="AG709" s="507">
        <f>Port[[#This Row],[EAD_Interest (CNY)]]*Port[[#This Row],[CNY -&gt; THB]]</f>
        <v>0</v>
      </c>
      <c r="AH709" s="507">
        <f>Port[[#This Row],[ECL_Drawn (CNY)]]*Port[[#This Row],[CNY -&gt; THB]]</f>
        <v>3217.4724136114464</v>
      </c>
      <c r="AI709" s="507">
        <f>Port[[#This Row],[ECL_Undrawn (CNY)]]*Port[[#This Row],[CNY -&gt; THB]]</f>
        <v>0</v>
      </c>
      <c r="AJ709" s="507">
        <f>Port[[#This Row],[ECL (CNY)]]*Port[[#This Row],[CNY -&gt; THB]]</f>
        <v>3217.4724136114464</v>
      </c>
      <c r="AK709" s="507">
        <f>Port[[#This Row],[ECL_Interest (CNY)]]*Port[[#This Row],[CNY -&gt; THB]]</f>
        <v>0</v>
      </c>
      <c r="AL709" s="507">
        <f>Port[[#This Row],[EAD (THB)]]*Port[[#This Row],[PD_avg]]</f>
        <v>7058.7745803909174</v>
      </c>
      <c r="AM709" s="507">
        <f>Port[[#This Row],[EAD_Interest (THB)]]*Port[[#This Row],[PD_avg]]</f>
        <v>0</v>
      </c>
      <c r="AN709" s="507">
        <f>Port[[#This Row],[EAD (THB)]]*Port[[#This Row],[LGD_avg]]</f>
        <v>246664.92192148798</v>
      </c>
      <c r="AO709" s="507">
        <f>Port[[#This Row],[EAD_Interest (THB)]]*Port[[#This Row],[LGD_avg]]</f>
        <v>0</v>
      </c>
      <c r="AP709" s="507">
        <f>Port[[#This Row],[EAD_Drawn (THB)]]+Port[[#This Row],[EAD_Interest (THB)]]</f>
        <v>541155.24763090559</v>
      </c>
      <c r="AQ70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3217.4724136114464</v>
      </c>
      <c r="AR709" s="522">
        <f>MAX(Port[[#This Row],[ECL (THB)]]+Port[[#This Row],[ECL_Interest (THB)]], Port[[#This Row],[ECL CBIRC (THB)]])</f>
        <v>3217.4724136114464</v>
      </c>
    </row>
    <row r="710" spans="1:44">
      <c r="A710" s="2" t="s">
        <v>1303</v>
      </c>
      <c r="B710" s="2" t="s">
        <v>382</v>
      </c>
      <c r="C710" s="2" t="s">
        <v>379</v>
      </c>
      <c r="D710" s="2" t="s">
        <v>30</v>
      </c>
      <c r="E710" s="2" t="s">
        <v>19</v>
      </c>
      <c r="F710" s="2" t="s">
        <v>380</v>
      </c>
      <c r="G710" s="2" t="s">
        <v>57</v>
      </c>
      <c r="H710">
        <v>1</v>
      </c>
      <c r="I710" s="2" t="s">
        <v>526</v>
      </c>
      <c r="J710" s="505">
        <v>1.3043899345507868E-2</v>
      </c>
      <c r="K710" s="505">
        <v>9.5874708007979245E-2</v>
      </c>
      <c r="L710" s="3">
        <v>0.15684552284455039</v>
      </c>
      <c r="M710" s="3">
        <v>5.2488000000000001</v>
      </c>
      <c r="N710" s="507">
        <v>2940078.0098619997</v>
      </c>
      <c r="O710" s="507">
        <v>0</v>
      </c>
      <c r="P710" s="507">
        <v>2940078.0098619997</v>
      </c>
      <c r="Q710" s="507">
        <v>0</v>
      </c>
      <c r="R710" s="507">
        <v>3676.8028782223741</v>
      </c>
      <c r="S710" s="507">
        <v>0</v>
      </c>
      <c r="T710" s="507">
        <v>3676.8028782223741</v>
      </c>
      <c r="U710" s="507">
        <v>0</v>
      </c>
      <c r="V710" s="507">
        <f>Port[[#This Row],[EAD_Drawn (CNY)]]*Port[[#This Row],[CNY -&gt; FCY]]</f>
        <v>461138.0726605705</v>
      </c>
      <c r="W710" s="507">
        <f>Port[[#This Row],[EAD_Undrawn (CNY)]]*Port[[#This Row],[CNY -&gt; FCY]]</f>
        <v>0</v>
      </c>
      <c r="X710" s="507">
        <f>Port[[#This Row],[EAD (CNY)]]*Port[[#This Row],[CNY -&gt; FCY]]</f>
        <v>461138.0726605705</v>
      </c>
      <c r="Y710" s="507">
        <f>Port[[#This Row],[EAD_Interest (CNY)]]*Port[[#This Row],[CNY -&gt; FCY]]</f>
        <v>0</v>
      </c>
      <c r="Z710" s="507">
        <f>Port[[#This Row],[ECL_Drawn (CNY)]]*Port[[#This Row],[CNY -&gt; FCY]]</f>
        <v>576.69006983113604</v>
      </c>
      <c r="AA710" s="507">
        <f>Port[[#This Row],[ECL_Undrawn (CNY)]]*Port[[#This Row],[CNY -&gt; FCY]]</f>
        <v>0</v>
      </c>
      <c r="AB710" s="507">
        <f>Port[[#This Row],[ECL (CNY)]]*Port[[#This Row],[CNY -&gt; FCY]]</f>
        <v>576.69006983113604</v>
      </c>
      <c r="AC710" s="507">
        <f>Port[[#This Row],[ECL_Interest (CNY)]]*Port[[#This Row],[CNY -&gt; FCY]]</f>
        <v>0</v>
      </c>
      <c r="AD710" s="507">
        <f>Port[[#This Row],[EAD_Drawn (CNY)]]*Port[[#This Row],[CNY -&gt; THB]]</f>
        <v>15431881.458163664</v>
      </c>
      <c r="AE710" s="507">
        <f>Port[[#This Row],[EAD_Undrawn (CNY)]]*Port[[#This Row],[CNY -&gt; THB]]</f>
        <v>0</v>
      </c>
      <c r="AF710" s="507">
        <f>Port[[#This Row],[EAD (CNY)]]*Port[[#This Row],[CNY -&gt; THB]]</f>
        <v>15431881.458163664</v>
      </c>
      <c r="AG710" s="507">
        <f>Port[[#This Row],[EAD_Interest (CNY)]]*Port[[#This Row],[CNY -&gt; THB]]</f>
        <v>0</v>
      </c>
      <c r="AH710" s="507">
        <f>Port[[#This Row],[ECL_Drawn (CNY)]]*Port[[#This Row],[CNY -&gt; THB]]</f>
        <v>19298.802947213597</v>
      </c>
      <c r="AI710" s="507">
        <f>Port[[#This Row],[ECL_Undrawn (CNY)]]*Port[[#This Row],[CNY -&gt; THB]]</f>
        <v>0</v>
      </c>
      <c r="AJ710" s="507">
        <f>Port[[#This Row],[ECL (CNY)]]*Port[[#This Row],[CNY -&gt; THB]]</f>
        <v>19298.802947213597</v>
      </c>
      <c r="AK710" s="507">
        <f>Port[[#This Row],[ECL_Interest (CNY)]]*Port[[#This Row],[CNY -&gt; THB]]</f>
        <v>0</v>
      </c>
      <c r="AL710" s="507">
        <f>Port[[#This Row],[EAD (THB)]]*Port[[#This Row],[PD_avg]]</f>
        <v>201291.90845209602</v>
      </c>
      <c r="AM710" s="507">
        <f>Port[[#This Row],[EAD_Interest (THB)]]*Port[[#This Row],[PD_avg]]</f>
        <v>0</v>
      </c>
      <c r="AN710" s="507">
        <f>Port[[#This Row],[EAD (THB)]]*Port[[#This Row],[LGD_avg]]</f>
        <v>1479527.1288151902</v>
      </c>
      <c r="AO710" s="507">
        <f>Port[[#This Row],[EAD_Interest (THB)]]*Port[[#This Row],[LGD_avg]]</f>
        <v>0</v>
      </c>
      <c r="AP710" s="507">
        <f>Port[[#This Row],[EAD_Drawn (THB)]]+Port[[#This Row],[EAD_Interest (THB)]]</f>
        <v>15431881.458163664</v>
      </c>
      <c r="AQ71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19298.802947213597</v>
      </c>
      <c r="AR710" s="522">
        <f>MAX(Port[[#This Row],[ECL (THB)]]+Port[[#This Row],[ECL_Interest (THB)]], Port[[#This Row],[ECL CBIRC (THB)]])</f>
        <v>19298.802947213597</v>
      </c>
    </row>
    <row r="711" spans="1:44">
      <c r="A711" s="2" t="s">
        <v>1304</v>
      </c>
      <c r="B711" s="2" t="s">
        <v>382</v>
      </c>
      <c r="C711" s="2" t="s">
        <v>379</v>
      </c>
      <c r="D711" s="2" t="s">
        <v>30</v>
      </c>
      <c r="E711" s="2" t="s">
        <v>19</v>
      </c>
      <c r="F711" s="2" t="s">
        <v>380</v>
      </c>
      <c r="G711" s="2" t="s">
        <v>57</v>
      </c>
      <c r="H711">
        <v>1</v>
      </c>
      <c r="I711" s="2" t="s">
        <v>526</v>
      </c>
      <c r="J711" s="505">
        <v>1.3043899345507868E-2</v>
      </c>
      <c r="K711" s="505">
        <v>0.86543223116988488</v>
      </c>
      <c r="L711" s="3">
        <v>0.15684552284455039</v>
      </c>
      <c r="M711" s="3">
        <v>5.2488000000000001</v>
      </c>
      <c r="N711" s="507">
        <v>40973.725506000002</v>
      </c>
      <c r="O711" s="507">
        <v>0</v>
      </c>
      <c r="P711" s="507">
        <v>40973.725506000002</v>
      </c>
      <c r="Q711" s="507">
        <v>0</v>
      </c>
      <c r="R711" s="507">
        <v>462.53644492354795</v>
      </c>
      <c r="S711" s="507">
        <v>0</v>
      </c>
      <c r="T711" s="507">
        <v>462.53644492354795</v>
      </c>
      <c r="U711" s="507">
        <v>0</v>
      </c>
      <c r="V711" s="507">
        <f>Port[[#This Row],[EAD_Drawn (CNY)]]*Port[[#This Row],[CNY -&gt; FCY]]</f>
        <v>6426.5453998776602</v>
      </c>
      <c r="W711" s="507">
        <f>Port[[#This Row],[EAD_Undrawn (CNY)]]*Port[[#This Row],[CNY -&gt; FCY]]</f>
        <v>0</v>
      </c>
      <c r="X711" s="507">
        <f>Port[[#This Row],[EAD (CNY)]]*Port[[#This Row],[CNY -&gt; FCY]]</f>
        <v>6426.5453998776602</v>
      </c>
      <c r="Y711" s="507">
        <f>Port[[#This Row],[EAD_Interest (CNY)]]*Port[[#This Row],[CNY -&gt; FCY]]</f>
        <v>0</v>
      </c>
      <c r="Z711" s="507">
        <f>Port[[#This Row],[ECL_Drawn (CNY)]]*Port[[#This Row],[CNY -&gt; FCY]]</f>
        <v>72.546770538693465</v>
      </c>
      <c r="AA711" s="507">
        <f>Port[[#This Row],[ECL_Undrawn (CNY)]]*Port[[#This Row],[CNY -&gt; FCY]]</f>
        <v>0</v>
      </c>
      <c r="AB711" s="507">
        <f>Port[[#This Row],[ECL (CNY)]]*Port[[#This Row],[CNY -&gt; FCY]]</f>
        <v>72.546770538693465</v>
      </c>
      <c r="AC711" s="507">
        <f>Port[[#This Row],[ECL_Interest (CNY)]]*Port[[#This Row],[CNY -&gt; FCY]]</f>
        <v>0</v>
      </c>
      <c r="AD711" s="507">
        <f>Port[[#This Row],[EAD_Drawn (CNY)]]*Port[[#This Row],[CNY -&gt; THB]]</f>
        <v>215062.89043589283</v>
      </c>
      <c r="AE711" s="507">
        <f>Port[[#This Row],[EAD_Undrawn (CNY)]]*Port[[#This Row],[CNY -&gt; THB]]</f>
        <v>0</v>
      </c>
      <c r="AF711" s="507">
        <f>Port[[#This Row],[EAD (CNY)]]*Port[[#This Row],[CNY -&gt; THB]]</f>
        <v>215062.89043589283</v>
      </c>
      <c r="AG711" s="507">
        <f>Port[[#This Row],[EAD_Interest (CNY)]]*Port[[#This Row],[CNY -&gt; THB]]</f>
        <v>0</v>
      </c>
      <c r="AH711" s="507">
        <f>Port[[#This Row],[ECL_Drawn (CNY)]]*Port[[#This Row],[CNY -&gt; THB]]</f>
        <v>2427.7612921147183</v>
      </c>
      <c r="AI711" s="507">
        <f>Port[[#This Row],[ECL_Undrawn (CNY)]]*Port[[#This Row],[CNY -&gt; THB]]</f>
        <v>0</v>
      </c>
      <c r="AJ711" s="507">
        <f>Port[[#This Row],[ECL (CNY)]]*Port[[#This Row],[CNY -&gt; THB]]</f>
        <v>2427.7612921147183</v>
      </c>
      <c r="AK711" s="507">
        <f>Port[[#This Row],[ECL_Interest (CNY)]]*Port[[#This Row],[CNY -&gt; THB]]</f>
        <v>0</v>
      </c>
      <c r="AL711" s="507">
        <f>Port[[#This Row],[EAD (THB)]]*Port[[#This Row],[PD_avg]]</f>
        <v>2805.2586957997728</v>
      </c>
      <c r="AM711" s="507">
        <f>Port[[#This Row],[EAD_Interest (THB)]]*Port[[#This Row],[PD_avg]]</f>
        <v>0</v>
      </c>
      <c r="AN711" s="507">
        <f>Port[[#This Row],[EAD (THB)]]*Port[[#This Row],[LGD_avg]]</f>
        <v>186122.35711177922</v>
      </c>
      <c r="AO711" s="507">
        <f>Port[[#This Row],[EAD_Interest (THB)]]*Port[[#This Row],[LGD_avg]]</f>
        <v>0</v>
      </c>
      <c r="AP711" s="507">
        <f>Port[[#This Row],[EAD_Drawn (THB)]]+Port[[#This Row],[EAD_Interest (THB)]]</f>
        <v>215062.89043589283</v>
      </c>
      <c r="AQ71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2427.7612921147183</v>
      </c>
      <c r="AR711" s="522">
        <f>MAX(Port[[#This Row],[ECL (THB)]]+Port[[#This Row],[ECL_Interest (THB)]], Port[[#This Row],[ECL CBIRC (THB)]])</f>
        <v>2427.7612921147183</v>
      </c>
    </row>
    <row r="712" spans="1:44">
      <c r="A712" s="2" t="s">
        <v>1305</v>
      </c>
      <c r="B712" s="2" t="s">
        <v>382</v>
      </c>
      <c r="C712" s="2" t="s">
        <v>379</v>
      </c>
      <c r="D712" s="2" t="s">
        <v>30</v>
      </c>
      <c r="E712" s="2" t="s">
        <v>19</v>
      </c>
      <c r="F712" s="2" t="s">
        <v>380</v>
      </c>
      <c r="G712" s="2" t="s">
        <v>57</v>
      </c>
      <c r="H712">
        <v>1</v>
      </c>
      <c r="I712" s="2" t="s">
        <v>526</v>
      </c>
      <c r="J712" s="505">
        <v>1.3043899345507868E-2</v>
      </c>
      <c r="K712" s="505">
        <v>0.7895184551454415</v>
      </c>
      <c r="L712" s="3">
        <v>0.15684552284455039</v>
      </c>
      <c r="M712" s="3">
        <v>5.2488000000000001</v>
      </c>
      <c r="N712" s="507">
        <v>26053.942599999998</v>
      </c>
      <c r="O712" s="507">
        <v>0</v>
      </c>
      <c r="P712" s="507">
        <v>26053.942599999998</v>
      </c>
      <c r="Q712" s="507">
        <v>0</v>
      </c>
      <c r="R712" s="507">
        <v>268.31390320072887</v>
      </c>
      <c r="S712" s="507">
        <v>0</v>
      </c>
      <c r="T712" s="507">
        <v>268.31390320072887</v>
      </c>
      <c r="U712" s="507">
        <v>0</v>
      </c>
      <c r="V712" s="507">
        <f>Port[[#This Row],[EAD_Drawn (CNY)]]*Port[[#This Row],[CNY -&gt; FCY]]</f>
        <v>4086.4442492589042</v>
      </c>
      <c r="W712" s="507">
        <f>Port[[#This Row],[EAD_Undrawn (CNY)]]*Port[[#This Row],[CNY -&gt; FCY]]</f>
        <v>0</v>
      </c>
      <c r="X712" s="507">
        <f>Port[[#This Row],[EAD (CNY)]]*Port[[#This Row],[CNY -&gt; FCY]]</f>
        <v>4086.4442492589042</v>
      </c>
      <c r="Y712" s="507">
        <f>Port[[#This Row],[EAD_Interest (CNY)]]*Port[[#This Row],[CNY -&gt; FCY]]</f>
        <v>0</v>
      </c>
      <c r="Z712" s="507">
        <f>Port[[#This Row],[ECL_Drawn (CNY)]]*Port[[#This Row],[CNY -&gt; FCY]]</f>
        <v>42.0838344339804</v>
      </c>
      <c r="AA712" s="507">
        <f>Port[[#This Row],[ECL_Undrawn (CNY)]]*Port[[#This Row],[CNY -&gt; FCY]]</f>
        <v>0</v>
      </c>
      <c r="AB712" s="507">
        <f>Port[[#This Row],[ECL (CNY)]]*Port[[#This Row],[CNY -&gt; FCY]]</f>
        <v>42.0838344339804</v>
      </c>
      <c r="AC712" s="507">
        <f>Port[[#This Row],[ECL_Interest (CNY)]]*Port[[#This Row],[CNY -&gt; FCY]]</f>
        <v>0</v>
      </c>
      <c r="AD712" s="507">
        <f>Port[[#This Row],[EAD_Drawn (CNY)]]*Port[[#This Row],[CNY -&gt; THB]]</f>
        <v>136751.93391888001</v>
      </c>
      <c r="AE712" s="507">
        <f>Port[[#This Row],[EAD_Undrawn (CNY)]]*Port[[#This Row],[CNY -&gt; THB]]</f>
        <v>0</v>
      </c>
      <c r="AF712" s="507">
        <f>Port[[#This Row],[EAD (CNY)]]*Port[[#This Row],[CNY -&gt; THB]]</f>
        <v>136751.93391888001</v>
      </c>
      <c r="AG712" s="507">
        <f>Port[[#This Row],[EAD_Interest (CNY)]]*Port[[#This Row],[CNY -&gt; THB]]</f>
        <v>0</v>
      </c>
      <c r="AH712" s="507">
        <f>Port[[#This Row],[ECL_Drawn (CNY)]]*Port[[#This Row],[CNY -&gt; THB]]</f>
        <v>1408.3260151199856</v>
      </c>
      <c r="AI712" s="507">
        <f>Port[[#This Row],[ECL_Undrawn (CNY)]]*Port[[#This Row],[CNY -&gt; THB]]</f>
        <v>0</v>
      </c>
      <c r="AJ712" s="507">
        <f>Port[[#This Row],[ECL (CNY)]]*Port[[#This Row],[CNY -&gt; THB]]</f>
        <v>1408.3260151199856</v>
      </c>
      <c r="AK712" s="507">
        <f>Port[[#This Row],[ECL_Interest (CNY)]]*Port[[#This Row],[CNY -&gt; THB]]</f>
        <v>0</v>
      </c>
      <c r="AL712" s="507">
        <f>Port[[#This Row],[EAD (THB)]]*Port[[#This Row],[PD_avg]]</f>
        <v>1783.7784613414142</v>
      </c>
      <c r="AM712" s="507">
        <f>Port[[#This Row],[EAD_Interest (THB)]]*Port[[#This Row],[PD_avg]]</f>
        <v>0</v>
      </c>
      <c r="AN712" s="507">
        <f>Port[[#This Row],[EAD (THB)]]*Port[[#This Row],[LGD_avg]]</f>
        <v>107968.17560578564</v>
      </c>
      <c r="AO712" s="507">
        <f>Port[[#This Row],[EAD_Interest (THB)]]*Port[[#This Row],[LGD_avg]]</f>
        <v>0</v>
      </c>
      <c r="AP712" s="507">
        <f>Port[[#This Row],[EAD_Drawn (THB)]]+Port[[#This Row],[EAD_Interest (THB)]]</f>
        <v>136751.93391888001</v>
      </c>
      <c r="AQ71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1408.3260151199856</v>
      </c>
      <c r="AR712" s="522">
        <f>MAX(Port[[#This Row],[ECL (THB)]]+Port[[#This Row],[ECL_Interest (THB)]], Port[[#This Row],[ECL CBIRC (THB)]])</f>
        <v>1408.3260151199856</v>
      </c>
    </row>
    <row r="713" spans="1:44">
      <c r="A713" s="2" t="s">
        <v>1306</v>
      </c>
      <c r="B713" s="2" t="s">
        <v>382</v>
      </c>
      <c r="C713" s="2" t="s">
        <v>379</v>
      </c>
      <c r="D713" s="2" t="s">
        <v>30</v>
      </c>
      <c r="E713" s="2" t="s">
        <v>19</v>
      </c>
      <c r="F713" s="2" t="s">
        <v>380</v>
      </c>
      <c r="G713" s="2" t="s">
        <v>57</v>
      </c>
      <c r="H713">
        <v>1</v>
      </c>
      <c r="I713" s="2" t="s">
        <v>526</v>
      </c>
      <c r="J713" s="505">
        <v>1.3043899345507868E-2</v>
      </c>
      <c r="K713" s="505">
        <v>31.004784688995219</v>
      </c>
      <c r="L713" s="3">
        <v>0.15684552284455039</v>
      </c>
      <c r="M713" s="3">
        <v>5.2488000000000001</v>
      </c>
      <c r="N713" s="507">
        <v>33275.934999999998</v>
      </c>
      <c r="O713" s="507">
        <v>0</v>
      </c>
      <c r="P713" s="507">
        <v>33275.934999999998</v>
      </c>
      <c r="Q713" s="507">
        <v>0</v>
      </c>
      <c r="R713" s="507">
        <v>13457.563134231828</v>
      </c>
      <c r="S713" s="507">
        <v>0</v>
      </c>
      <c r="T713" s="507">
        <v>13457.563134231828</v>
      </c>
      <c r="U713" s="507">
        <v>0</v>
      </c>
      <c r="V713" s="507">
        <f>Port[[#This Row],[EAD_Drawn (CNY)]]*Port[[#This Row],[CNY -&gt; FCY]]</f>
        <v>5219.1814232162733</v>
      </c>
      <c r="W713" s="507">
        <f>Port[[#This Row],[EAD_Undrawn (CNY)]]*Port[[#This Row],[CNY -&gt; FCY]]</f>
        <v>0</v>
      </c>
      <c r="X713" s="507">
        <f>Port[[#This Row],[EAD (CNY)]]*Port[[#This Row],[CNY -&gt; FCY]]</f>
        <v>5219.1814232162733</v>
      </c>
      <c r="Y713" s="507">
        <f>Port[[#This Row],[EAD_Interest (CNY)]]*Port[[#This Row],[CNY -&gt; FCY]]</f>
        <v>0</v>
      </c>
      <c r="Z713" s="507">
        <f>Port[[#This Row],[ECL_Drawn (CNY)]]*Port[[#This Row],[CNY -&gt; FCY]]</f>
        <v>2110.7585260021374</v>
      </c>
      <c r="AA713" s="507">
        <f>Port[[#This Row],[ECL_Undrawn (CNY)]]*Port[[#This Row],[CNY -&gt; FCY]]</f>
        <v>0</v>
      </c>
      <c r="AB713" s="507">
        <f>Port[[#This Row],[ECL (CNY)]]*Port[[#This Row],[CNY -&gt; FCY]]</f>
        <v>2110.7585260021374</v>
      </c>
      <c r="AC713" s="507">
        <f>Port[[#This Row],[ECL_Interest (CNY)]]*Port[[#This Row],[CNY -&gt; FCY]]</f>
        <v>0</v>
      </c>
      <c r="AD713" s="507">
        <f>Port[[#This Row],[EAD_Drawn (CNY)]]*Port[[#This Row],[CNY -&gt; THB]]</f>
        <v>174658.72762799999</v>
      </c>
      <c r="AE713" s="507">
        <f>Port[[#This Row],[EAD_Undrawn (CNY)]]*Port[[#This Row],[CNY -&gt; THB]]</f>
        <v>0</v>
      </c>
      <c r="AF713" s="507">
        <f>Port[[#This Row],[EAD (CNY)]]*Port[[#This Row],[CNY -&gt; THB]]</f>
        <v>174658.72762799999</v>
      </c>
      <c r="AG713" s="507">
        <f>Port[[#This Row],[EAD_Interest (CNY)]]*Port[[#This Row],[CNY -&gt; THB]]</f>
        <v>0</v>
      </c>
      <c r="AH713" s="507">
        <f>Port[[#This Row],[ECL_Drawn (CNY)]]*Port[[#This Row],[CNY -&gt; THB]]</f>
        <v>70636.057378956029</v>
      </c>
      <c r="AI713" s="507">
        <f>Port[[#This Row],[ECL_Undrawn (CNY)]]*Port[[#This Row],[CNY -&gt; THB]]</f>
        <v>0</v>
      </c>
      <c r="AJ713" s="507">
        <f>Port[[#This Row],[ECL (CNY)]]*Port[[#This Row],[CNY -&gt; THB]]</f>
        <v>70636.057378956029</v>
      </c>
      <c r="AK713" s="507">
        <f>Port[[#This Row],[ECL_Interest (CNY)]]*Port[[#This Row],[CNY -&gt; THB]]</f>
        <v>0</v>
      </c>
      <c r="AL713" s="507">
        <f>Port[[#This Row],[EAD (THB)]]*Port[[#This Row],[PD_avg]]</f>
        <v>2278.2308629941062</v>
      </c>
      <c r="AM713" s="507">
        <f>Port[[#This Row],[EAD_Interest (THB)]]*Port[[#This Row],[PD_avg]]</f>
        <v>0</v>
      </c>
      <c r="AN713" s="507">
        <f>Port[[#This Row],[EAD (THB)]]*Port[[#This Row],[LGD_avg]]</f>
        <v>5415256.2441600002</v>
      </c>
      <c r="AO713" s="507">
        <f>Port[[#This Row],[EAD_Interest (THB)]]*Port[[#This Row],[LGD_avg]]</f>
        <v>0</v>
      </c>
      <c r="AP713" s="507">
        <f>Port[[#This Row],[EAD_Drawn (THB)]]+Port[[#This Row],[EAD_Interest (THB)]]</f>
        <v>174658.72762799999</v>
      </c>
      <c r="AQ71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70636.057378956029</v>
      </c>
      <c r="AR713" s="522">
        <f>MAX(Port[[#This Row],[ECL (THB)]]+Port[[#This Row],[ECL_Interest (THB)]], Port[[#This Row],[ECL CBIRC (THB)]])</f>
        <v>70636.057378956029</v>
      </c>
    </row>
    <row r="714" spans="1:44">
      <c r="A714" s="2" t="s">
        <v>1307</v>
      </c>
      <c r="B714" s="2" t="s">
        <v>382</v>
      </c>
      <c r="C714" s="2" t="s">
        <v>379</v>
      </c>
      <c r="D714" s="2" t="s">
        <v>30</v>
      </c>
      <c r="E714" s="2" t="s">
        <v>19</v>
      </c>
      <c r="F714" s="2" t="s">
        <v>380</v>
      </c>
      <c r="G714" s="2" t="s">
        <v>57</v>
      </c>
      <c r="H714">
        <v>1</v>
      </c>
      <c r="I714" s="2" t="s">
        <v>526</v>
      </c>
      <c r="J714" s="505">
        <v>1.3043899345507868E-2</v>
      </c>
      <c r="K714" s="505">
        <v>2.463987254464286</v>
      </c>
      <c r="L714" s="3">
        <v>0.15684552284455039</v>
      </c>
      <c r="M714" s="3">
        <v>5.2488000000000001</v>
      </c>
      <c r="N714" s="507">
        <v>285313.27999999997</v>
      </c>
      <c r="O714" s="507">
        <v>0</v>
      </c>
      <c r="P714" s="507">
        <v>285313.27999999997</v>
      </c>
      <c r="Q714" s="507">
        <v>0</v>
      </c>
      <c r="R714" s="507">
        <v>9169.9693144600369</v>
      </c>
      <c r="S714" s="507">
        <v>0</v>
      </c>
      <c r="T714" s="507">
        <v>9169.9693144600369</v>
      </c>
      <c r="U714" s="507">
        <v>0</v>
      </c>
      <c r="V714" s="507">
        <f>Port[[#This Row],[EAD_Drawn (CNY)]]*Port[[#This Row],[CNY -&gt; FCY]]</f>
        <v>44750.110576093597</v>
      </c>
      <c r="W714" s="507">
        <f>Port[[#This Row],[EAD_Undrawn (CNY)]]*Port[[#This Row],[CNY -&gt; FCY]]</f>
        <v>0</v>
      </c>
      <c r="X714" s="507">
        <f>Port[[#This Row],[EAD (CNY)]]*Port[[#This Row],[CNY -&gt; FCY]]</f>
        <v>44750.110576093597</v>
      </c>
      <c r="Y714" s="507">
        <f>Port[[#This Row],[EAD_Interest (CNY)]]*Port[[#This Row],[CNY -&gt; FCY]]</f>
        <v>0</v>
      </c>
      <c r="Z714" s="507">
        <f>Port[[#This Row],[ECL_Drawn (CNY)]]*Port[[#This Row],[CNY -&gt; FCY]]</f>
        <v>1438.2686315949677</v>
      </c>
      <c r="AA714" s="507">
        <f>Port[[#This Row],[ECL_Undrawn (CNY)]]*Port[[#This Row],[CNY -&gt; FCY]]</f>
        <v>0</v>
      </c>
      <c r="AB714" s="507">
        <f>Port[[#This Row],[ECL (CNY)]]*Port[[#This Row],[CNY -&gt; FCY]]</f>
        <v>1438.2686315949677</v>
      </c>
      <c r="AC714" s="507">
        <f>Port[[#This Row],[ECL_Interest (CNY)]]*Port[[#This Row],[CNY -&gt; FCY]]</f>
        <v>0</v>
      </c>
      <c r="AD714" s="507">
        <f>Port[[#This Row],[EAD_Drawn (CNY)]]*Port[[#This Row],[CNY -&gt; THB]]</f>
        <v>1497552.3440639998</v>
      </c>
      <c r="AE714" s="507">
        <f>Port[[#This Row],[EAD_Undrawn (CNY)]]*Port[[#This Row],[CNY -&gt; THB]]</f>
        <v>0</v>
      </c>
      <c r="AF714" s="507">
        <f>Port[[#This Row],[EAD (CNY)]]*Port[[#This Row],[CNY -&gt; THB]]</f>
        <v>1497552.3440639998</v>
      </c>
      <c r="AG714" s="507">
        <f>Port[[#This Row],[EAD_Interest (CNY)]]*Port[[#This Row],[CNY -&gt; THB]]</f>
        <v>0</v>
      </c>
      <c r="AH714" s="507">
        <f>Port[[#This Row],[ECL_Drawn (CNY)]]*Port[[#This Row],[CNY -&gt; THB]]</f>
        <v>48131.33493773784</v>
      </c>
      <c r="AI714" s="507">
        <f>Port[[#This Row],[ECL_Undrawn (CNY)]]*Port[[#This Row],[CNY -&gt; THB]]</f>
        <v>0</v>
      </c>
      <c r="AJ714" s="507">
        <f>Port[[#This Row],[ECL (CNY)]]*Port[[#This Row],[CNY -&gt; THB]]</f>
        <v>48131.33493773784</v>
      </c>
      <c r="AK714" s="507">
        <f>Port[[#This Row],[ECL_Interest (CNY)]]*Port[[#This Row],[CNY -&gt; THB]]</f>
        <v>0</v>
      </c>
      <c r="AL714" s="507">
        <f>Port[[#This Row],[EAD (THB)]]*Port[[#This Row],[PD_avg]]</f>
        <v>19533.92204060018</v>
      </c>
      <c r="AM714" s="507">
        <f>Port[[#This Row],[EAD_Interest (THB)]]*Port[[#This Row],[PD_avg]]</f>
        <v>0</v>
      </c>
      <c r="AN714" s="507">
        <f>Port[[#This Row],[EAD (THB)]]*Port[[#This Row],[LGD_avg]]</f>
        <v>3689949.8886668109</v>
      </c>
      <c r="AO714" s="507">
        <f>Port[[#This Row],[EAD_Interest (THB)]]*Port[[#This Row],[LGD_avg]]</f>
        <v>0</v>
      </c>
      <c r="AP714" s="507">
        <f>Port[[#This Row],[EAD_Drawn (THB)]]+Port[[#This Row],[EAD_Interest (THB)]]</f>
        <v>1497552.3440639998</v>
      </c>
      <c r="AQ71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48131.33493773784</v>
      </c>
      <c r="AR714" s="522">
        <f>MAX(Port[[#This Row],[ECL (THB)]]+Port[[#This Row],[ECL_Interest (THB)]], Port[[#This Row],[ECL CBIRC (THB)]])</f>
        <v>48131.33493773784</v>
      </c>
    </row>
    <row r="715" spans="1:44">
      <c r="A715" s="2" t="s">
        <v>1308</v>
      </c>
      <c r="B715" s="2" t="s">
        <v>382</v>
      </c>
      <c r="C715" s="2" t="s">
        <v>379</v>
      </c>
      <c r="D715" s="2" t="s">
        <v>30</v>
      </c>
      <c r="E715" s="2" t="s">
        <v>19</v>
      </c>
      <c r="F715" s="2" t="s">
        <v>380</v>
      </c>
      <c r="G715" s="2" t="s">
        <v>57</v>
      </c>
      <c r="H715">
        <v>1</v>
      </c>
      <c r="I715" s="2" t="s">
        <v>526</v>
      </c>
      <c r="J715" s="505">
        <v>1.3043899345507868E-2</v>
      </c>
      <c r="K715" s="505">
        <v>0.59365665580379201</v>
      </c>
      <c r="L715" s="3">
        <v>0.15684552284455039</v>
      </c>
      <c r="M715" s="3">
        <v>5.2488000000000001</v>
      </c>
      <c r="N715" s="507">
        <v>345783.26437199995</v>
      </c>
      <c r="O715" s="507">
        <v>0</v>
      </c>
      <c r="P715" s="507">
        <v>345783.26437199995</v>
      </c>
      <c r="Q715" s="507">
        <v>0</v>
      </c>
      <c r="R715" s="507">
        <v>2677.606478274326</v>
      </c>
      <c r="S715" s="507">
        <v>0</v>
      </c>
      <c r="T715" s="507">
        <v>2677.606478274326</v>
      </c>
      <c r="U715" s="507">
        <v>0</v>
      </c>
      <c r="V715" s="507">
        <f>Port[[#This Row],[EAD_Drawn (CNY)]]*Port[[#This Row],[CNY -&gt; FCY]]</f>
        <v>54234.556891321721</v>
      </c>
      <c r="W715" s="507">
        <f>Port[[#This Row],[EAD_Undrawn (CNY)]]*Port[[#This Row],[CNY -&gt; FCY]]</f>
        <v>0</v>
      </c>
      <c r="X715" s="507">
        <f>Port[[#This Row],[EAD (CNY)]]*Port[[#This Row],[CNY -&gt; FCY]]</f>
        <v>54234.556891321721</v>
      </c>
      <c r="Y715" s="507">
        <f>Port[[#This Row],[EAD_Interest (CNY)]]*Port[[#This Row],[CNY -&gt; FCY]]</f>
        <v>0</v>
      </c>
      <c r="Z715" s="507">
        <f>Port[[#This Row],[ECL_Drawn (CNY)]]*Port[[#This Row],[CNY -&gt; FCY]]</f>
        <v>419.97058805689193</v>
      </c>
      <c r="AA715" s="507">
        <f>Port[[#This Row],[ECL_Undrawn (CNY)]]*Port[[#This Row],[CNY -&gt; FCY]]</f>
        <v>0</v>
      </c>
      <c r="AB715" s="507">
        <f>Port[[#This Row],[ECL (CNY)]]*Port[[#This Row],[CNY -&gt; FCY]]</f>
        <v>419.97058805689193</v>
      </c>
      <c r="AC715" s="507">
        <f>Port[[#This Row],[ECL_Interest (CNY)]]*Port[[#This Row],[CNY -&gt; FCY]]</f>
        <v>0</v>
      </c>
      <c r="AD715" s="507">
        <f>Port[[#This Row],[EAD_Drawn (CNY)]]*Port[[#This Row],[CNY -&gt; THB]]</f>
        <v>1814947.1980357533</v>
      </c>
      <c r="AE715" s="507">
        <f>Port[[#This Row],[EAD_Undrawn (CNY)]]*Port[[#This Row],[CNY -&gt; THB]]</f>
        <v>0</v>
      </c>
      <c r="AF715" s="507">
        <f>Port[[#This Row],[EAD (CNY)]]*Port[[#This Row],[CNY -&gt; THB]]</f>
        <v>1814947.1980357533</v>
      </c>
      <c r="AG715" s="507">
        <f>Port[[#This Row],[EAD_Interest (CNY)]]*Port[[#This Row],[CNY -&gt; THB]]</f>
        <v>0</v>
      </c>
      <c r="AH715" s="507">
        <f>Port[[#This Row],[ECL_Drawn (CNY)]]*Port[[#This Row],[CNY -&gt; THB]]</f>
        <v>14054.220883166283</v>
      </c>
      <c r="AI715" s="507">
        <f>Port[[#This Row],[ECL_Undrawn (CNY)]]*Port[[#This Row],[CNY -&gt; THB]]</f>
        <v>0</v>
      </c>
      <c r="AJ715" s="507">
        <f>Port[[#This Row],[ECL (CNY)]]*Port[[#This Row],[CNY -&gt; THB]]</f>
        <v>14054.220883166283</v>
      </c>
      <c r="AK715" s="507">
        <f>Port[[#This Row],[ECL_Interest (CNY)]]*Port[[#This Row],[CNY -&gt; THB]]</f>
        <v>0</v>
      </c>
      <c r="AL715" s="507">
        <f>Port[[#This Row],[EAD (THB)]]*Port[[#This Row],[PD_avg]]</f>
        <v>23673.988568589903</v>
      </c>
      <c r="AM715" s="507">
        <f>Port[[#This Row],[EAD_Interest (THB)]]*Port[[#This Row],[PD_avg]]</f>
        <v>0</v>
      </c>
      <c r="AN715" s="507">
        <f>Port[[#This Row],[EAD (THB)]]*Port[[#This Row],[LGD_avg]]</f>
        <v>1077455.4840463679</v>
      </c>
      <c r="AO715" s="507">
        <f>Port[[#This Row],[EAD_Interest (THB)]]*Port[[#This Row],[LGD_avg]]</f>
        <v>0</v>
      </c>
      <c r="AP715" s="507">
        <f>Port[[#This Row],[EAD_Drawn (THB)]]+Port[[#This Row],[EAD_Interest (THB)]]</f>
        <v>1814947.1980357533</v>
      </c>
      <c r="AQ71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14054.220883166283</v>
      </c>
      <c r="AR715" s="522">
        <f>MAX(Port[[#This Row],[ECL (THB)]]+Port[[#This Row],[ECL_Interest (THB)]], Port[[#This Row],[ECL CBIRC (THB)]])</f>
        <v>14054.220883166283</v>
      </c>
    </row>
    <row r="716" spans="1:44">
      <c r="A716" s="2" t="s">
        <v>1309</v>
      </c>
      <c r="B716" s="2" t="s">
        <v>382</v>
      </c>
      <c r="C716" s="2" t="s">
        <v>379</v>
      </c>
      <c r="D716" s="2" t="s">
        <v>30</v>
      </c>
      <c r="E716" s="2" t="s">
        <v>19</v>
      </c>
      <c r="F716" s="2" t="s">
        <v>380</v>
      </c>
      <c r="G716" s="2" t="s">
        <v>57</v>
      </c>
      <c r="H716">
        <v>1</v>
      </c>
      <c r="I716" s="2" t="s">
        <v>526</v>
      </c>
      <c r="J716" s="506">
        <v>1.3043899345507868E-2</v>
      </c>
      <c r="K716" s="506">
        <v>0.35585134648338074</v>
      </c>
      <c r="L716" s="3">
        <v>0.15684552284455039</v>
      </c>
      <c r="M716" s="3">
        <v>5.2488000000000001</v>
      </c>
      <c r="N716" s="508">
        <v>95998.429505999986</v>
      </c>
      <c r="O716" s="508">
        <v>0</v>
      </c>
      <c r="P716" s="508">
        <v>95998.429505999986</v>
      </c>
      <c r="Q716" s="508">
        <v>0</v>
      </c>
      <c r="R716" s="508">
        <v>445.59486822234282</v>
      </c>
      <c r="S716" s="508">
        <v>0</v>
      </c>
      <c r="T716" s="508">
        <v>445.59486822234282</v>
      </c>
      <c r="U716" s="508">
        <v>0</v>
      </c>
      <c r="V716" s="508">
        <f>Port[[#This Row],[EAD_Drawn (CNY)]]*Port[[#This Row],[CNY -&gt; FCY]]</f>
        <v>15056.92386812428</v>
      </c>
      <c r="W716" s="508">
        <f>Port[[#This Row],[EAD_Undrawn (CNY)]]*Port[[#This Row],[CNY -&gt; FCY]]</f>
        <v>0</v>
      </c>
      <c r="X716" s="508">
        <f>Port[[#This Row],[EAD (CNY)]]*Port[[#This Row],[CNY -&gt; FCY]]</f>
        <v>15056.92386812428</v>
      </c>
      <c r="Y716" s="508">
        <f>Port[[#This Row],[EAD_Interest (CNY)]]*Port[[#This Row],[CNY -&gt; FCY]]</f>
        <v>0</v>
      </c>
      <c r="Z716" s="508">
        <f>Port[[#This Row],[ECL_Drawn (CNY)]]*Port[[#This Row],[CNY -&gt; FCY]]</f>
        <v>69.889560083181891</v>
      </c>
      <c r="AA716" s="508">
        <f>Port[[#This Row],[ECL_Undrawn (CNY)]]*Port[[#This Row],[CNY -&gt; FCY]]</f>
        <v>0</v>
      </c>
      <c r="AB716" s="508">
        <f>Port[[#This Row],[ECL (CNY)]]*Port[[#This Row],[CNY -&gt; FCY]]</f>
        <v>69.889560083181891</v>
      </c>
      <c r="AC716" s="508">
        <f>Port[[#This Row],[ECL_Interest (CNY)]]*Port[[#This Row],[CNY -&gt; FCY]]</f>
        <v>0</v>
      </c>
      <c r="AD716" s="507">
        <f>Port[[#This Row],[EAD_Drawn (CNY)]]*Port[[#This Row],[CNY -&gt; THB]]</f>
        <v>503876.55679109273</v>
      </c>
      <c r="AE716" s="507">
        <f>Port[[#This Row],[EAD_Undrawn (CNY)]]*Port[[#This Row],[CNY -&gt; THB]]</f>
        <v>0</v>
      </c>
      <c r="AF716" s="507">
        <f>Port[[#This Row],[EAD (CNY)]]*Port[[#This Row],[CNY -&gt; THB]]</f>
        <v>503876.55679109273</v>
      </c>
      <c r="AG716" s="507">
        <f>Port[[#This Row],[EAD_Interest (CNY)]]*Port[[#This Row],[CNY -&gt; THB]]</f>
        <v>0</v>
      </c>
      <c r="AH716" s="507">
        <f>Port[[#This Row],[ECL_Drawn (CNY)]]*Port[[#This Row],[CNY -&gt; THB]]</f>
        <v>2338.8383443254329</v>
      </c>
      <c r="AI716" s="507">
        <f>Port[[#This Row],[ECL_Undrawn (CNY)]]*Port[[#This Row],[CNY -&gt; THB]]</f>
        <v>0</v>
      </c>
      <c r="AJ716" s="507">
        <f>Port[[#This Row],[ECL (CNY)]]*Port[[#This Row],[CNY -&gt; THB]]</f>
        <v>2338.8383443254329</v>
      </c>
      <c r="AK716" s="507">
        <f>Port[[#This Row],[ECL_Interest (CNY)]]*Port[[#This Row],[CNY -&gt; THB]]</f>
        <v>0</v>
      </c>
      <c r="AL716" s="508">
        <f>Port[[#This Row],[EAD (THB)]]*Port[[#This Row],[PD_avg]]</f>
        <v>6572.5150893440923</v>
      </c>
      <c r="AM716" s="508">
        <f>Port[[#This Row],[EAD_Interest (THB)]]*Port[[#This Row],[PD_avg]]</f>
        <v>0</v>
      </c>
      <c r="AN716" s="508">
        <f>Port[[#This Row],[EAD (THB)]]*Port[[#This Row],[LGD_avg]]</f>
        <v>179305.15119552001</v>
      </c>
      <c r="AO716" s="508">
        <f>Port[[#This Row],[EAD_Interest (THB)]]*Port[[#This Row],[LGD_avg]]</f>
        <v>0</v>
      </c>
      <c r="AP716" s="508">
        <f>Port[[#This Row],[EAD_Drawn (THB)]]+Port[[#This Row],[EAD_Interest (THB)]]</f>
        <v>503876.55679109273</v>
      </c>
      <c r="AQ71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2338.8383443254329</v>
      </c>
      <c r="AR716" s="522">
        <f>MAX(Port[[#This Row],[ECL (THB)]]+Port[[#This Row],[ECL_Interest (THB)]], Port[[#This Row],[ECL CBIRC (THB)]])</f>
        <v>2338.8383443254329</v>
      </c>
    </row>
    <row r="717" spans="1:44">
      <c r="A717" s="2" t="s">
        <v>1310</v>
      </c>
      <c r="B717" s="2" t="s">
        <v>382</v>
      </c>
      <c r="C717" s="2" t="s">
        <v>379</v>
      </c>
      <c r="D717" s="2" t="s">
        <v>30</v>
      </c>
      <c r="E717" s="2" t="s">
        <v>19</v>
      </c>
      <c r="F717" s="2" t="s">
        <v>380</v>
      </c>
      <c r="G717" s="2" t="s">
        <v>57</v>
      </c>
      <c r="H717">
        <v>1</v>
      </c>
      <c r="I717" s="2" t="s">
        <v>526</v>
      </c>
      <c r="J717" s="506">
        <v>1.3043899345507868E-2</v>
      </c>
      <c r="K717" s="506">
        <v>0.60996194011421678</v>
      </c>
      <c r="L717" s="3">
        <v>0.15684552284455039</v>
      </c>
      <c r="M717" s="3">
        <v>5.2488000000000001</v>
      </c>
      <c r="N717" s="508">
        <v>189033.86786199998</v>
      </c>
      <c r="O717" s="508">
        <v>0</v>
      </c>
      <c r="P717" s="508">
        <v>189033.86786199998</v>
      </c>
      <c r="Q717" s="508">
        <v>0</v>
      </c>
      <c r="R717" s="508">
        <v>1504.0067888882004</v>
      </c>
      <c r="S717" s="508">
        <v>0</v>
      </c>
      <c r="T717" s="508">
        <v>1504.0067888882004</v>
      </c>
      <c r="U717" s="508">
        <v>0</v>
      </c>
      <c r="V717" s="508">
        <f>Port[[#This Row],[EAD_Drawn (CNY)]]*Port[[#This Row],[CNY -&gt; FCY]]</f>
        <v>29649.115840143037</v>
      </c>
      <c r="W717" s="508">
        <f>Port[[#This Row],[EAD_Undrawn (CNY)]]*Port[[#This Row],[CNY -&gt; FCY]]</f>
        <v>0</v>
      </c>
      <c r="X717" s="508">
        <f>Port[[#This Row],[EAD (CNY)]]*Port[[#This Row],[CNY -&gt; FCY]]</f>
        <v>29649.115840143037</v>
      </c>
      <c r="Y717" s="508">
        <f>Port[[#This Row],[EAD_Interest (CNY)]]*Port[[#This Row],[CNY -&gt; FCY]]</f>
        <v>0</v>
      </c>
      <c r="Z717" s="508">
        <f>Port[[#This Row],[ECL_Drawn (CNY)]]*Port[[#This Row],[CNY -&gt; FCY]]</f>
        <v>235.8967311649231</v>
      </c>
      <c r="AA717" s="508">
        <f>Port[[#This Row],[ECL_Undrawn (CNY)]]*Port[[#This Row],[CNY -&gt; FCY]]</f>
        <v>0</v>
      </c>
      <c r="AB717" s="508">
        <f>Port[[#This Row],[ECL (CNY)]]*Port[[#This Row],[CNY -&gt; FCY]]</f>
        <v>235.8967311649231</v>
      </c>
      <c r="AC717" s="508">
        <f>Port[[#This Row],[ECL_Interest (CNY)]]*Port[[#This Row],[CNY -&gt; FCY]]</f>
        <v>0</v>
      </c>
      <c r="AD717" s="507">
        <f>Port[[#This Row],[EAD_Drawn (CNY)]]*Port[[#This Row],[CNY -&gt; THB]]</f>
        <v>992200.96563406556</v>
      </c>
      <c r="AE717" s="507">
        <f>Port[[#This Row],[EAD_Undrawn (CNY)]]*Port[[#This Row],[CNY -&gt; THB]]</f>
        <v>0</v>
      </c>
      <c r="AF717" s="507">
        <f>Port[[#This Row],[EAD (CNY)]]*Port[[#This Row],[CNY -&gt; THB]]</f>
        <v>992200.96563406556</v>
      </c>
      <c r="AG717" s="507">
        <f>Port[[#This Row],[EAD_Interest (CNY)]]*Port[[#This Row],[CNY -&gt; THB]]</f>
        <v>0</v>
      </c>
      <c r="AH717" s="507">
        <f>Port[[#This Row],[ECL_Drawn (CNY)]]*Port[[#This Row],[CNY -&gt; THB]]</f>
        <v>7894.2308335163862</v>
      </c>
      <c r="AI717" s="507">
        <f>Port[[#This Row],[ECL_Undrawn (CNY)]]*Port[[#This Row],[CNY -&gt; THB]]</f>
        <v>0</v>
      </c>
      <c r="AJ717" s="507">
        <f>Port[[#This Row],[ECL (CNY)]]*Port[[#This Row],[CNY -&gt; THB]]</f>
        <v>7894.2308335163862</v>
      </c>
      <c r="AK717" s="507">
        <f>Port[[#This Row],[ECL_Interest (CNY)]]*Port[[#This Row],[CNY -&gt; THB]]</f>
        <v>0</v>
      </c>
      <c r="AL717" s="508">
        <f>Port[[#This Row],[EAD (THB)]]*Port[[#This Row],[PD_avg]]</f>
        <v>12942.169526246462</v>
      </c>
      <c r="AM717" s="508">
        <f>Port[[#This Row],[EAD_Interest (THB)]]*Port[[#This Row],[PD_avg]]</f>
        <v>0</v>
      </c>
      <c r="AN717" s="508">
        <f>Port[[#This Row],[EAD (THB)]]*Port[[#This Row],[LGD_avg]]</f>
        <v>605204.82598135399</v>
      </c>
      <c r="AO717" s="508">
        <f>Port[[#This Row],[EAD_Interest (THB)]]*Port[[#This Row],[LGD_avg]]</f>
        <v>0</v>
      </c>
      <c r="AP717" s="508">
        <f>Port[[#This Row],[EAD_Drawn (THB)]]+Port[[#This Row],[EAD_Interest (THB)]]</f>
        <v>992200.96563406556</v>
      </c>
      <c r="AQ71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7894.2308335163862</v>
      </c>
      <c r="AR717" s="522">
        <f>MAX(Port[[#This Row],[ECL (THB)]]+Port[[#This Row],[ECL_Interest (THB)]], Port[[#This Row],[ECL CBIRC (THB)]])</f>
        <v>7894.2308335163862</v>
      </c>
    </row>
    <row r="718" spans="1:44">
      <c r="A718" s="2" t="s">
        <v>1311</v>
      </c>
      <c r="B718" s="2" t="s">
        <v>382</v>
      </c>
      <c r="C718" s="2" t="s">
        <v>379</v>
      </c>
      <c r="D718" s="2" t="s">
        <v>30</v>
      </c>
      <c r="E718" s="2" t="s">
        <v>19</v>
      </c>
      <c r="F718" s="2" t="s">
        <v>380</v>
      </c>
      <c r="G718" s="2" t="s">
        <v>57</v>
      </c>
      <c r="H718">
        <v>1</v>
      </c>
      <c r="I718" s="2" t="s">
        <v>526</v>
      </c>
      <c r="J718" s="506">
        <v>1.3043899345507868E-2</v>
      </c>
      <c r="K718" s="506">
        <v>0.35395768831168833</v>
      </c>
      <c r="L718" s="3">
        <v>0.15684552284455039</v>
      </c>
      <c r="M718" s="3">
        <v>5.2488000000000001</v>
      </c>
      <c r="N718" s="508">
        <v>735573.29999999993</v>
      </c>
      <c r="O718" s="508">
        <v>0</v>
      </c>
      <c r="P718" s="508">
        <v>735573.29999999993</v>
      </c>
      <c r="Q718" s="508">
        <v>0</v>
      </c>
      <c r="R718" s="508">
        <v>3396.1334367796285</v>
      </c>
      <c r="S718" s="508">
        <v>0</v>
      </c>
      <c r="T718" s="508">
        <v>3396.1334367796285</v>
      </c>
      <c r="U718" s="508">
        <v>0</v>
      </c>
      <c r="V718" s="508">
        <f>Port[[#This Row],[EAD_Drawn (CNY)]]*Port[[#This Row],[CNY -&gt; FCY]]</f>
        <v>115371.37882899131</v>
      </c>
      <c r="W718" s="508">
        <f>Port[[#This Row],[EAD_Undrawn (CNY)]]*Port[[#This Row],[CNY -&gt; FCY]]</f>
        <v>0</v>
      </c>
      <c r="X718" s="508">
        <f>Port[[#This Row],[EAD (CNY)]]*Port[[#This Row],[CNY -&gt; FCY]]</f>
        <v>115371.37882899131</v>
      </c>
      <c r="Y718" s="508">
        <f>Port[[#This Row],[EAD_Interest (CNY)]]*Port[[#This Row],[CNY -&gt; FCY]]</f>
        <v>0</v>
      </c>
      <c r="Z718" s="508">
        <f>Port[[#This Row],[ECL_Drawn (CNY)]]*Port[[#This Row],[CNY -&gt; FCY]]</f>
        <v>532.66832454156065</v>
      </c>
      <c r="AA718" s="508">
        <f>Port[[#This Row],[ECL_Undrawn (CNY)]]*Port[[#This Row],[CNY -&gt; FCY]]</f>
        <v>0</v>
      </c>
      <c r="AB718" s="508">
        <f>Port[[#This Row],[ECL (CNY)]]*Port[[#This Row],[CNY -&gt; FCY]]</f>
        <v>532.66832454156065</v>
      </c>
      <c r="AC718" s="508">
        <f>Port[[#This Row],[ECL_Interest (CNY)]]*Port[[#This Row],[CNY -&gt; FCY]]</f>
        <v>0</v>
      </c>
      <c r="AD718" s="507">
        <f>Port[[#This Row],[EAD_Drawn (CNY)]]*Port[[#This Row],[CNY -&gt; THB]]</f>
        <v>3860877.1370399999</v>
      </c>
      <c r="AE718" s="507">
        <f>Port[[#This Row],[EAD_Undrawn (CNY)]]*Port[[#This Row],[CNY -&gt; THB]]</f>
        <v>0</v>
      </c>
      <c r="AF718" s="507">
        <f>Port[[#This Row],[EAD (CNY)]]*Port[[#This Row],[CNY -&gt; THB]]</f>
        <v>3860877.1370399999</v>
      </c>
      <c r="AG718" s="507">
        <f>Port[[#This Row],[EAD_Interest (CNY)]]*Port[[#This Row],[CNY -&gt; THB]]</f>
        <v>0</v>
      </c>
      <c r="AH718" s="507">
        <f>Port[[#This Row],[ECL_Drawn (CNY)]]*Port[[#This Row],[CNY -&gt; THB]]</f>
        <v>17825.625182968914</v>
      </c>
      <c r="AI718" s="507">
        <f>Port[[#This Row],[ECL_Undrawn (CNY)]]*Port[[#This Row],[CNY -&gt; THB]]</f>
        <v>0</v>
      </c>
      <c r="AJ718" s="507">
        <f>Port[[#This Row],[ECL (CNY)]]*Port[[#This Row],[CNY -&gt; THB]]</f>
        <v>17825.625182968914</v>
      </c>
      <c r="AK718" s="507">
        <f>Port[[#This Row],[ECL_Interest (CNY)]]*Port[[#This Row],[CNY -&gt; THB]]</f>
        <v>0</v>
      </c>
      <c r="AL718" s="508">
        <f>Port[[#This Row],[EAD (THB)]]*Port[[#This Row],[PD_avg]]</f>
        <v>50360.892760922346</v>
      </c>
      <c r="AM718" s="508">
        <f>Port[[#This Row],[EAD_Interest (THB)]]*Port[[#This Row],[PD_avg]]</f>
        <v>0</v>
      </c>
      <c r="AN718" s="508">
        <f>Port[[#This Row],[EAD (THB)]]*Port[[#This Row],[LGD_avg]]</f>
        <v>1366587.1462821278</v>
      </c>
      <c r="AO718" s="508">
        <f>Port[[#This Row],[EAD_Interest (THB)]]*Port[[#This Row],[LGD_avg]]</f>
        <v>0</v>
      </c>
      <c r="AP718" s="508">
        <f>Port[[#This Row],[EAD_Drawn (THB)]]+Port[[#This Row],[EAD_Interest (THB)]]</f>
        <v>3860877.1370399999</v>
      </c>
      <c r="AQ71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17825.625182968914</v>
      </c>
      <c r="AR718" s="522">
        <f>MAX(Port[[#This Row],[ECL (THB)]]+Port[[#This Row],[ECL_Interest (THB)]], Port[[#This Row],[ECL CBIRC (THB)]])</f>
        <v>17825.625182968914</v>
      </c>
    </row>
    <row r="719" spans="1:44">
      <c r="A719" s="2" t="s">
        <v>1312</v>
      </c>
      <c r="B719" s="2" t="s">
        <v>382</v>
      </c>
      <c r="C719" s="2" t="s">
        <v>379</v>
      </c>
      <c r="D719" s="2" t="s">
        <v>30</v>
      </c>
      <c r="E719" s="2" t="s">
        <v>19</v>
      </c>
      <c r="F719" s="2" t="s">
        <v>380</v>
      </c>
      <c r="G719" s="2" t="s">
        <v>57</v>
      </c>
      <c r="H719">
        <v>1</v>
      </c>
      <c r="I719" s="2" t="s">
        <v>526</v>
      </c>
      <c r="J719" s="506">
        <v>1.3043899345507868E-2</v>
      </c>
      <c r="K719" s="506">
        <v>0.58567619284820671</v>
      </c>
      <c r="L719" s="3">
        <v>0.15684552284455039</v>
      </c>
      <c r="M719" s="3">
        <v>5.2488000000000001</v>
      </c>
      <c r="N719" s="508">
        <v>198426.08808399999</v>
      </c>
      <c r="O719" s="508">
        <v>0</v>
      </c>
      <c r="P719" s="508">
        <v>198426.08808399999</v>
      </c>
      <c r="Q719" s="508">
        <v>0</v>
      </c>
      <c r="R719" s="508">
        <v>1515.8763595725929</v>
      </c>
      <c r="S719" s="508">
        <v>0</v>
      </c>
      <c r="T719" s="508">
        <v>1515.8763595725929</v>
      </c>
      <c r="U719" s="508">
        <v>0</v>
      </c>
      <c r="V719" s="508">
        <f>Port[[#This Row],[EAD_Drawn (CNY)]]*Port[[#This Row],[CNY -&gt; FCY]]</f>
        <v>31122.243531533786</v>
      </c>
      <c r="W719" s="508">
        <f>Port[[#This Row],[EAD_Undrawn (CNY)]]*Port[[#This Row],[CNY -&gt; FCY]]</f>
        <v>0</v>
      </c>
      <c r="X719" s="508">
        <f>Port[[#This Row],[EAD (CNY)]]*Port[[#This Row],[CNY -&gt; FCY]]</f>
        <v>31122.243531533786</v>
      </c>
      <c r="Y719" s="508">
        <f>Port[[#This Row],[EAD_Interest (CNY)]]*Port[[#This Row],[CNY -&gt; FCY]]</f>
        <v>0</v>
      </c>
      <c r="Z719" s="508">
        <f>Port[[#This Row],[ECL_Drawn (CNY)]]*Port[[#This Row],[CNY -&gt; FCY]]</f>
        <v>237.75842018485702</v>
      </c>
      <c r="AA719" s="508">
        <f>Port[[#This Row],[ECL_Undrawn (CNY)]]*Port[[#This Row],[CNY -&gt; FCY]]</f>
        <v>0</v>
      </c>
      <c r="AB719" s="508">
        <f>Port[[#This Row],[ECL (CNY)]]*Port[[#This Row],[CNY -&gt; FCY]]</f>
        <v>237.75842018485702</v>
      </c>
      <c r="AC719" s="508">
        <f>Port[[#This Row],[ECL_Interest (CNY)]]*Port[[#This Row],[CNY -&gt; FCY]]</f>
        <v>0</v>
      </c>
      <c r="AD719" s="507">
        <f>Port[[#This Row],[EAD_Drawn (CNY)]]*Port[[#This Row],[CNY -&gt; THB]]</f>
        <v>1041498.8511352992</v>
      </c>
      <c r="AE719" s="507">
        <f>Port[[#This Row],[EAD_Undrawn (CNY)]]*Port[[#This Row],[CNY -&gt; THB]]</f>
        <v>0</v>
      </c>
      <c r="AF719" s="507">
        <f>Port[[#This Row],[EAD (CNY)]]*Port[[#This Row],[CNY -&gt; THB]]</f>
        <v>1041498.8511352992</v>
      </c>
      <c r="AG719" s="507">
        <f>Port[[#This Row],[EAD_Interest (CNY)]]*Port[[#This Row],[CNY -&gt; THB]]</f>
        <v>0</v>
      </c>
      <c r="AH719" s="507">
        <f>Port[[#This Row],[ECL_Drawn (CNY)]]*Port[[#This Row],[CNY -&gt; THB]]</f>
        <v>7956.5318361246264</v>
      </c>
      <c r="AI719" s="507">
        <f>Port[[#This Row],[ECL_Undrawn (CNY)]]*Port[[#This Row],[CNY -&gt; THB]]</f>
        <v>0</v>
      </c>
      <c r="AJ719" s="507">
        <f>Port[[#This Row],[ECL (CNY)]]*Port[[#This Row],[CNY -&gt; THB]]</f>
        <v>7956.5318361246264</v>
      </c>
      <c r="AK719" s="507">
        <f>Port[[#This Row],[ECL_Interest (CNY)]]*Port[[#This Row],[CNY -&gt; THB]]</f>
        <v>0</v>
      </c>
      <c r="AL719" s="508">
        <f>Port[[#This Row],[EAD (THB)]]*Port[[#This Row],[PD_avg]]</f>
        <v>13585.206182670925</v>
      </c>
      <c r="AM719" s="508">
        <f>Port[[#This Row],[EAD_Interest (THB)]]*Port[[#This Row],[PD_avg]]</f>
        <v>0</v>
      </c>
      <c r="AN719" s="508">
        <f>Port[[#This Row],[EAD (THB)]]*Port[[#This Row],[LGD_avg]]</f>
        <v>609981.08198870323</v>
      </c>
      <c r="AO719" s="508">
        <f>Port[[#This Row],[EAD_Interest (THB)]]*Port[[#This Row],[LGD_avg]]</f>
        <v>0</v>
      </c>
      <c r="AP719" s="508">
        <f>Port[[#This Row],[EAD_Drawn (THB)]]+Port[[#This Row],[EAD_Interest (THB)]]</f>
        <v>1041498.8511352992</v>
      </c>
      <c r="AQ71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7956.5318361246264</v>
      </c>
      <c r="AR719" s="522">
        <f>MAX(Port[[#This Row],[ECL (THB)]]+Port[[#This Row],[ECL_Interest (THB)]], Port[[#This Row],[ECL CBIRC (THB)]])</f>
        <v>7956.5318361246264</v>
      </c>
    </row>
    <row r="720" spans="1:44">
      <c r="A720" s="2" t="s">
        <v>1313</v>
      </c>
      <c r="B720" s="2" t="s">
        <v>382</v>
      </c>
      <c r="C720" s="2" t="s">
        <v>379</v>
      </c>
      <c r="D720" s="2" t="s">
        <v>30</v>
      </c>
      <c r="E720" s="2" t="s">
        <v>19</v>
      </c>
      <c r="F720" s="2" t="s">
        <v>380</v>
      </c>
      <c r="G720" s="2" t="s">
        <v>57</v>
      </c>
      <c r="H720">
        <v>1</v>
      </c>
      <c r="I720" s="2" t="s">
        <v>526</v>
      </c>
      <c r="J720" s="506">
        <v>1.3043899345507868E-2</v>
      </c>
      <c r="K720" s="506">
        <v>3.5479456130433493</v>
      </c>
      <c r="L720" s="3">
        <v>0.15684552284455039</v>
      </c>
      <c r="M720" s="3">
        <v>5.2488000000000001</v>
      </c>
      <c r="N720" s="508">
        <v>85622.005839999998</v>
      </c>
      <c r="O720" s="508">
        <v>0</v>
      </c>
      <c r="P720" s="508">
        <v>85622.005839999998</v>
      </c>
      <c r="Q720" s="508">
        <v>0</v>
      </c>
      <c r="R720" s="508">
        <v>3962.5047006349273</v>
      </c>
      <c r="S720" s="508">
        <v>0</v>
      </c>
      <c r="T720" s="508">
        <v>3962.5047006349273</v>
      </c>
      <c r="U720" s="508">
        <v>0</v>
      </c>
      <c r="V720" s="508">
        <f>Port[[#This Row],[EAD_Drawn (CNY)]]*Port[[#This Row],[CNY -&gt; FCY]]</f>
        <v>13429.428272973946</v>
      </c>
      <c r="W720" s="508">
        <f>Port[[#This Row],[EAD_Undrawn (CNY)]]*Port[[#This Row],[CNY -&gt; FCY]]</f>
        <v>0</v>
      </c>
      <c r="X720" s="508">
        <f>Port[[#This Row],[EAD (CNY)]]*Port[[#This Row],[CNY -&gt; FCY]]</f>
        <v>13429.428272973946</v>
      </c>
      <c r="Y720" s="508">
        <f>Port[[#This Row],[EAD_Interest (CNY)]]*Port[[#This Row],[CNY -&gt; FCY]]</f>
        <v>0</v>
      </c>
      <c r="Z720" s="508">
        <f>Port[[#This Row],[ECL_Drawn (CNY)]]*Port[[#This Row],[CNY -&gt; FCY]]</f>
        <v>621.50112154507383</v>
      </c>
      <c r="AA720" s="508">
        <f>Port[[#This Row],[ECL_Undrawn (CNY)]]*Port[[#This Row],[CNY -&gt; FCY]]</f>
        <v>0</v>
      </c>
      <c r="AB720" s="508">
        <f>Port[[#This Row],[ECL (CNY)]]*Port[[#This Row],[CNY -&gt; FCY]]</f>
        <v>621.50112154507383</v>
      </c>
      <c r="AC720" s="508">
        <f>Port[[#This Row],[ECL_Interest (CNY)]]*Port[[#This Row],[CNY -&gt; FCY]]</f>
        <v>0</v>
      </c>
      <c r="AD720" s="507">
        <f>Port[[#This Row],[EAD_Drawn (CNY)]]*Port[[#This Row],[CNY -&gt; THB]]</f>
        <v>449412.78425299202</v>
      </c>
      <c r="AE720" s="507">
        <f>Port[[#This Row],[EAD_Undrawn (CNY)]]*Port[[#This Row],[CNY -&gt; THB]]</f>
        <v>0</v>
      </c>
      <c r="AF720" s="507">
        <f>Port[[#This Row],[EAD (CNY)]]*Port[[#This Row],[CNY -&gt; THB]]</f>
        <v>449412.78425299202</v>
      </c>
      <c r="AG720" s="507">
        <f>Port[[#This Row],[EAD_Interest (CNY)]]*Port[[#This Row],[CNY -&gt; THB]]</f>
        <v>0</v>
      </c>
      <c r="AH720" s="507">
        <f>Port[[#This Row],[ECL_Drawn (CNY)]]*Port[[#This Row],[CNY -&gt; THB]]</f>
        <v>20798.394672692608</v>
      </c>
      <c r="AI720" s="507">
        <f>Port[[#This Row],[ECL_Undrawn (CNY)]]*Port[[#This Row],[CNY -&gt; THB]]</f>
        <v>0</v>
      </c>
      <c r="AJ720" s="507">
        <f>Port[[#This Row],[ECL (CNY)]]*Port[[#This Row],[CNY -&gt; THB]]</f>
        <v>20798.394672692608</v>
      </c>
      <c r="AK720" s="507">
        <f>Port[[#This Row],[ECL_Interest (CNY)]]*Port[[#This Row],[CNY -&gt; THB]]</f>
        <v>0</v>
      </c>
      <c r="AL720" s="508">
        <f>Port[[#This Row],[EAD (THB)]]*Port[[#This Row],[PD_avg]]</f>
        <v>5862.0951223804714</v>
      </c>
      <c r="AM720" s="508">
        <f>Port[[#This Row],[EAD_Interest (THB)]]*Port[[#This Row],[PD_avg]]</f>
        <v>0</v>
      </c>
      <c r="AN720" s="508">
        <f>Port[[#This Row],[EAD (THB)]]*Port[[#This Row],[LGD_avg]]</f>
        <v>1594492.1163360002</v>
      </c>
      <c r="AO720" s="508">
        <f>Port[[#This Row],[EAD_Interest (THB)]]*Port[[#This Row],[LGD_avg]]</f>
        <v>0</v>
      </c>
      <c r="AP720" s="508">
        <f>Port[[#This Row],[EAD_Drawn (THB)]]+Port[[#This Row],[EAD_Interest (THB)]]</f>
        <v>449412.78425299202</v>
      </c>
      <c r="AQ72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20798.394672692608</v>
      </c>
      <c r="AR720" s="522">
        <f>MAX(Port[[#This Row],[ECL (THB)]]+Port[[#This Row],[ECL_Interest (THB)]], Port[[#This Row],[ECL CBIRC (THB)]])</f>
        <v>20798.394672692608</v>
      </c>
    </row>
    <row r="721" spans="1:44">
      <c r="A721" s="2" t="s">
        <v>1314</v>
      </c>
      <c r="B721" s="2" t="s">
        <v>382</v>
      </c>
      <c r="C721" s="2" t="s">
        <v>379</v>
      </c>
      <c r="D721" s="2" t="s">
        <v>30</v>
      </c>
      <c r="E721" s="2" t="s">
        <v>19</v>
      </c>
      <c r="F721" s="2" t="s">
        <v>380</v>
      </c>
      <c r="G721" s="2" t="s">
        <v>57</v>
      </c>
      <c r="H721">
        <v>1</v>
      </c>
      <c r="I721" s="2" t="s">
        <v>526</v>
      </c>
      <c r="J721" s="506">
        <v>1.3043899345507868E-2</v>
      </c>
      <c r="K721" s="506">
        <v>0.73294697787535701</v>
      </c>
      <c r="L721" s="3">
        <v>0.15684552284455039</v>
      </c>
      <c r="M721" s="3">
        <v>5.2488000000000001</v>
      </c>
      <c r="N721" s="508">
        <v>267416.43133799999</v>
      </c>
      <c r="O721" s="508">
        <v>0</v>
      </c>
      <c r="P721" s="508">
        <v>267416.43133799999</v>
      </c>
      <c r="Q721" s="508">
        <v>0</v>
      </c>
      <c r="R721" s="508">
        <v>2556.631209763942</v>
      </c>
      <c r="S721" s="508">
        <v>0</v>
      </c>
      <c r="T721" s="508">
        <v>2556.631209763942</v>
      </c>
      <c r="U721" s="508">
        <v>0</v>
      </c>
      <c r="V721" s="508">
        <f>Port[[#This Row],[EAD_Drawn (CNY)]]*Port[[#This Row],[CNY -&gt; FCY]]</f>
        <v>41943.069990432421</v>
      </c>
      <c r="W721" s="508">
        <f>Port[[#This Row],[EAD_Undrawn (CNY)]]*Port[[#This Row],[CNY -&gt; FCY]]</f>
        <v>0</v>
      </c>
      <c r="X721" s="508">
        <f>Port[[#This Row],[EAD (CNY)]]*Port[[#This Row],[CNY -&gt; FCY]]</f>
        <v>41943.069990432421</v>
      </c>
      <c r="Y721" s="508">
        <f>Port[[#This Row],[EAD_Interest (CNY)]]*Port[[#This Row],[CNY -&gt; FCY]]</f>
        <v>0</v>
      </c>
      <c r="Z721" s="508">
        <f>Port[[#This Row],[ECL_Drawn (CNY)]]*Port[[#This Row],[CNY -&gt; FCY]]</f>
        <v>400.99615881612084</v>
      </c>
      <c r="AA721" s="508">
        <f>Port[[#This Row],[ECL_Undrawn (CNY)]]*Port[[#This Row],[CNY -&gt; FCY]]</f>
        <v>0</v>
      </c>
      <c r="AB721" s="508">
        <f>Port[[#This Row],[ECL (CNY)]]*Port[[#This Row],[CNY -&gt; FCY]]</f>
        <v>400.99615881612084</v>
      </c>
      <c r="AC721" s="508">
        <f>Port[[#This Row],[ECL_Interest (CNY)]]*Port[[#This Row],[CNY -&gt; FCY]]</f>
        <v>0</v>
      </c>
      <c r="AD721" s="507">
        <f>Port[[#This Row],[EAD_Drawn (CNY)]]*Port[[#This Row],[CNY -&gt; THB]]</f>
        <v>1403615.3648068944</v>
      </c>
      <c r="AE721" s="507">
        <f>Port[[#This Row],[EAD_Undrawn (CNY)]]*Port[[#This Row],[CNY -&gt; THB]]</f>
        <v>0</v>
      </c>
      <c r="AF721" s="507">
        <f>Port[[#This Row],[EAD (CNY)]]*Port[[#This Row],[CNY -&gt; THB]]</f>
        <v>1403615.3648068944</v>
      </c>
      <c r="AG721" s="507">
        <f>Port[[#This Row],[EAD_Interest (CNY)]]*Port[[#This Row],[CNY -&gt; THB]]</f>
        <v>0</v>
      </c>
      <c r="AH721" s="507">
        <f>Port[[#This Row],[ECL_Drawn (CNY)]]*Port[[#This Row],[CNY -&gt; THB]]</f>
        <v>13419.245893808979</v>
      </c>
      <c r="AI721" s="507">
        <f>Port[[#This Row],[ECL_Undrawn (CNY)]]*Port[[#This Row],[CNY -&gt; THB]]</f>
        <v>0</v>
      </c>
      <c r="AJ721" s="507">
        <f>Port[[#This Row],[ECL (CNY)]]*Port[[#This Row],[CNY -&gt; THB]]</f>
        <v>13419.245893808979</v>
      </c>
      <c r="AK721" s="507">
        <f>Port[[#This Row],[ECL_Interest (CNY)]]*Port[[#This Row],[CNY -&gt; THB]]</f>
        <v>0</v>
      </c>
      <c r="AL721" s="508">
        <f>Port[[#This Row],[EAD (THB)]]*Port[[#This Row],[PD_avg]]</f>
        <v>18308.617538349437</v>
      </c>
      <c r="AM721" s="508">
        <f>Port[[#This Row],[EAD_Interest (THB)]]*Port[[#This Row],[PD_avg]]</f>
        <v>0</v>
      </c>
      <c r="AN721" s="508">
        <f>Port[[#This Row],[EAD (THB)]]*Port[[#This Row],[LGD_avg]]</f>
        <v>1028775.63973463</v>
      </c>
      <c r="AO721" s="508">
        <f>Port[[#This Row],[EAD_Interest (THB)]]*Port[[#This Row],[LGD_avg]]</f>
        <v>0</v>
      </c>
      <c r="AP721" s="508">
        <f>Port[[#This Row],[EAD_Drawn (THB)]]+Port[[#This Row],[EAD_Interest (THB)]]</f>
        <v>1403615.3648068944</v>
      </c>
      <c r="AQ72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13419.245893808979</v>
      </c>
      <c r="AR721" s="522">
        <f>MAX(Port[[#This Row],[ECL (THB)]]+Port[[#This Row],[ECL_Interest (THB)]], Port[[#This Row],[ECL CBIRC (THB)]])</f>
        <v>13419.245893808979</v>
      </c>
    </row>
    <row r="722" spans="1:44">
      <c r="A722" s="2" t="s">
        <v>1315</v>
      </c>
      <c r="B722" s="2" t="s">
        <v>382</v>
      </c>
      <c r="C722" s="2" t="s">
        <v>379</v>
      </c>
      <c r="D722" s="2" t="s">
        <v>30</v>
      </c>
      <c r="E722" s="2" t="s">
        <v>19</v>
      </c>
      <c r="F722" s="2" t="s">
        <v>380</v>
      </c>
      <c r="G722" s="2" t="s">
        <v>57</v>
      </c>
      <c r="H722">
        <v>1</v>
      </c>
      <c r="I722" s="2" t="s">
        <v>526</v>
      </c>
      <c r="J722" s="506">
        <v>1.3043899345507868E-2</v>
      </c>
      <c r="K722" s="506">
        <v>12.163272078649355</v>
      </c>
      <c r="L722" s="3">
        <v>0.15684552284455039</v>
      </c>
      <c r="M722" s="3">
        <v>5.2488000000000001</v>
      </c>
      <c r="N722" s="508">
        <v>76763.920100000003</v>
      </c>
      <c r="O722" s="508">
        <v>0</v>
      </c>
      <c r="P722" s="508">
        <v>76763.920100000003</v>
      </c>
      <c r="Q722" s="508">
        <v>0</v>
      </c>
      <c r="R722" s="508">
        <v>12179.094636479806</v>
      </c>
      <c r="S722" s="508">
        <v>0</v>
      </c>
      <c r="T722" s="508">
        <v>12179.094636479806</v>
      </c>
      <c r="U722" s="508">
        <v>0</v>
      </c>
      <c r="V722" s="508">
        <f>Port[[#This Row],[EAD_Drawn (CNY)]]*Port[[#This Row],[CNY -&gt; FCY]]</f>
        <v>12040.077183681791</v>
      </c>
      <c r="W722" s="508">
        <f>Port[[#This Row],[EAD_Undrawn (CNY)]]*Port[[#This Row],[CNY -&gt; FCY]]</f>
        <v>0</v>
      </c>
      <c r="X722" s="508">
        <f>Port[[#This Row],[EAD (CNY)]]*Port[[#This Row],[CNY -&gt; FCY]]</f>
        <v>12040.077183681791</v>
      </c>
      <c r="Y722" s="508">
        <f>Port[[#This Row],[EAD_Interest (CNY)]]*Port[[#This Row],[CNY -&gt; FCY]]</f>
        <v>0</v>
      </c>
      <c r="Z722" s="508">
        <f>Port[[#This Row],[ECL_Drawn (CNY)]]*Port[[#This Row],[CNY -&gt; FCY]]</f>
        <v>1910.2364660319345</v>
      </c>
      <c r="AA722" s="508">
        <f>Port[[#This Row],[ECL_Undrawn (CNY)]]*Port[[#This Row],[CNY -&gt; FCY]]</f>
        <v>0</v>
      </c>
      <c r="AB722" s="508">
        <f>Port[[#This Row],[ECL (CNY)]]*Port[[#This Row],[CNY -&gt; FCY]]</f>
        <v>1910.2364660319345</v>
      </c>
      <c r="AC722" s="508">
        <f>Port[[#This Row],[ECL_Interest (CNY)]]*Port[[#This Row],[CNY -&gt; FCY]]</f>
        <v>0</v>
      </c>
      <c r="AD722" s="507">
        <f>Port[[#This Row],[EAD_Drawn (CNY)]]*Port[[#This Row],[CNY -&gt; THB]]</f>
        <v>402918.46382088005</v>
      </c>
      <c r="AE722" s="507">
        <f>Port[[#This Row],[EAD_Undrawn (CNY)]]*Port[[#This Row],[CNY -&gt; THB]]</f>
        <v>0</v>
      </c>
      <c r="AF722" s="507">
        <f>Port[[#This Row],[EAD (CNY)]]*Port[[#This Row],[CNY -&gt; THB]]</f>
        <v>402918.46382088005</v>
      </c>
      <c r="AG722" s="507">
        <f>Port[[#This Row],[EAD_Interest (CNY)]]*Port[[#This Row],[CNY -&gt; THB]]</f>
        <v>0</v>
      </c>
      <c r="AH722" s="507">
        <f>Port[[#This Row],[ECL_Drawn (CNY)]]*Port[[#This Row],[CNY -&gt; THB]]</f>
        <v>63925.631927955204</v>
      </c>
      <c r="AI722" s="507">
        <f>Port[[#This Row],[ECL_Undrawn (CNY)]]*Port[[#This Row],[CNY -&gt; THB]]</f>
        <v>0</v>
      </c>
      <c r="AJ722" s="507">
        <f>Port[[#This Row],[ECL (CNY)]]*Port[[#This Row],[CNY -&gt; THB]]</f>
        <v>63925.631927955204</v>
      </c>
      <c r="AK722" s="507">
        <f>Port[[#This Row],[ECL_Interest (CNY)]]*Port[[#This Row],[CNY -&gt; THB]]</f>
        <v>0</v>
      </c>
      <c r="AL722" s="508">
        <f>Port[[#This Row],[EAD (THB)]]*Port[[#This Row],[PD_avg]]</f>
        <v>5255.6278865262129</v>
      </c>
      <c r="AM722" s="508">
        <f>Port[[#This Row],[EAD_Interest (THB)]]*Port[[#This Row],[PD_avg]]</f>
        <v>0</v>
      </c>
      <c r="AN722" s="508">
        <f>Port[[#This Row],[EAD (THB)]]*Port[[#This Row],[LGD_avg]]</f>
        <v>4900806.9009648003</v>
      </c>
      <c r="AO722" s="508">
        <f>Port[[#This Row],[EAD_Interest (THB)]]*Port[[#This Row],[LGD_avg]]</f>
        <v>0</v>
      </c>
      <c r="AP722" s="508">
        <f>Port[[#This Row],[EAD_Drawn (THB)]]+Port[[#This Row],[EAD_Interest (THB)]]</f>
        <v>402918.46382088005</v>
      </c>
      <c r="AQ72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63925.631927955204</v>
      </c>
      <c r="AR722" s="522">
        <f>MAX(Port[[#This Row],[ECL (THB)]]+Port[[#This Row],[ECL_Interest (THB)]], Port[[#This Row],[ECL CBIRC (THB)]])</f>
        <v>63925.631927955204</v>
      </c>
    </row>
    <row r="723" spans="1:44">
      <c r="A723" s="2" t="s">
        <v>1316</v>
      </c>
      <c r="B723" s="2" t="s">
        <v>382</v>
      </c>
      <c r="C723" s="2" t="s">
        <v>379</v>
      </c>
      <c r="D723" s="2" t="s">
        <v>30</v>
      </c>
      <c r="E723" s="2" t="s">
        <v>19</v>
      </c>
      <c r="F723" s="2" t="s">
        <v>380</v>
      </c>
      <c r="G723" s="2" t="s">
        <v>57</v>
      </c>
      <c r="H723">
        <v>1</v>
      </c>
      <c r="I723" s="2" t="s">
        <v>526</v>
      </c>
      <c r="J723" s="506">
        <v>1.3043899345507868E-2</v>
      </c>
      <c r="K723" s="506">
        <v>6.0086369147793803</v>
      </c>
      <c r="L723" s="3">
        <v>0.15684552284455039</v>
      </c>
      <c r="M723" s="3">
        <v>5.2488000000000001</v>
      </c>
      <c r="N723" s="508">
        <v>356322.15102399996</v>
      </c>
      <c r="O723" s="508">
        <v>0</v>
      </c>
      <c r="P723" s="508">
        <v>356322.15102399996</v>
      </c>
      <c r="Q723" s="508">
        <v>0</v>
      </c>
      <c r="R723" s="508">
        <v>27927.124549164335</v>
      </c>
      <c r="S723" s="508">
        <v>0</v>
      </c>
      <c r="T723" s="508">
        <v>27927.124549164335</v>
      </c>
      <c r="U723" s="508">
        <v>0</v>
      </c>
      <c r="V723" s="508">
        <f>Port[[#This Row],[EAD_Drawn (CNY)]]*Port[[#This Row],[CNY -&gt; FCY]]</f>
        <v>55887.534078454119</v>
      </c>
      <c r="W723" s="508">
        <f>Port[[#This Row],[EAD_Undrawn (CNY)]]*Port[[#This Row],[CNY -&gt; FCY]]</f>
        <v>0</v>
      </c>
      <c r="X723" s="508">
        <f>Port[[#This Row],[EAD (CNY)]]*Port[[#This Row],[CNY -&gt; FCY]]</f>
        <v>55887.534078454119</v>
      </c>
      <c r="Y723" s="508">
        <f>Port[[#This Row],[EAD_Interest (CNY)]]*Port[[#This Row],[CNY -&gt; FCY]]</f>
        <v>0</v>
      </c>
      <c r="Z723" s="508">
        <f>Port[[#This Row],[ECL_Drawn (CNY)]]*Port[[#This Row],[CNY -&gt; FCY]]</f>
        <v>4380.2444514585586</v>
      </c>
      <c r="AA723" s="508">
        <f>Port[[#This Row],[ECL_Undrawn (CNY)]]*Port[[#This Row],[CNY -&gt; FCY]]</f>
        <v>0</v>
      </c>
      <c r="AB723" s="508">
        <f>Port[[#This Row],[ECL (CNY)]]*Port[[#This Row],[CNY -&gt; FCY]]</f>
        <v>4380.2444514585586</v>
      </c>
      <c r="AC723" s="508">
        <f>Port[[#This Row],[ECL_Interest (CNY)]]*Port[[#This Row],[CNY -&gt; FCY]]</f>
        <v>0</v>
      </c>
      <c r="AD723" s="507">
        <f>Port[[#This Row],[EAD_Drawn (CNY)]]*Port[[#This Row],[CNY -&gt; THB]]</f>
        <v>1870263.7062947711</v>
      </c>
      <c r="AE723" s="507">
        <f>Port[[#This Row],[EAD_Undrawn (CNY)]]*Port[[#This Row],[CNY -&gt; THB]]</f>
        <v>0</v>
      </c>
      <c r="AF723" s="507">
        <f>Port[[#This Row],[EAD (CNY)]]*Port[[#This Row],[CNY -&gt; THB]]</f>
        <v>1870263.7062947711</v>
      </c>
      <c r="AG723" s="507">
        <f>Port[[#This Row],[EAD_Interest (CNY)]]*Port[[#This Row],[CNY -&gt; THB]]</f>
        <v>0</v>
      </c>
      <c r="AH723" s="507">
        <f>Port[[#This Row],[ECL_Drawn (CNY)]]*Port[[#This Row],[CNY -&gt; THB]]</f>
        <v>146583.89133365377</v>
      </c>
      <c r="AI723" s="507">
        <f>Port[[#This Row],[ECL_Undrawn (CNY)]]*Port[[#This Row],[CNY -&gt; THB]]</f>
        <v>0</v>
      </c>
      <c r="AJ723" s="507">
        <f>Port[[#This Row],[ECL (CNY)]]*Port[[#This Row],[CNY -&gt; THB]]</f>
        <v>146583.89133365377</v>
      </c>
      <c r="AK723" s="507">
        <f>Port[[#This Row],[ECL_Interest (CNY)]]*Port[[#This Row],[CNY -&gt; THB]]</f>
        <v>0</v>
      </c>
      <c r="AL723" s="508">
        <f>Port[[#This Row],[EAD (THB)]]*Port[[#This Row],[PD_avg]]</f>
        <v>24395.531534465485</v>
      </c>
      <c r="AM723" s="508">
        <f>Port[[#This Row],[EAD_Interest (THB)]]*Port[[#This Row],[PD_avg]]</f>
        <v>0</v>
      </c>
      <c r="AN723" s="508">
        <f>Port[[#This Row],[EAD (THB)]]*Port[[#This Row],[LGD_avg]]</f>
        <v>11237735.546014862</v>
      </c>
      <c r="AO723" s="508">
        <f>Port[[#This Row],[EAD_Interest (THB)]]*Port[[#This Row],[LGD_avg]]</f>
        <v>0</v>
      </c>
      <c r="AP723" s="508">
        <f>Port[[#This Row],[EAD_Drawn (THB)]]+Port[[#This Row],[EAD_Interest (THB)]]</f>
        <v>1870263.7062947711</v>
      </c>
      <c r="AQ72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146583.89133365377</v>
      </c>
      <c r="AR723" s="522">
        <f>MAX(Port[[#This Row],[ECL (THB)]]+Port[[#This Row],[ECL_Interest (THB)]], Port[[#This Row],[ECL CBIRC (THB)]])</f>
        <v>146583.89133365377</v>
      </c>
    </row>
    <row r="724" spans="1:44">
      <c r="A724" s="2" t="s">
        <v>1317</v>
      </c>
      <c r="B724" s="2" t="s">
        <v>382</v>
      </c>
      <c r="C724" s="2" t="s">
        <v>379</v>
      </c>
      <c r="D724" s="2" t="s">
        <v>30</v>
      </c>
      <c r="E724" s="2" t="s">
        <v>19</v>
      </c>
      <c r="F724" s="2" t="s">
        <v>380</v>
      </c>
      <c r="G724" s="2" t="s">
        <v>57</v>
      </c>
      <c r="H724">
        <v>1</v>
      </c>
      <c r="I724" s="2" t="s">
        <v>526</v>
      </c>
      <c r="J724" s="506">
        <v>1.3043899345507868E-2</v>
      </c>
      <c r="K724" s="506">
        <v>1.2598453815353494</v>
      </c>
      <c r="L724" s="3">
        <v>0.15684552284455039</v>
      </c>
      <c r="M724" s="3">
        <v>5.2488000000000001</v>
      </c>
      <c r="N724" s="508">
        <v>91944.433489999996</v>
      </c>
      <c r="O724" s="508">
        <v>0</v>
      </c>
      <c r="P724" s="508">
        <v>91944.433489999996</v>
      </c>
      <c r="Q724" s="508">
        <v>0</v>
      </c>
      <c r="R724" s="508">
        <v>1510.9501230579704</v>
      </c>
      <c r="S724" s="508">
        <v>0</v>
      </c>
      <c r="T724" s="508">
        <v>1510.9501230579704</v>
      </c>
      <c r="U724" s="508">
        <v>0</v>
      </c>
      <c r="V724" s="508">
        <f>Port[[#This Row],[EAD_Drawn (CNY)]]*Port[[#This Row],[CNY -&gt; FCY]]</f>
        <v>14421.072743385039</v>
      </c>
      <c r="W724" s="508">
        <f>Port[[#This Row],[EAD_Undrawn (CNY)]]*Port[[#This Row],[CNY -&gt; FCY]]</f>
        <v>0</v>
      </c>
      <c r="X724" s="508">
        <f>Port[[#This Row],[EAD (CNY)]]*Port[[#This Row],[CNY -&gt; FCY]]</f>
        <v>14421.072743385039</v>
      </c>
      <c r="Y724" s="508">
        <f>Port[[#This Row],[EAD_Interest (CNY)]]*Port[[#This Row],[CNY -&gt; FCY]]</f>
        <v>0</v>
      </c>
      <c r="Z724" s="508">
        <f>Port[[#This Row],[ECL_Drawn (CNY)]]*Port[[#This Row],[CNY -&gt; FCY]]</f>
        <v>236.98576204306511</v>
      </c>
      <c r="AA724" s="508">
        <f>Port[[#This Row],[ECL_Undrawn (CNY)]]*Port[[#This Row],[CNY -&gt; FCY]]</f>
        <v>0</v>
      </c>
      <c r="AB724" s="508">
        <f>Port[[#This Row],[ECL (CNY)]]*Port[[#This Row],[CNY -&gt; FCY]]</f>
        <v>236.98576204306511</v>
      </c>
      <c r="AC724" s="508">
        <f>Port[[#This Row],[ECL_Interest (CNY)]]*Port[[#This Row],[CNY -&gt; FCY]]</f>
        <v>0</v>
      </c>
      <c r="AD724" s="507">
        <f>Port[[#This Row],[EAD_Drawn (CNY)]]*Port[[#This Row],[CNY -&gt; THB]]</f>
        <v>482597.94250231201</v>
      </c>
      <c r="AE724" s="507">
        <f>Port[[#This Row],[EAD_Undrawn (CNY)]]*Port[[#This Row],[CNY -&gt; THB]]</f>
        <v>0</v>
      </c>
      <c r="AF724" s="507">
        <f>Port[[#This Row],[EAD (CNY)]]*Port[[#This Row],[CNY -&gt; THB]]</f>
        <v>482597.94250231201</v>
      </c>
      <c r="AG724" s="507">
        <f>Port[[#This Row],[EAD_Interest (CNY)]]*Port[[#This Row],[CNY -&gt; THB]]</f>
        <v>0</v>
      </c>
      <c r="AH724" s="507">
        <f>Port[[#This Row],[ECL_Drawn (CNY)]]*Port[[#This Row],[CNY -&gt; THB]]</f>
        <v>7930.6750059066753</v>
      </c>
      <c r="AI724" s="507">
        <f>Port[[#This Row],[ECL_Undrawn (CNY)]]*Port[[#This Row],[CNY -&gt; THB]]</f>
        <v>0</v>
      </c>
      <c r="AJ724" s="507">
        <f>Port[[#This Row],[ECL (CNY)]]*Port[[#This Row],[CNY -&gt; THB]]</f>
        <v>7930.6750059066753</v>
      </c>
      <c r="AK724" s="507">
        <f>Port[[#This Row],[ECL_Interest (CNY)]]*Port[[#This Row],[CNY -&gt; THB]]</f>
        <v>0</v>
      </c>
      <c r="AL724" s="508">
        <f>Port[[#This Row],[EAD (THB)]]*Port[[#This Row],[PD_avg]]</f>
        <v>6294.9589863493511</v>
      </c>
      <c r="AM724" s="508">
        <f>Port[[#This Row],[EAD_Interest (THB)]]*Port[[#This Row],[PD_avg]]</f>
        <v>0</v>
      </c>
      <c r="AN724" s="508">
        <f>Port[[#This Row],[EAD (THB)]]*Port[[#This Row],[LGD_avg]]</f>
        <v>607998.78899999987</v>
      </c>
      <c r="AO724" s="508">
        <f>Port[[#This Row],[EAD_Interest (THB)]]*Port[[#This Row],[LGD_avg]]</f>
        <v>0</v>
      </c>
      <c r="AP724" s="508">
        <f>Port[[#This Row],[EAD_Drawn (THB)]]+Port[[#This Row],[EAD_Interest (THB)]]</f>
        <v>482597.94250231201</v>
      </c>
      <c r="AQ72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7930.6750059066753</v>
      </c>
      <c r="AR724" s="522">
        <f>MAX(Port[[#This Row],[ECL (THB)]]+Port[[#This Row],[ECL_Interest (THB)]], Port[[#This Row],[ECL CBIRC (THB)]])</f>
        <v>7930.6750059066753</v>
      </c>
    </row>
    <row r="725" spans="1:44">
      <c r="A725" s="2" t="s">
        <v>1318</v>
      </c>
      <c r="B725" s="2" t="s">
        <v>382</v>
      </c>
      <c r="C725" s="2" t="s">
        <v>379</v>
      </c>
      <c r="D725" s="2" t="s">
        <v>30</v>
      </c>
      <c r="E725" s="2" t="s">
        <v>19</v>
      </c>
      <c r="F725" s="2" t="s">
        <v>380</v>
      </c>
      <c r="G725" s="2" t="s">
        <v>57</v>
      </c>
      <c r="H725">
        <v>1</v>
      </c>
      <c r="I725" s="2" t="s">
        <v>526</v>
      </c>
      <c r="J725" s="506">
        <v>1.3043899345507868E-2</v>
      </c>
      <c r="K725" s="506">
        <v>6.9138842962500252E-2</v>
      </c>
      <c r="L725" s="3">
        <v>0.15684552284455039</v>
      </c>
      <c r="M725" s="3">
        <v>5.2488000000000001</v>
      </c>
      <c r="N725" s="508">
        <v>1342091.8885079999</v>
      </c>
      <c r="O725" s="508">
        <v>0</v>
      </c>
      <c r="P725" s="508">
        <v>1342091.8885079999</v>
      </c>
      <c r="Q725" s="508">
        <v>0</v>
      </c>
      <c r="R725" s="508">
        <v>1210.352294305713</v>
      </c>
      <c r="S725" s="508">
        <v>0</v>
      </c>
      <c r="T725" s="508">
        <v>1210.352294305713</v>
      </c>
      <c r="U725" s="508">
        <v>0</v>
      </c>
      <c r="V725" s="508">
        <f>Port[[#This Row],[EAD_Drawn (CNY)]]*Port[[#This Row],[CNY -&gt; FCY]]</f>
        <v>210501.10395846728</v>
      </c>
      <c r="W725" s="508">
        <f>Port[[#This Row],[EAD_Undrawn (CNY)]]*Port[[#This Row],[CNY -&gt; FCY]]</f>
        <v>0</v>
      </c>
      <c r="X725" s="508">
        <f>Port[[#This Row],[EAD (CNY)]]*Port[[#This Row],[CNY -&gt; FCY]]</f>
        <v>210501.10395846728</v>
      </c>
      <c r="Y725" s="508">
        <f>Port[[#This Row],[EAD_Interest (CNY)]]*Port[[#This Row],[CNY -&gt; FCY]]</f>
        <v>0</v>
      </c>
      <c r="Z725" s="508">
        <f>Port[[#This Row],[ECL_Drawn (CNY)]]*Port[[#This Row],[CNY -&gt; FCY]]</f>
        <v>189.83833842648068</v>
      </c>
      <c r="AA725" s="508">
        <f>Port[[#This Row],[ECL_Undrawn (CNY)]]*Port[[#This Row],[CNY -&gt; FCY]]</f>
        <v>0</v>
      </c>
      <c r="AB725" s="508">
        <f>Port[[#This Row],[ECL (CNY)]]*Port[[#This Row],[CNY -&gt; FCY]]</f>
        <v>189.83833842648068</v>
      </c>
      <c r="AC725" s="508">
        <f>Port[[#This Row],[ECL_Interest (CNY)]]*Port[[#This Row],[CNY -&gt; FCY]]</f>
        <v>0</v>
      </c>
      <c r="AD725" s="507">
        <f>Port[[#This Row],[EAD_Drawn (CNY)]]*Port[[#This Row],[CNY -&gt; THB]]</f>
        <v>7044371.9044007901</v>
      </c>
      <c r="AE725" s="507">
        <f>Port[[#This Row],[EAD_Undrawn (CNY)]]*Port[[#This Row],[CNY -&gt; THB]]</f>
        <v>0</v>
      </c>
      <c r="AF725" s="507">
        <f>Port[[#This Row],[EAD (CNY)]]*Port[[#This Row],[CNY -&gt; THB]]</f>
        <v>7044371.9044007901</v>
      </c>
      <c r="AG725" s="507">
        <f>Port[[#This Row],[EAD_Interest (CNY)]]*Port[[#This Row],[CNY -&gt; THB]]</f>
        <v>0</v>
      </c>
      <c r="AH725" s="507">
        <f>Port[[#This Row],[ECL_Drawn (CNY)]]*Port[[#This Row],[CNY -&gt; THB]]</f>
        <v>6352.8971223518265</v>
      </c>
      <c r="AI725" s="507">
        <f>Port[[#This Row],[ECL_Undrawn (CNY)]]*Port[[#This Row],[CNY -&gt; THB]]</f>
        <v>0</v>
      </c>
      <c r="AJ725" s="507">
        <f>Port[[#This Row],[ECL (CNY)]]*Port[[#This Row],[CNY -&gt; THB]]</f>
        <v>6352.8971223518265</v>
      </c>
      <c r="AK725" s="507">
        <f>Port[[#This Row],[ECL_Interest (CNY)]]*Port[[#This Row],[CNY -&gt; THB]]</f>
        <v>0</v>
      </c>
      <c r="AL725" s="508">
        <f>Port[[#This Row],[EAD (THB)]]*Port[[#This Row],[PD_avg]]</f>
        <v>91886.078073327488</v>
      </c>
      <c r="AM725" s="508">
        <f>Port[[#This Row],[EAD_Interest (THB)]]*Port[[#This Row],[PD_avg]]</f>
        <v>0</v>
      </c>
      <c r="AN725" s="508">
        <f>Port[[#This Row],[EAD (THB)]]*Port[[#This Row],[LGD_avg]]</f>
        <v>487039.72286781506</v>
      </c>
      <c r="AO725" s="508">
        <f>Port[[#This Row],[EAD_Interest (THB)]]*Port[[#This Row],[LGD_avg]]</f>
        <v>0</v>
      </c>
      <c r="AP725" s="508">
        <f>Port[[#This Row],[EAD_Drawn (THB)]]+Port[[#This Row],[EAD_Interest (THB)]]</f>
        <v>7044371.9044007901</v>
      </c>
      <c r="AQ72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6352.8971223518265</v>
      </c>
      <c r="AR725" s="522">
        <f>MAX(Port[[#This Row],[ECL (THB)]]+Port[[#This Row],[ECL_Interest (THB)]], Port[[#This Row],[ECL CBIRC (THB)]])</f>
        <v>6352.8971223518265</v>
      </c>
    </row>
    <row r="726" spans="1:44">
      <c r="A726" s="2" t="s">
        <v>1319</v>
      </c>
      <c r="B726" s="2" t="s">
        <v>382</v>
      </c>
      <c r="C726" s="2" t="s">
        <v>379</v>
      </c>
      <c r="D726" s="2" t="s">
        <v>30</v>
      </c>
      <c r="E726" s="2" t="s">
        <v>19</v>
      </c>
      <c r="F726" s="2" t="s">
        <v>380</v>
      </c>
      <c r="G726" s="2" t="s">
        <v>57</v>
      </c>
      <c r="H726">
        <v>1</v>
      </c>
      <c r="I726" s="2" t="s">
        <v>526</v>
      </c>
      <c r="J726" s="506">
        <v>1.3043899345507868E-2</v>
      </c>
      <c r="K726" s="506">
        <v>3.1287118135509324</v>
      </c>
      <c r="L726" s="3">
        <v>0.15684552284455039</v>
      </c>
      <c r="M726" s="3">
        <v>5.2488000000000001</v>
      </c>
      <c r="N726" s="508">
        <v>845737.915974</v>
      </c>
      <c r="O726" s="508">
        <v>0</v>
      </c>
      <c r="P726" s="508">
        <v>845737.915974</v>
      </c>
      <c r="Q726" s="508">
        <v>0</v>
      </c>
      <c r="R726" s="508">
        <v>34515.073465722911</v>
      </c>
      <c r="S726" s="508">
        <v>0</v>
      </c>
      <c r="T726" s="508">
        <v>34515.073465722911</v>
      </c>
      <c r="U726" s="508">
        <v>0</v>
      </c>
      <c r="V726" s="508">
        <f>Port[[#This Row],[EAD_Drawn (CNY)]]*Port[[#This Row],[CNY -&gt; FCY]]</f>
        <v>132650.20562040244</v>
      </c>
      <c r="W726" s="508">
        <f>Port[[#This Row],[EAD_Undrawn (CNY)]]*Port[[#This Row],[CNY -&gt; FCY]]</f>
        <v>0</v>
      </c>
      <c r="X726" s="508">
        <f>Port[[#This Row],[EAD (CNY)]]*Port[[#This Row],[CNY -&gt; FCY]]</f>
        <v>132650.20562040244</v>
      </c>
      <c r="Y726" s="508">
        <f>Port[[#This Row],[EAD_Interest (CNY)]]*Port[[#This Row],[CNY -&gt; FCY]]</f>
        <v>0</v>
      </c>
      <c r="Z726" s="508">
        <f>Port[[#This Row],[ECL_Drawn (CNY)]]*Port[[#This Row],[CNY -&gt; FCY]]</f>
        <v>5413.5347437493774</v>
      </c>
      <c r="AA726" s="508">
        <f>Port[[#This Row],[ECL_Undrawn (CNY)]]*Port[[#This Row],[CNY -&gt; FCY]]</f>
        <v>0</v>
      </c>
      <c r="AB726" s="508">
        <f>Port[[#This Row],[ECL (CNY)]]*Port[[#This Row],[CNY -&gt; FCY]]</f>
        <v>5413.5347437493774</v>
      </c>
      <c r="AC726" s="508">
        <f>Port[[#This Row],[ECL_Interest (CNY)]]*Port[[#This Row],[CNY -&gt; FCY]]</f>
        <v>0</v>
      </c>
      <c r="AD726" s="507">
        <f>Port[[#This Row],[EAD_Drawn (CNY)]]*Port[[#This Row],[CNY -&gt; THB]]</f>
        <v>4439109.173364331</v>
      </c>
      <c r="AE726" s="507">
        <f>Port[[#This Row],[EAD_Undrawn (CNY)]]*Port[[#This Row],[CNY -&gt; THB]]</f>
        <v>0</v>
      </c>
      <c r="AF726" s="507">
        <f>Port[[#This Row],[EAD (CNY)]]*Port[[#This Row],[CNY -&gt; THB]]</f>
        <v>4439109.173364331</v>
      </c>
      <c r="AG726" s="507">
        <f>Port[[#This Row],[EAD_Interest (CNY)]]*Port[[#This Row],[CNY -&gt; THB]]</f>
        <v>0</v>
      </c>
      <c r="AH726" s="507">
        <f>Port[[#This Row],[ECL_Drawn (CNY)]]*Port[[#This Row],[CNY -&gt; THB]]</f>
        <v>181162.71760688644</v>
      </c>
      <c r="AI726" s="507">
        <f>Port[[#This Row],[ECL_Undrawn (CNY)]]*Port[[#This Row],[CNY -&gt; THB]]</f>
        <v>0</v>
      </c>
      <c r="AJ726" s="507">
        <f>Port[[#This Row],[ECL (CNY)]]*Port[[#This Row],[CNY -&gt; THB]]</f>
        <v>181162.71760688644</v>
      </c>
      <c r="AK726" s="507">
        <f>Port[[#This Row],[ECL_Interest (CNY)]]*Port[[#This Row],[CNY -&gt; THB]]</f>
        <v>0</v>
      </c>
      <c r="AL726" s="508">
        <f>Port[[#This Row],[EAD (THB)]]*Port[[#This Row],[PD_avg]]</f>
        <v>57903.293241084968</v>
      </c>
      <c r="AM726" s="508">
        <f>Port[[#This Row],[EAD_Interest (THB)]]*Port[[#This Row],[PD_avg]]</f>
        <v>0</v>
      </c>
      <c r="AN726" s="508">
        <f>Port[[#This Row],[EAD (THB)]]*Port[[#This Row],[LGD_avg]]</f>
        <v>13888693.312347297</v>
      </c>
      <c r="AO726" s="508">
        <f>Port[[#This Row],[EAD_Interest (THB)]]*Port[[#This Row],[LGD_avg]]</f>
        <v>0</v>
      </c>
      <c r="AP726" s="508">
        <f>Port[[#This Row],[EAD_Drawn (THB)]]+Port[[#This Row],[EAD_Interest (THB)]]</f>
        <v>4439109.173364331</v>
      </c>
      <c r="AQ72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181162.71760688644</v>
      </c>
      <c r="AR726" s="522">
        <f>MAX(Port[[#This Row],[ECL (THB)]]+Port[[#This Row],[ECL_Interest (THB)]], Port[[#This Row],[ECL CBIRC (THB)]])</f>
        <v>181162.71760688644</v>
      </c>
    </row>
    <row r="727" spans="1:44">
      <c r="A727" s="2" t="s">
        <v>1320</v>
      </c>
      <c r="B727" s="2" t="s">
        <v>382</v>
      </c>
      <c r="C727" s="2" t="s">
        <v>379</v>
      </c>
      <c r="D727" s="2" t="s">
        <v>30</v>
      </c>
      <c r="E727" s="2" t="s">
        <v>19</v>
      </c>
      <c r="F727" s="2" t="s">
        <v>380</v>
      </c>
      <c r="G727" s="2" t="s">
        <v>57</v>
      </c>
      <c r="H727">
        <v>1</v>
      </c>
      <c r="I727" s="2" t="s">
        <v>526</v>
      </c>
      <c r="J727" s="506">
        <v>1.3043899345507868E-2</v>
      </c>
      <c r="K727" s="506">
        <v>0.35564325982661416</v>
      </c>
      <c r="L727" s="3">
        <v>0.15684552284455039</v>
      </c>
      <c r="M727" s="3">
        <v>5.2488000000000001</v>
      </c>
      <c r="N727" s="508">
        <v>260355.18240199998</v>
      </c>
      <c r="O727" s="508">
        <v>0</v>
      </c>
      <c r="P727" s="508">
        <v>260355.18240199998</v>
      </c>
      <c r="Q727" s="508">
        <v>0</v>
      </c>
      <c r="R727" s="508">
        <v>1207.7811521046783</v>
      </c>
      <c r="S727" s="508">
        <v>0</v>
      </c>
      <c r="T727" s="508">
        <v>1207.7811521046783</v>
      </c>
      <c r="U727" s="508">
        <v>0</v>
      </c>
      <c r="V727" s="508">
        <f>Port[[#This Row],[EAD_Drawn (CNY)]]*Port[[#This Row],[CNY -&gt; FCY]]</f>
        <v>40835.544709129972</v>
      </c>
      <c r="W727" s="508">
        <f>Port[[#This Row],[EAD_Undrawn (CNY)]]*Port[[#This Row],[CNY -&gt; FCY]]</f>
        <v>0</v>
      </c>
      <c r="X727" s="508">
        <f>Port[[#This Row],[EAD (CNY)]]*Port[[#This Row],[CNY -&gt; FCY]]</f>
        <v>40835.544709129972</v>
      </c>
      <c r="Y727" s="508">
        <f>Port[[#This Row],[EAD_Interest (CNY)]]*Port[[#This Row],[CNY -&gt; FCY]]</f>
        <v>0</v>
      </c>
      <c r="Z727" s="508">
        <f>Port[[#This Row],[ECL_Drawn (CNY)]]*Port[[#This Row],[CNY -&gt; FCY]]</f>
        <v>189.43506628365171</v>
      </c>
      <c r="AA727" s="508">
        <f>Port[[#This Row],[ECL_Undrawn (CNY)]]*Port[[#This Row],[CNY -&gt; FCY]]</f>
        <v>0</v>
      </c>
      <c r="AB727" s="508">
        <f>Port[[#This Row],[ECL (CNY)]]*Port[[#This Row],[CNY -&gt; FCY]]</f>
        <v>189.43506628365171</v>
      </c>
      <c r="AC727" s="508">
        <f>Port[[#This Row],[ECL_Interest (CNY)]]*Port[[#This Row],[CNY -&gt; FCY]]</f>
        <v>0</v>
      </c>
      <c r="AD727" s="507">
        <f>Port[[#This Row],[EAD_Drawn (CNY)]]*Port[[#This Row],[CNY -&gt; THB]]</f>
        <v>1366552.2813916176</v>
      </c>
      <c r="AE727" s="507">
        <f>Port[[#This Row],[EAD_Undrawn (CNY)]]*Port[[#This Row],[CNY -&gt; THB]]</f>
        <v>0</v>
      </c>
      <c r="AF727" s="507">
        <f>Port[[#This Row],[EAD (CNY)]]*Port[[#This Row],[CNY -&gt; THB]]</f>
        <v>1366552.2813916176</v>
      </c>
      <c r="AG727" s="507">
        <f>Port[[#This Row],[EAD_Interest (CNY)]]*Port[[#This Row],[CNY -&gt; THB]]</f>
        <v>0</v>
      </c>
      <c r="AH727" s="507">
        <f>Port[[#This Row],[ECL_Drawn (CNY)]]*Port[[#This Row],[CNY -&gt; THB]]</f>
        <v>6339.4017111670355</v>
      </c>
      <c r="AI727" s="507">
        <f>Port[[#This Row],[ECL_Undrawn (CNY)]]*Port[[#This Row],[CNY -&gt; THB]]</f>
        <v>0</v>
      </c>
      <c r="AJ727" s="507">
        <f>Port[[#This Row],[ECL (CNY)]]*Port[[#This Row],[CNY -&gt; THB]]</f>
        <v>6339.4017111670355</v>
      </c>
      <c r="AK727" s="507">
        <f>Port[[#This Row],[ECL_Interest (CNY)]]*Port[[#This Row],[CNY -&gt; THB]]</f>
        <v>0</v>
      </c>
      <c r="AL727" s="508">
        <f>Port[[#This Row],[EAD (THB)]]*Port[[#This Row],[PD_avg]]</f>
        <v>17825.170408846407</v>
      </c>
      <c r="AM727" s="508">
        <f>Port[[#This Row],[EAD_Interest (THB)]]*Port[[#This Row],[PD_avg]]</f>
        <v>0</v>
      </c>
      <c r="AN727" s="508">
        <f>Port[[#This Row],[EAD (THB)]]*Port[[#This Row],[LGD_avg]]</f>
        <v>486005.10807761142</v>
      </c>
      <c r="AO727" s="508">
        <f>Port[[#This Row],[EAD_Interest (THB)]]*Port[[#This Row],[LGD_avg]]</f>
        <v>0</v>
      </c>
      <c r="AP727" s="508">
        <f>Port[[#This Row],[EAD_Drawn (THB)]]+Port[[#This Row],[EAD_Interest (THB)]]</f>
        <v>1366552.2813916176</v>
      </c>
      <c r="AQ72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6339.4017111670355</v>
      </c>
      <c r="AR727" s="522">
        <f>MAX(Port[[#This Row],[ECL (THB)]]+Port[[#This Row],[ECL_Interest (THB)]], Port[[#This Row],[ECL CBIRC (THB)]])</f>
        <v>6339.4017111670355</v>
      </c>
    </row>
    <row r="728" spans="1:44">
      <c r="A728" s="2" t="s">
        <v>1321</v>
      </c>
      <c r="B728" s="2" t="s">
        <v>382</v>
      </c>
      <c r="C728" s="2" t="s">
        <v>379</v>
      </c>
      <c r="D728" s="2" t="s">
        <v>30</v>
      </c>
      <c r="E728" s="2" t="s">
        <v>19</v>
      </c>
      <c r="F728" s="2" t="s">
        <v>380</v>
      </c>
      <c r="G728" s="2" t="s">
        <v>57</v>
      </c>
      <c r="H728">
        <v>1</v>
      </c>
      <c r="I728" s="2" t="s">
        <v>526</v>
      </c>
      <c r="J728" s="506">
        <v>1.3043899345507868E-2</v>
      </c>
      <c r="K728" s="506">
        <v>0.15884561932722532</v>
      </c>
      <c r="L728" s="3">
        <v>0.15684552284455039</v>
      </c>
      <c r="M728" s="3">
        <v>5.2488000000000001</v>
      </c>
      <c r="N728" s="508">
        <v>232152.15573200001</v>
      </c>
      <c r="O728" s="508">
        <v>0</v>
      </c>
      <c r="P728" s="508">
        <v>232152.15573200001</v>
      </c>
      <c r="Q728" s="508">
        <v>0</v>
      </c>
      <c r="R728" s="508">
        <v>481.01143617965926</v>
      </c>
      <c r="S728" s="508">
        <v>0</v>
      </c>
      <c r="T728" s="508">
        <v>481.01143617965926</v>
      </c>
      <c r="U728" s="508">
        <v>0</v>
      </c>
      <c r="V728" s="508">
        <f>Port[[#This Row],[EAD_Drawn (CNY)]]*Port[[#This Row],[CNY -&gt; FCY]]</f>
        <v>36412.026245275025</v>
      </c>
      <c r="W728" s="508">
        <f>Port[[#This Row],[EAD_Undrawn (CNY)]]*Port[[#This Row],[CNY -&gt; FCY]]</f>
        <v>0</v>
      </c>
      <c r="X728" s="508">
        <f>Port[[#This Row],[EAD (CNY)]]*Port[[#This Row],[CNY -&gt; FCY]]</f>
        <v>36412.026245275025</v>
      </c>
      <c r="Y728" s="508">
        <f>Port[[#This Row],[EAD_Interest (CNY)]]*Port[[#This Row],[CNY -&gt; FCY]]</f>
        <v>0</v>
      </c>
      <c r="Z728" s="508">
        <f>Port[[#This Row],[ECL_Drawn (CNY)]]*Port[[#This Row],[CNY -&gt; FCY]]</f>
        <v>75.444490201806744</v>
      </c>
      <c r="AA728" s="508">
        <f>Port[[#This Row],[ECL_Undrawn (CNY)]]*Port[[#This Row],[CNY -&gt; FCY]]</f>
        <v>0</v>
      </c>
      <c r="AB728" s="508">
        <f>Port[[#This Row],[ECL (CNY)]]*Port[[#This Row],[CNY -&gt; FCY]]</f>
        <v>75.444490201806744</v>
      </c>
      <c r="AC728" s="508">
        <f>Port[[#This Row],[ECL_Interest (CNY)]]*Port[[#This Row],[CNY -&gt; FCY]]</f>
        <v>0</v>
      </c>
      <c r="AD728" s="507">
        <f>Port[[#This Row],[EAD_Drawn (CNY)]]*Port[[#This Row],[CNY -&gt; THB]]</f>
        <v>1218520.2350061217</v>
      </c>
      <c r="AE728" s="507">
        <f>Port[[#This Row],[EAD_Undrawn (CNY)]]*Port[[#This Row],[CNY -&gt; THB]]</f>
        <v>0</v>
      </c>
      <c r="AF728" s="507">
        <f>Port[[#This Row],[EAD (CNY)]]*Port[[#This Row],[CNY -&gt; THB]]</f>
        <v>1218520.2350061217</v>
      </c>
      <c r="AG728" s="507">
        <f>Port[[#This Row],[EAD_Interest (CNY)]]*Port[[#This Row],[CNY -&gt; THB]]</f>
        <v>0</v>
      </c>
      <c r="AH728" s="507">
        <f>Port[[#This Row],[ECL_Drawn (CNY)]]*Port[[#This Row],[CNY -&gt; THB]]</f>
        <v>2524.7328262197957</v>
      </c>
      <c r="AI728" s="507">
        <f>Port[[#This Row],[ECL_Undrawn (CNY)]]*Port[[#This Row],[CNY -&gt; THB]]</f>
        <v>0</v>
      </c>
      <c r="AJ728" s="507">
        <f>Port[[#This Row],[ECL (CNY)]]*Port[[#This Row],[CNY -&gt; THB]]</f>
        <v>2524.7328262197957</v>
      </c>
      <c r="AK728" s="507">
        <f>Port[[#This Row],[ECL_Interest (CNY)]]*Port[[#This Row],[CNY -&gt; THB]]</f>
        <v>0</v>
      </c>
      <c r="AL728" s="508">
        <f>Port[[#This Row],[EAD (THB)]]*Port[[#This Row],[PD_avg]]</f>
        <v>15894.255295884444</v>
      </c>
      <c r="AM728" s="508">
        <f>Port[[#This Row],[EAD_Interest (THB)]]*Port[[#This Row],[PD_avg]]</f>
        <v>0</v>
      </c>
      <c r="AN728" s="508">
        <f>Port[[#This Row],[EAD (THB)]]*Port[[#This Row],[LGD_avg]]</f>
        <v>193556.60139230354</v>
      </c>
      <c r="AO728" s="508">
        <f>Port[[#This Row],[EAD_Interest (THB)]]*Port[[#This Row],[LGD_avg]]</f>
        <v>0</v>
      </c>
      <c r="AP728" s="508">
        <f>Port[[#This Row],[EAD_Drawn (THB)]]+Port[[#This Row],[EAD_Interest (THB)]]</f>
        <v>1218520.2350061217</v>
      </c>
      <c r="AQ72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2524.7328262197957</v>
      </c>
      <c r="AR728" s="522">
        <f>MAX(Port[[#This Row],[ECL (THB)]]+Port[[#This Row],[ECL_Interest (THB)]], Port[[#This Row],[ECL CBIRC (THB)]])</f>
        <v>2524.7328262197957</v>
      </c>
    </row>
    <row r="729" spans="1:44">
      <c r="A729" s="2" t="s">
        <v>1322</v>
      </c>
      <c r="B729" s="2" t="s">
        <v>382</v>
      </c>
      <c r="C729" s="2" t="s">
        <v>379</v>
      </c>
      <c r="D729" s="2" t="s">
        <v>30</v>
      </c>
      <c r="E729" s="2" t="s">
        <v>19</v>
      </c>
      <c r="F729" s="2" t="s">
        <v>380</v>
      </c>
      <c r="G729" s="2" t="s">
        <v>57</v>
      </c>
      <c r="H729">
        <v>1</v>
      </c>
      <c r="I729" s="2" t="s">
        <v>526</v>
      </c>
      <c r="J729" s="506">
        <v>1.3043899345507868E-2</v>
      </c>
      <c r="K729" s="506">
        <v>3.6818999999999998E-2</v>
      </c>
      <c r="L729" s="3">
        <v>0.15684552284455039</v>
      </c>
      <c r="M729" s="3">
        <v>5.2488000000000001</v>
      </c>
      <c r="N729" s="508">
        <v>636860</v>
      </c>
      <c r="O729" s="508">
        <v>0</v>
      </c>
      <c r="P729" s="508">
        <v>636860</v>
      </c>
      <c r="Q729" s="508">
        <v>0</v>
      </c>
      <c r="R729" s="508">
        <v>305.8605043452356</v>
      </c>
      <c r="S729" s="508">
        <v>0</v>
      </c>
      <c r="T729" s="508">
        <v>305.8605043452356</v>
      </c>
      <c r="U729" s="508">
        <v>0</v>
      </c>
      <c r="V729" s="508">
        <f>Port[[#This Row],[EAD_Drawn (CNY)]]*Port[[#This Row],[CNY -&gt; FCY]]</f>
        <v>99888.639678780368</v>
      </c>
      <c r="W729" s="508">
        <f>Port[[#This Row],[EAD_Undrawn (CNY)]]*Port[[#This Row],[CNY -&gt; FCY]]</f>
        <v>0</v>
      </c>
      <c r="X729" s="508">
        <f>Port[[#This Row],[EAD (CNY)]]*Port[[#This Row],[CNY -&gt; FCY]]</f>
        <v>99888.639678780368</v>
      </c>
      <c r="Y729" s="508">
        <f>Port[[#This Row],[EAD_Interest (CNY)]]*Port[[#This Row],[CNY -&gt; FCY]]</f>
        <v>0</v>
      </c>
      <c r="Z729" s="508">
        <f>Port[[#This Row],[ECL_Drawn (CNY)]]*Port[[#This Row],[CNY -&gt; FCY]]</f>
        <v>47.972850721526356</v>
      </c>
      <c r="AA729" s="508">
        <f>Port[[#This Row],[ECL_Undrawn (CNY)]]*Port[[#This Row],[CNY -&gt; FCY]]</f>
        <v>0</v>
      </c>
      <c r="AB729" s="508">
        <f>Port[[#This Row],[ECL (CNY)]]*Port[[#This Row],[CNY -&gt; FCY]]</f>
        <v>47.972850721526356</v>
      </c>
      <c r="AC729" s="508">
        <f>Port[[#This Row],[ECL_Interest (CNY)]]*Port[[#This Row],[CNY -&gt; FCY]]</f>
        <v>0</v>
      </c>
      <c r="AD729" s="507">
        <f>Port[[#This Row],[EAD_Drawn (CNY)]]*Port[[#This Row],[CNY -&gt; THB]]</f>
        <v>3342750.7680000002</v>
      </c>
      <c r="AE729" s="507">
        <f>Port[[#This Row],[EAD_Undrawn (CNY)]]*Port[[#This Row],[CNY -&gt; THB]]</f>
        <v>0</v>
      </c>
      <c r="AF729" s="507">
        <f>Port[[#This Row],[EAD (CNY)]]*Port[[#This Row],[CNY -&gt; THB]]</f>
        <v>3342750.7680000002</v>
      </c>
      <c r="AG729" s="507">
        <f>Port[[#This Row],[EAD_Interest (CNY)]]*Port[[#This Row],[CNY -&gt; THB]]</f>
        <v>0</v>
      </c>
      <c r="AH729" s="507">
        <f>Port[[#This Row],[ECL_Drawn (CNY)]]*Port[[#This Row],[CNY -&gt; THB]]</f>
        <v>1605.4006152072727</v>
      </c>
      <c r="AI729" s="507">
        <f>Port[[#This Row],[ECL_Undrawn (CNY)]]*Port[[#This Row],[CNY -&gt; THB]]</f>
        <v>0</v>
      </c>
      <c r="AJ729" s="507">
        <f>Port[[#This Row],[ECL (CNY)]]*Port[[#This Row],[CNY -&gt; THB]]</f>
        <v>1605.4006152072727</v>
      </c>
      <c r="AK729" s="507">
        <f>Port[[#This Row],[ECL_Interest (CNY)]]*Port[[#This Row],[CNY -&gt; THB]]</f>
        <v>0</v>
      </c>
      <c r="AL729" s="508">
        <f>Port[[#This Row],[EAD (THB)]]*Port[[#This Row],[PD_avg]]</f>
        <v>43602.504554911124</v>
      </c>
      <c r="AM729" s="508">
        <f>Port[[#This Row],[EAD_Interest (THB)]]*Port[[#This Row],[PD_avg]]</f>
        <v>0</v>
      </c>
      <c r="AN729" s="508">
        <f>Port[[#This Row],[EAD (THB)]]*Port[[#This Row],[LGD_avg]]</f>
        <v>123076.740526992</v>
      </c>
      <c r="AO729" s="508">
        <f>Port[[#This Row],[EAD_Interest (THB)]]*Port[[#This Row],[LGD_avg]]</f>
        <v>0</v>
      </c>
      <c r="AP729" s="508">
        <f>Port[[#This Row],[EAD_Drawn (THB)]]+Port[[#This Row],[EAD_Interest (THB)]]</f>
        <v>3342750.7680000002</v>
      </c>
      <c r="AQ72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1605.4006152072727</v>
      </c>
      <c r="AR729" s="522">
        <f>MAX(Port[[#This Row],[ECL (THB)]]+Port[[#This Row],[ECL_Interest (THB)]], Port[[#This Row],[ECL CBIRC (THB)]])</f>
        <v>1605.4006152072727</v>
      </c>
    </row>
    <row r="730" spans="1:44">
      <c r="A730" s="2" t="s">
        <v>1323</v>
      </c>
      <c r="B730" s="2" t="s">
        <v>382</v>
      </c>
      <c r="C730" s="2" t="s">
        <v>379</v>
      </c>
      <c r="D730" s="2" t="s">
        <v>30</v>
      </c>
      <c r="E730" s="2" t="s">
        <v>19</v>
      </c>
      <c r="F730" s="2" t="s">
        <v>380</v>
      </c>
      <c r="G730" s="2" t="s">
        <v>57</v>
      </c>
      <c r="H730">
        <v>1</v>
      </c>
      <c r="I730" s="2" t="s">
        <v>526</v>
      </c>
      <c r="J730" s="506">
        <v>1.3043899345507868E-2</v>
      </c>
      <c r="K730" s="506">
        <v>4.5816230393527564E-2</v>
      </c>
      <c r="L730" s="3">
        <v>0.15684552284455039</v>
      </c>
      <c r="M730" s="3">
        <v>5.2488000000000001</v>
      </c>
      <c r="N730" s="508">
        <v>653662.27737999998</v>
      </c>
      <c r="O730" s="508">
        <v>0</v>
      </c>
      <c r="P730" s="508">
        <v>653662.27737999998</v>
      </c>
      <c r="Q730" s="508">
        <v>0</v>
      </c>
      <c r="R730" s="508">
        <v>390.64315209089614</v>
      </c>
      <c r="S730" s="508">
        <v>0</v>
      </c>
      <c r="T730" s="508">
        <v>390.64315209089614</v>
      </c>
      <c r="U730" s="508">
        <v>0</v>
      </c>
      <c r="V730" s="508">
        <f>Port[[#This Row],[EAD_Drawn (CNY)]]*Port[[#This Row],[CNY -&gt; FCY]]</f>
        <v>102524.00165942562</v>
      </c>
      <c r="W730" s="508">
        <f>Port[[#This Row],[EAD_Undrawn (CNY)]]*Port[[#This Row],[CNY -&gt; FCY]]</f>
        <v>0</v>
      </c>
      <c r="X730" s="508">
        <f>Port[[#This Row],[EAD (CNY)]]*Port[[#This Row],[CNY -&gt; FCY]]</f>
        <v>102524.00165942562</v>
      </c>
      <c r="Y730" s="508">
        <f>Port[[#This Row],[EAD_Interest (CNY)]]*Port[[#This Row],[CNY -&gt; FCY]]</f>
        <v>0</v>
      </c>
      <c r="Z730" s="508">
        <f>Port[[#This Row],[ECL_Drawn (CNY)]]*Port[[#This Row],[CNY -&gt; FCY]]</f>
        <v>61.270629435339821</v>
      </c>
      <c r="AA730" s="508">
        <f>Port[[#This Row],[ECL_Undrawn (CNY)]]*Port[[#This Row],[CNY -&gt; FCY]]</f>
        <v>0</v>
      </c>
      <c r="AB730" s="508">
        <f>Port[[#This Row],[ECL (CNY)]]*Port[[#This Row],[CNY -&gt; FCY]]</f>
        <v>61.270629435339821</v>
      </c>
      <c r="AC730" s="508">
        <f>Port[[#This Row],[ECL_Interest (CNY)]]*Port[[#This Row],[CNY -&gt; FCY]]</f>
        <v>0</v>
      </c>
      <c r="AD730" s="507">
        <f>Port[[#This Row],[EAD_Drawn (CNY)]]*Port[[#This Row],[CNY -&gt; THB]]</f>
        <v>3430942.5615121438</v>
      </c>
      <c r="AE730" s="507">
        <f>Port[[#This Row],[EAD_Undrawn (CNY)]]*Port[[#This Row],[CNY -&gt; THB]]</f>
        <v>0</v>
      </c>
      <c r="AF730" s="507">
        <f>Port[[#This Row],[EAD (CNY)]]*Port[[#This Row],[CNY -&gt; THB]]</f>
        <v>3430942.5615121438</v>
      </c>
      <c r="AG730" s="507">
        <f>Port[[#This Row],[EAD_Interest (CNY)]]*Port[[#This Row],[CNY -&gt; THB]]</f>
        <v>0</v>
      </c>
      <c r="AH730" s="507">
        <f>Port[[#This Row],[ECL_Drawn (CNY)]]*Port[[#This Row],[CNY -&gt; THB]]</f>
        <v>2050.4077766946957</v>
      </c>
      <c r="AI730" s="507">
        <f>Port[[#This Row],[ECL_Undrawn (CNY)]]*Port[[#This Row],[CNY -&gt; THB]]</f>
        <v>0</v>
      </c>
      <c r="AJ730" s="507">
        <f>Port[[#This Row],[ECL (CNY)]]*Port[[#This Row],[CNY -&gt; THB]]</f>
        <v>2050.4077766946957</v>
      </c>
      <c r="AK730" s="507">
        <f>Port[[#This Row],[ECL_Interest (CNY)]]*Port[[#This Row],[CNY -&gt; THB]]</f>
        <v>0</v>
      </c>
      <c r="AL730" s="508">
        <f>Port[[#This Row],[EAD (THB)]]*Port[[#This Row],[PD_avg]]</f>
        <v>44752.869432583342</v>
      </c>
      <c r="AM730" s="508">
        <f>Port[[#This Row],[EAD_Interest (THB)]]*Port[[#This Row],[PD_avg]]</f>
        <v>0</v>
      </c>
      <c r="AN730" s="508">
        <f>Port[[#This Row],[EAD (THB)]]*Port[[#This Row],[LGD_avg]]</f>
        <v>157192.8548652</v>
      </c>
      <c r="AO730" s="508">
        <f>Port[[#This Row],[EAD_Interest (THB)]]*Port[[#This Row],[LGD_avg]]</f>
        <v>0</v>
      </c>
      <c r="AP730" s="508">
        <f>Port[[#This Row],[EAD_Drawn (THB)]]+Port[[#This Row],[EAD_Interest (THB)]]</f>
        <v>3430942.5615121438</v>
      </c>
      <c r="AQ73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2050.4077766946957</v>
      </c>
      <c r="AR730" s="522">
        <f>MAX(Port[[#This Row],[ECL (THB)]]+Port[[#This Row],[ECL_Interest (THB)]], Port[[#This Row],[ECL CBIRC (THB)]])</f>
        <v>2050.4077766946957</v>
      </c>
    </row>
    <row r="731" spans="1:44">
      <c r="A731" s="2" t="s">
        <v>1324</v>
      </c>
      <c r="B731" s="2" t="s">
        <v>382</v>
      </c>
      <c r="C731" s="2" t="s">
        <v>379</v>
      </c>
      <c r="D731" s="2" t="s">
        <v>30</v>
      </c>
      <c r="E731" s="2" t="s">
        <v>19</v>
      </c>
      <c r="F731" s="2" t="s">
        <v>380</v>
      </c>
      <c r="G731" s="2" t="s">
        <v>57</v>
      </c>
      <c r="H731">
        <v>1</v>
      </c>
      <c r="I731" s="2" t="s">
        <v>526</v>
      </c>
      <c r="J731" s="506">
        <v>1.3043899345507868E-2</v>
      </c>
      <c r="K731" s="506">
        <v>0.27797943696754218</v>
      </c>
      <c r="L731" s="3">
        <v>0.15684552284455039</v>
      </c>
      <c r="M731" s="3">
        <v>5.2488000000000001</v>
      </c>
      <c r="N731" s="508">
        <v>923744.41362000001</v>
      </c>
      <c r="O731" s="508">
        <v>0</v>
      </c>
      <c r="P731" s="508">
        <v>923744.41362000001</v>
      </c>
      <c r="Q731" s="508">
        <v>0</v>
      </c>
      <c r="R731" s="508">
        <v>3349.4379356310328</v>
      </c>
      <c r="S731" s="508">
        <v>0</v>
      </c>
      <c r="T731" s="508">
        <v>3349.4379356310328</v>
      </c>
      <c r="U731" s="508">
        <v>0</v>
      </c>
      <c r="V731" s="508">
        <f>Port[[#This Row],[EAD_Drawn (CNY)]]*Port[[#This Row],[CNY -&gt; FCY]]</f>
        <v>144885.17552896152</v>
      </c>
      <c r="W731" s="508">
        <f>Port[[#This Row],[EAD_Undrawn (CNY)]]*Port[[#This Row],[CNY -&gt; FCY]]</f>
        <v>0</v>
      </c>
      <c r="X731" s="508">
        <f>Port[[#This Row],[EAD (CNY)]]*Port[[#This Row],[CNY -&gt; FCY]]</f>
        <v>144885.17552896152</v>
      </c>
      <c r="Y731" s="508">
        <f>Port[[#This Row],[EAD_Interest (CNY)]]*Port[[#This Row],[CNY -&gt; FCY]]</f>
        <v>0</v>
      </c>
      <c r="Z731" s="508">
        <f>Port[[#This Row],[ECL_Drawn (CNY)]]*Port[[#This Row],[CNY -&gt; FCY]]</f>
        <v>525.34434424942083</v>
      </c>
      <c r="AA731" s="508">
        <f>Port[[#This Row],[ECL_Undrawn (CNY)]]*Port[[#This Row],[CNY -&gt; FCY]]</f>
        <v>0</v>
      </c>
      <c r="AB731" s="508">
        <f>Port[[#This Row],[ECL (CNY)]]*Port[[#This Row],[CNY -&gt; FCY]]</f>
        <v>525.34434424942083</v>
      </c>
      <c r="AC731" s="508">
        <f>Port[[#This Row],[ECL_Interest (CNY)]]*Port[[#This Row],[CNY -&gt; FCY]]</f>
        <v>0</v>
      </c>
      <c r="AD731" s="507">
        <f>Port[[#This Row],[EAD_Drawn (CNY)]]*Port[[#This Row],[CNY -&gt; THB]]</f>
        <v>4848549.6782086566</v>
      </c>
      <c r="AE731" s="507">
        <f>Port[[#This Row],[EAD_Undrawn (CNY)]]*Port[[#This Row],[CNY -&gt; THB]]</f>
        <v>0</v>
      </c>
      <c r="AF731" s="507">
        <f>Port[[#This Row],[EAD (CNY)]]*Port[[#This Row],[CNY -&gt; THB]]</f>
        <v>4848549.6782086566</v>
      </c>
      <c r="AG731" s="507">
        <f>Port[[#This Row],[EAD_Interest (CNY)]]*Port[[#This Row],[CNY -&gt; THB]]</f>
        <v>0</v>
      </c>
      <c r="AH731" s="507">
        <f>Port[[#This Row],[ECL_Drawn (CNY)]]*Port[[#This Row],[CNY -&gt; THB]]</f>
        <v>17580.529836540165</v>
      </c>
      <c r="AI731" s="507">
        <f>Port[[#This Row],[ECL_Undrawn (CNY)]]*Port[[#This Row],[CNY -&gt; THB]]</f>
        <v>0</v>
      </c>
      <c r="AJ731" s="507">
        <f>Port[[#This Row],[ECL (CNY)]]*Port[[#This Row],[CNY -&gt; THB]]</f>
        <v>17580.529836540165</v>
      </c>
      <c r="AK731" s="507">
        <f>Port[[#This Row],[ECL_Interest (CNY)]]*Port[[#This Row],[CNY -&gt; THB]]</f>
        <v>0</v>
      </c>
      <c r="AL731" s="508">
        <f>Port[[#This Row],[EAD (THB)]]*Port[[#This Row],[PD_avg]]</f>
        <v>63243.993974248282</v>
      </c>
      <c r="AM731" s="508">
        <f>Port[[#This Row],[EAD_Interest (THB)]]*Port[[#This Row],[PD_avg]]</f>
        <v>0</v>
      </c>
      <c r="AN731" s="508">
        <f>Port[[#This Row],[EAD (THB)]]*Port[[#This Row],[LGD_avg]]</f>
        <v>1347797.1096576003</v>
      </c>
      <c r="AO731" s="508">
        <f>Port[[#This Row],[EAD_Interest (THB)]]*Port[[#This Row],[LGD_avg]]</f>
        <v>0</v>
      </c>
      <c r="AP731" s="508">
        <f>Port[[#This Row],[EAD_Drawn (THB)]]+Port[[#This Row],[EAD_Interest (THB)]]</f>
        <v>4848549.6782086566</v>
      </c>
      <c r="AQ73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17580.529836540165</v>
      </c>
      <c r="AR731" s="522">
        <f>MAX(Port[[#This Row],[ECL (THB)]]+Port[[#This Row],[ECL_Interest (THB)]], Port[[#This Row],[ECL CBIRC (THB)]])</f>
        <v>17580.529836540165</v>
      </c>
    </row>
    <row r="732" spans="1:44">
      <c r="A732" s="2" t="s">
        <v>1325</v>
      </c>
      <c r="B732" s="2" t="s">
        <v>382</v>
      </c>
      <c r="C732" s="2" t="s">
        <v>379</v>
      </c>
      <c r="D732" s="2" t="s">
        <v>30</v>
      </c>
      <c r="E732" s="2" t="s">
        <v>19</v>
      </c>
      <c r="F732" s="2" t="s">
        <v>380</v>
      </c>
      <c r="G732" s="2" t="s">
        <v>57</v>
      </c>
      <c r="H732">
        <v>1</v>
      </c>
      <c r="I732" s="2" t="s">
        <v>526</v>
      </c>
      <c r="J732" s="506">
        <v>1.3043899345507868E-2</v>
      </c>
      <c r="K732" s="506">
        <v>1.0129963997703915</v>
      </c>
      <c r="L732" s="3">
        <v>0.15684552284455039</v>
      </c>
      <c r="M732" s="3">
        <v>5.2488000000000001</v>
      </c>
      <c r="N732" s="508">
        <v>307212.28427399998</v>
      </c>
      <c r="O732" s="508">
        <v>0</v>
      </c>
      <c r="P732" s="508">
        <v>307212.28427399998</v>
      </c>
      <c r="Q732" s="508">
        <v>0</v>
      </c>
      <c r="R732" s="508">
        <v>4059.3258862465545</v>
      </c>
      <c r="S732" s="508">
        <v>0</v>
      </c>
      <c r="T732" s="508">
        <v>4059.3258862465545</v>
      </c>
      <c r="U732" s="508">
        <v>0</v>
      </c>
      <c r="V732" s="508">
        <f>Port[[#This Row],[EAD_Drawn (CNY)]]*Port[[#This Row],[CNY -&gt; FCY]]</f>
        <v>48184.871351224174</v>
      </c>
      <c r="W732" s="508">
        <f>Port[[#This Row],[EAD_Undrawn (CNY)]]*Port[[#This Row],[CNY -&gt; FCY]]</f>
        <v>0</v>
      </c>
      <c r="X732" s="508">
        <f>Port[[#This Row],[EAD (CNY)]]*Port[[#This Row],[CNY -&gt; FCY]]</f>
        <v>48184.871351224174</v>
      </c>
      <c r="Y732" s="508">
        <f>Port[[#This Row],[EAD_Interest (CNY)]]*Port[[#This Row],[CNY -&gt; FCY]]</f>
        <v>0</v>
      </c>
      <c r="Z732" s="508">
        <f>Port[[#This Row],[ECL_Drawn (CNY)]]*Port[[#This Row],[CNY -&gt; FCY]]</f>
        <v>636.68709102475873</v>
      </c>
      <c r="AA732" s="508">
        <f>Port[[#This Row],[ECL_Undrawn (CNY)]]*Port[[#This Row],[CNY -&gt; FCY]]</f>
        <v>0</v>
      </c>
      <c r="AB732" s="508">
        <f>Port[[#This Row],[ECL (CNY)]]*Port[[#This Row],[CNY -&gt; FCY]]</f>
        <v>636.68709102475873</v>
      </c>
      <c r="AC732" s="508">
        <f>Port[[#This Row],[ECL_Interest (CNY)]]*Port[[#This Row],[CNY -&gt; FCY]]</f>
        <v>0</v>
      </c>
      <c r="AD732" s="507">
        <f>Port[[#This Row],[EAD_Drawn (CNY)]]*Port[[#This Row],[CNY -&gt; THB]]</f>
        <v>1612495.8376973711</v>
      </c>
      <c r="AE732" s="507">
        <f>Port[[#This Row],[EAD_Undrawn (CNY)]]*Port[[#This Row],[CNY -&gt; THB]]</f>
        <v>0</v>
      </c>
      <c r="AF732" s="507">
        <f>Port[[#This Row],[EAD (CNY)]]*Port[[#This Row],[CNY -&gt; THB]]</f>
        <v>1612495.8376973711</v>
      </c>
      <c r="AG732" s="507">
        <f>Port[[#This Row],[EAD_Interest (CNY)]]*Port[[#This Row],[CNY -&gt; THB]]</f>
        <v>0</v>
      </c>
      <c r="AH732" s="507">
        <f>Port[[#This Row],[ECL_Drawn (CNY)]]*Port[[#This Row],[CNY -&gt; THB]]</f>
        <v>21306.589711730918</v>
      </c>
      <c r="AI732" s="507">
        <f>Port[[#This Row],[ECL_Undrawn (CNY)]]*Port[[#This Row],[CNY -&gt; THB]]</f>
        <v>0</v>
      </c>
      <c r="AJ732" s="507">
        <f>Port[[#This Row],[ECL (CNY)]]*Port[[#This Row],[CNY -&gt; THB]]</f>
        <v>21306.589711730918</v>
      </c>
      <c r="AK732" s="507">
        <f>Port[[#This Row],[ECL_Interest (CNY)]]*Port[[#This Row],[CNY -&gt; THB]]</f>
        <v>0</v>
      </c>
      <c r="AL732" s="508">
        <f>Port[[#This Row],[EAD (THB)]]*Port[[#This Row],[PD_avg]]</f>
        <v>21033.2334019749</v>
      </c>
      <c r="AM732" s="508">
        <f>Port[[#This Row],[EAD_Interest (THB)]]*Port[[#This Row],[PD_avg]]</f>
        <v>0</v>
      </c>
      <c r="AN732" s="508">
        <f>Port[[#This Row],[EAD (THB)]]*Port[[#This Row],[LGD_avg]]</f>
        <v>1633452.4782321784</v>
      </c>
      <c r="AO732" s="508">
        <f>Port[[#This Row],[EAD_Interest (THB)]]*Port[[#This Row],[LGD_avg]]</f>
        <v>0</v>
      </c>
      <c r="AP732" s="508">
        <f>Port[[#This Row],[EAD_Drawn (THB)]]+Port[[#This Row],[EAD_Interest (THB)]]</f>
        <v>1612495.8376973711</v>
      </c>
      <c r="AQ73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21306.589711730918</v>
      </c>
      <c r="AR732" s="522">
        <f>MAX(Port[[#This Row],[ECL (THB)]]+Port[[#This Row],[ECL_Interest (THB)]], Port[[#This Row],[ECL CBIRC (THB)]])</f>
        <v>21306.589711730918</v>
      </c>
    </row>
    <row r="733" spans="1:44">
      <c r="A733" s="2" t="s">
        <v>1326</v>
      </c>
      <c r="B733" s="2" t="s">
        <v>382</v>
      </c>
      <c r="C733" s="2" t="s">
        <v>379</v>
      </c>
      <c r="D733" s="2" t="s">
        <v>30</v>
      </c>
      <c r="E733" s="2" t="s">
        <v>19</v>
      </c>
      <c r="F733" s="2" t="s">
        <v>380</v>
      </c>
      <c r="G733" s="2" t="s">
        <v>57</v>
      </c>
      <c r="H733">
        <v>1</v>
      </c>
      <c r="I733" s="2" t="s">
        <v>526</v>
      </c>
      <c r="J733" s="506">
        <v>1.3043899345507868E-2</v>
      </c>
      <c r="K733" s="506">
        <v>0.27132677999999999</v>
      </c>
      <c r="L733" s="3">
        <v>0.15684552284455039</v>
      </c>
      <c r="M733" s="3">
        <v>5.2488000000000001</v>
      </c>
      <c r="N733" s="508">
        <v>318430</v>
      </c>
      <c r="O733" s="508">
        <v>0</v>
      </c>
      <c r="P733" s="508">
        <v>318430</v>
      </c>
      <c r="Q733" s="508">
        <v>0</v>
      </c>
      <c r="R733" s="508">
        <v>1126.9744666227868</v>
      </c>
      <c r="S733" s="508">
        <v>0</v>
      </c>
      <c r="T733" s="508">
        <v>1126.9744666227868</v>
      </c>
      <c r="U733" s="508">
        <v>0</v>
      </c>
      <c r="V733" s="508">
        <f>Port[[#This Row],[EAD_Drawn (CNY)]]*Port[[#This Row],[CNY -&gt; FCY]]</f>
        <v>49944.319839390184</v>
      </c>
      <c r="W733" s="508">
        <f>Port[[#This Row],[EAD_Undrawn (CNY)]]*Port[[#This Row],[CNY -&gt; FCY]]</f>
        <v>0</v>
      </c>
      <c r="X733" s="508">
        <f>Port[[#This Row],[EAD (CNY)]]*Port[[#This Row],[CNY -&gt; FCY]]</f>
        <v>49944.319839390184</v>
      </c>
      <c r="Y733" s="508">
        <f>Port[[#This Row],[EAD_Interest (CNY)]]*Port[[#This Row],[CNY -&gt; FCY]]</f>
        <v>0</v>
      </c>
      <c r="Z733" s="508">
        <f>Port[[#This Row],[ECL_Drawn (CNY)]]*Port[[#This Row],[CNY -&gt; FCY]]</f>
        <v>176.76089944990932</v>
      </c>
      <c r="AA733" s="508">
        <f>Port[[#This Row],[ECL_Undrawn (CNY)]]*Port[[#This Row],[CNY -&gt; FCY]]</f>
        <v>0</v>
      </c>
      <c r="AB733" s="508">
        <f>Port[[#This Row],[ECL (CNY)]]*Port[[#This Row],[CNY -&gt; FCY]]</f>
        <v>176.76089944990932</v>
      </c>
      <c r="AC733" s="508">
        <f>Port[[#This Row],[ECL_Interest (CNY)]]*Port[[#This Row],[CNY -&gt; FCY]]</f>
        <v>0</v>
      </c>
      <c r="AD733" s="507">
        <f>Port[[#This Row],[EAD_Drawn (CNY)]]*Port[[#This Row],[CNY -&gt; THB]]</f>
        <v>1671375.3840000001</v>
      </c>
      <c r="AE733" s="507">
        <f>Port[[#This Row],[EAD_Undrawn (CNY)]]*Port[[#This Row],[CNY -&gt; THB]]</f>
        <v>0</v>
      </c>
      <c r="AF733" s="507">
        <f>Port[[#This Row],[EAD (CNY)]]*Port[[#This Row],[CNY -&gt; THB]]</f>
        <v>1671375.3840000001</v>
      </c>
      <c r="AG733" s="507">
        <f>Port[[#This Row],[EAD_Interest (CNY)]]*Port[[#This Row],[CNY -&gt; THB]]</f>
        <v>0</v>
      </c>
      <c r="AH733" s="507">
        <f>Port[[#This Row],[ECL_Drawn (CNY)]]*Port[[#This Row],[CNY -&gt; THB]]</f>
        <v>5915.2635804096835</v>
      </c>
      <c r="AI733" s="507">
        <f>Port[[#This Row],[ECL_Undrawn (CNY)]]*Port[[#This Row],[CNY -&gt; THB]]</f>
        <v>0</v>
      </c>
      <c r="AJ733" s="507">
        <f>Port[[#This Row],[ECL (CNY)]]*Port[[#This Row],[CNY -&gt; THB]]</f>
        <v>5915.2635804096835</v>
      </c>
      <c r="AK733" s="507">
        <f>Port[[#This Row],[ECL_Interest (CNY)]]*Port[[#This Row],[CNY -&gt; THB]]</f>
        <v>0</v>
      </c>
      <c r="AL733" s="508">
        <f>Port[[#This Row],[EAD (THB)]]*Port[[#This Row],[PD_avg]]</f>
        <v>21801.252277455562</v>
      </c>
      <c r="AM733" s="508">
        <f>Port[[#This Row],[EAD_Interest (THB)]]*Port[[#This Row],[PD_avg]]</f>
        <v>0</v>
      </c>
      <c r="AN733" s="508">
        <f>Port[[#This Row],[EAD (THB)]]*Port[[#This Row],[LGD_avg]]</f>
        <v>453488.90111198352</v>
      </c>
      <c r="AO733" s="508">
        <f>Port[[#This Row],[EAD_Interest (THB)]]*Port[[#This Row],[LGD_avg]]</f>
        <v>0</v>
      </c>
      <c r="AP733" s="508">
        <f>Port[[#This Row],[EAD_Drawn (THB)]]+Port[[#This Row],[EAD_Interest (THB)]]</f>
        <v>1671375.3840000001</v>
      </c>
      <c r="AQ73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5915.2635804096835</v>
      </c>
      <c r="AR733" s="522">
        <f>MAX(Port[[#This Row],[ECL (THB)]]+Port[[#This Row],[ECL_Interest (THB)]], Port[[#This Row],[ECL CBIRC (THB)]])</f>
        <v>5915.2635804096835</v>
      </c>
    </row>
    <row r="734" spans="1:44">
      <c r="A734" s="2" t="s">
        <v>1327</v>
      </c>
      <c r="B734" s="2" t="s">
        <v>382</v>
      </c>
      <c r="C734" s="2" t="s">
        <v>379</v>
      </c>
      <c r="D734" s="2" t="s">
        <v>30</v>
      </c>
      <c r="E734" s="2" t="s">
        <v>19</v>
      </c>
      <c r="F734" s="2" t="s">
        <v>380</v>
      </c>
      <c r="G734" s="2" t="s">
        <v>57</v>
      </c>
      <c r="H734">
        <v>1</v>
      </c>
      <c r="I734" s="2" t="s">
        <v>526</v>
      </c>
      <c r="J734" s="506">
        <v>1.3043899345507868E-2</v>
      </c>
      <c r="K734" s="506">
        <v>0.5327599482834644</v>
      </c>
      <c r="L734" s="3">
        <v>0.15684552284455039</v>
      </c>
      <c r="M734" s="3">
        <v>5.2488000000000001</v>
      </c>
      <c r="N734" s="508">
        <v>319337.97130199999</v>
      </c>
      <c r="O734" s="508">
        <v>0</v>
      </c>
      <c r="P734" s="508">
        <v>319337.97130199999</v>
      </c>
      <c r="Q734" s="508">
        <v>0</v>
      </c>
      <c r="R734" s="508">
        <v>2219.164870755566</v>
      </c>
      <c r="S734" s="508">
        <v>0</v>
      </c>
      <c r="T734" s="508">
        <v>2219.164870755566</v>
      </c>
      <c r="U734" s="508">
        <v>0</v>
      </c>
      <c r="V734" s="508">
        <f>Port[[#This Row],[EAD_Drawn (CNY)]]*Port[[#This Row],[CNY -&gt; FCY]]</f>
        <v>50086.731072980219</v>
      </c>
      <c r="W734" s="508">
        <f>Port[[#This Row],[EAD_Undrawn (CNY)]]*Port[[#This Row],[CNY -&gt; FCY]]</f>
        <v>0</v>
      </c>
      <c r="X734" s="508">
        <f>Port[[#This Row],[EAD (CNY)]]*Port[[#This Row],[CNY -&gt; FCY]]</f>
        <v>50086.731072980219</v>
      </c>
      <c r="Y734" s="508">
        <f>Port[[#This Row],[EAD_Interest (CNY)]]*Port[[#This Row],[CNY -&gt; FCY]]</f>
        <v>0</v>
      </c>
      <c r="Z734" s="508">
        <f>Port[[#This Row],[ECL_Drawn (CNY)]]*Port[[#This Row],[CNY -&gt; FCY]]</f>
        <v>348.06607443191581</v>
      </c>
      <c r="AA734" s="508">
        <f>Port[[#This Row],[ECL_Undrawn (CNY)]]*Port[[#This Row],[CNY -&gt; FCY]]</f>
        <v>0</v>
      </c>
      <c r="AB734" s="508">
        <f>Port[[#This Row],[ECL (CNY)]]*Port[[#This Row],[CNY -&gt; FCY]]</f>
        <v>348.06607443191581</v>
      </c>
      <c r="AC734" s="508">
        <f>Port[[#This Row],[ECL_Interest (CNY)]]*Port[[#This Row],[CNY -&gt; FCY]]</f>
        <v>0</v>
      </c>
      <c r="AD734" s="507">
        <f>Port[[#This Row],[EAD_Drawn (CNY)]]*Port[[#This Row],[CNY -&gt; THB]]</f>
        <v>1676141.1437699376</v>
      </c>
      <c r="AE734" s="507">
        <f>Port[[#This Row],[EAD_Undrawn (CNY)]]*Port[[#This Row],[CNY -&gt; THB]]</f>
        <v>0</v>
      </c>
      <c r="AF734" s="507">
        <f>Port[[#This Row],[EAD (CNY)]]*Port[[#This Row],[CNY -&gt; THB]]</f>
        <v>1676141.1437699376</v>
      </c>
      <c r="AG734" s="507">
        <f>Port[[#This Row],[EAD_Interest (CNY)]]*Port[[#This Row],[CNY -&gt; THB]]</f>
        <v>0</v>
      </c>
      <c r="AH734" s="507">
        <f>Port[[#This Row],[ECL_Drawn (CNY)]]*Port[[#This Row],[CNY -&gt; THB]]</f>
        <v>11647.952573621815</v>
      </c>
      <c r="AI734" s="507">
        <f>Port[[#This Row],[ECL_Undrawn (CNY)]]*Port[[#This Row],[CNY -&gt; THB]]</f>
        <v>0</v>
      </c>
      <c r="AJ734" s="507">
        <f>Port[[#This Row],[ECL (CNY)]]*Port[[#This Row],[CNY -&gt; THB]]</f>
        <v>11647.952573621815</v>
      </c>
      <c r="AK734" s="507">
        <f>Port[[#This Row],[ECL_Interest (CNY)]]*Port[[#This Row],[CNY -&gt; THB]]</f>
        <v>0</v>
      </c>
      <c r="AL734" s="508">
        <f>Port[[#This Row],[EAD (THB)]]*Port[[#This Row],[PD_avg]]</f>
        <v>21863.416368199498</v>
      </c>
      <c r="AM734" s="508">
        <f>Port[[#This Row],[EAD_Interest (THB)]]*Port[[#This Row],[PD_avg]]</f>
        <v>0</v>
      </c>
      <c r="AN734" s="508">
        <f>Port[[#This Row],[EAD (THB)]]*Port[[#This Row],[LGD_avg]]</f>
        <v>892980.86907065881</v>
      </c>
      <c r="AO734" s="508">
        <f>Port[[#This Row],[EAD_Interest (THB)]]*Port[[#This Row],[LGD_avg]]</f>
        <v>0</v>
      </c>
      <c r="AP734" s="508">
        <f>Port[[#This Row],[EAD_Drawn (THB)]]+Port[[#This Row],[EAD_Interest (THB)]]</f>
        <v>1676141.1437699376</v>
      </c>
      <c r="AQ73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11647.952573621815</v>
      </c>
      <c r="AR734" s="522">
        <f>MAX(Port[[#This Row],[ECL (THB)]]+Port[[#This Row],[ECL_Interest (THB)]], Port[[#This Row],[ECL CBIRC (THB)]])</f>
        <v>11647.952573621815</v>
      </c>
    </row>
    <row r="735" spans="1:44">
      <c r="A735" s="2" t="s">
        <v>1328</v>
      </c>
      <c r="B735" s="2" t="s">
        <v>382</v>
      </c>
      <c r="C735" s="2" t="s">
        <v>379</v>
      </c>
      <c r="D735" s="2" t="s">
        <v>30</v>
      </c>
      <c r="E735" s="2" t="s">
        <v>19</v>
      </c>
      <c r="F735" s="2" t="s">
        <v>380</v>
      </c>
      <c r="G735" s="2" t="s">
        <v>57</v>
      </c>
      <c r="H735">
        <v>1</v>
      </c>
      <c r="I735" s="2" t="s">
        <v>526</v>
      </c>
      <c r="J735" s="506">
        <v>1.3043899345507868E-2</v>
      </c>
      <c r="K735" s="506">
        <v>1.51129656014655</v>
      </c>
      <c r="L735" s="3">
        <v>0.15684552284455039</v>
      </c>
      <c r="M735" s="3">
        <v>5.2488000000000001</v>
      </c>
      <c r="N735" s="508">
        <v>438045.04519999999</v>
      </c>
      <c r="O735" s="508">
        <v>0</v>
      </c>
      <c r="P735" s="508">
        <v>438045.04519999999</v>
      </c>
      <c r="Q735" s="508">
        <v>0</v>
      </c>
      <c r="R735" s="508">
        <v>8635.2696777987567</v>
      </c>
      <c r="S735" s="508">
        <v>0</v>
      </c>
      <c r="T735" s="508">
        <v>8635.2696777987567</v>
      </c>
      <c r="U735" s="508">
        <v>0</v>
      </c>
      <c r="V735" s="508">
        <f>Port[[#This Row],[EAD_Drawn (CNY)]]*Port[[#This Row],[CNY -&gt; FCY]]</f>
        <v>68705.404143858701</v>
      </c>
      <c r="W735" s="508">
        <f>Port[[#This Row],[EAD_Undrawn (CNY)]]*Port[[#This Row],[CNY -&gt; FCY]]</f>
        <v>0</v>
      </c>
      <c r="X735" s="508">
        <f>Port[[#This Row],[EAD (CNY)]]*Port[[#This Row],[CNY -&gt; FCY]]</f>
        <v>68705.404143858701</v>
      </c>
      <c r="Y735" s="508">
        <f>Port[[#This Row],[EAD_Interest (CNY)]]*Port[[#This Row],[CNY -&gt; FCY]]</f>
        <v>0</v>
      </c>
      <c r="Z735" s="508">
        <f>Port[[#This Row],[ECL_Drawn (CNY)]]*Port[[#This Row],[CNY -&gt; FCY]]</f>
        <v>1354.4033875180382</v>
      </c>
      <c r="AA735" s="508">
        <f>Port[[#This Row],[ECL_Undrawn (CNY)]]*Port[[#This Row],[CNY -&gt; FCY]]</f>
        <v>0</v>
      </c>
      <c r="AB735" s="508">
        <f>Port[[#This Row],[ECL (CNY)]]*Port[[#This Row],[CNY -&gt; FCY]]</f>
        <v>1354.4033875180382</v>
      </c>
      <c r="AC735" s="508">
        <f>Port[[#This Row],[ECL_Interest (CNY)]]*Port[[#This Row],[CNY -&gt; FCY]]</f>
        <v>0</v>
      </c>
      <c r="AD735" s="507">
        <f>Port[[#This Row],[EAD_Drawn (CNY)]]*Port[[#This Row],[CNY -&gt; THB]]</f>
        <v>2299210.8332457598</v>
      </c>
      <c r="AE735" s="507">
        <f>Port[[#This Row],[EAD_Undrawn (CNY)]]*Port[[#This Row],[CNY -&gt; THB]]</f>
        <v>0</v>
      </c>
      <c r="AF735" s="507">
        <f>Port[[#This Row],[EAD (CNY)]]*Port[[#This Row],[CNY -&gt; THB]]</f>
        <v>2299210.8332457598</v>
      </c>
      <c r="AG735" s="507">
        <f>Port[[#This Row],[EAD_Interest (CNY)]]*Port[[#This Row],[CNY -&gt; THB]]</f>
        <v>0</v>
      </c>
      <c r="AH735" s="507">
        <f>Port[[#This Row],[ECL_Drawn (CNY)]]*Port[[#This Row],[CNY -&gt; THB]]</f>
        <v>45324.803484830118</v>
      </c>
      <c r="AI735" s="507">
        <f>Port[[#This Row],[ECL_Undrawn (CNY)]]*Port[[#This Row],[CNY -&gt; THB]]</f>
        <v>0</v>
      </c>
      <c r="AJ735" s="507">
        <f>Port[[#This Row],[ECL (CNY)]]*Port[[#This Row],[CNY -&gt; THB]]</f>
        <v>45324.803484830118</v>
      </c>
      <c r="AK735" s="507">
        <f>Port[[#This Row],[ECL_Interest (CNY)]]*Port[[#This Row],[CNY -&gt; THB]]</f>
        <v>0</v>
      </c>
      <c r="AL735" s="508">
        <f>Port[[#This Row],[EAD (THB)]]*Port[[#This Row],[PD_avg]]</f>
        <v>29990.674682958968</v>
      </c>
      <c r="AM735" s="508">
        <f>Port[[#This Row],[EAD_Interest (THB)]]*Port[[#This Row],[PD_avg]]</f>
        <v>0</v>
      </c>
      <c r="AN735" s="508">
        <f>Port[[#This Row],[EAD (THB)]]*Port[[#This Row],[LGD_avg]]</f>
        <v>3474789.4233359997</v>
      </c>
      <c r="AO735" s="508">
        <f>Port[[#This Row],[EAD_Interest (THB)]]*Port[[#This Row],[LGD_avg]]</f>
        <v>0</v>
      </c>
      <c r="AP735" s="508">
        <f>Port[[#This Row],[EAD_Drawn (THB)]]+Port[[#This Row],[EAD_Interest (THB)]]</f>
        <v>2299210.8332457598</v>
      </c>
      <c r="AQ73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45324.803484830118</v>
      </c>
      <c r="AR735" s="522">
        <f>MAX(Port[[#This Row],[ECL (THB)]]+Port[[#This Row],[ECL_Interest (THB)]], Port[[#This Row],[ECL CBIRC (THB)]])</f>
        <v>45324.803484830118</v>
      </c>
    </row>
    <row r="736" spans="1:44">
      <c r="A736" s="2" t="s">
        <v>518</v>
      </c>
      <c r="B736" s="2" t="s">
        <v>519</v>
      </c>
      <c r="C736" s="2" t="s">
        <v>379</v>
      </c>
      <c r="D736" s="2" t="s">
        <v>30</v>
      </c>
      <c r="E736" s="2" t="s">
        <v>19</v>
      </c>
      <c r="F736" s="2" t="s">
        <v>380</v>
      </c>
      <c r="G736" s="2" t="s">
        <v>57</v>
      </c>
      <c r="H736">
        <v>1</v>
      </c>
      <c r="I736" s="2" t="s">
        <v>526</v>
      </c>
      <c r="J736" s="506">
        <v>2.3168391354034413E-3</v>
      </c>
      <c r="K736" s="506">
        <v>17.541484994091238</v>
      </c>
      <c r="L736" s="3">
        <v>0.15684552284455039</v>
      </c>
      <c r="M736" s="3">
        <v>5.2488000000000001</v>
      </c>
      <c r="N736" s="508">
        <v>57317.4</v>
      </c>
      <c r="O736" s="508">
        <v>0</v>
      </c>
      <c r="P736" s="508">
        <v>57317.4</v>
      </c>
      <c r="Q736" s="508">
        <v>0</v>
      </c>
      <c r="R736" s="508">
        <v>2329.4249284415168</v>
      </c>
      <c r="S736" s="508">
        <v>0</v>
      </c>
      <c r="T736" s="508">
        <v>2329.4249284415168</v>
      </c>
      <c r="U736" s="508">
        <v>0</v>
      </c>
      <c r="V736" s="508">
        <f>Port[[#This Row],[EAD_Drawn (CNY)]]*Port[[#This Row],[CNY -&gt; FCY]]</f>
        <v>8989.9775710902322</v>
      </c>
      <c r="W736" s="508">
        <f>Port[[#This Row],[EAD_Undrawn (CNY)]]*Port[[#This Row],[CNY -&gt; FCY]]</f>
        <v>0</v>
      </c>
      <c r="X736" s="508">
        <f>Port[[#This Row],[EAD (CNY)]]*Port[[#This Row],[CNY -&gt; FCY]]</f>
        <v>8989.9775710902322</v>
      </c>
      <c r="Y736" s="508">
        <f>Port[[#This Row],[EAD_Interest (CNY)]]*Port[[#This Row],[CNY -&gt; FCY]]</f>
        <v>0</v>
      </c>
      <c r="Z736" s="508">
        <f>Port[[#This Row],[ECL_Drawn (CNY)]]*Port[[#This Row],[CNY -&gt; FCY]]</f>
        <v>365.3598708285391</v>
      </c>
      <c r="AA736" s="508">
        <f>Port[[#This Row],[ECL_Undrawn (CNY)]]*Port[[#This Row],[CNY -&gt; FCY]]</f>
        <v>0</v>
      </c>
      <c r="AB736" s="508">
        <f>Port[[#This Row],[ECL (CNY)]]*Port[[#This Row],[CNY -&gt; FCY]]</f>
        <v>365.3598708285391</v>
      </c>
      <c r="AC736" s="508">
        <f>Port[[#This Row],[ECL_Interest (CNY)]]*Port[[#This Row],[CNY -&gt; FCY]]</f>
        <v>0</v>
      </c>
      <c r="AD736" s="507">
        <f>Port[[#This Row],[EAD_Drawn (CNY)]]*Port[[#This Row],[CNY -&gt; THB]]</f>
        <v>300847.56912</v>
      </c>
      <c r="AE736" s="507">
        <f>Port[[#This Row],[EAD_Undrawn (CNY)]]*Port[[#This Row],[CNY -&gt; THB]]</f>
        <v>0</v>
      </c>
      <c r="AF736" s="507">
        <f>Port[[#This Row],[EAD (CNY)]]*Port[[#This Row],[CNY -&gt; THB]]</f>
        <v>300847.56912</v>
      </c>
      <c r="AG736" s="507">
        <f>Port[[#This Row],[EAD_Interest (CNY)]]*Port[[#This Row],[CNY -&gt; THB]]</f>
        <v>0</v>
      </c>
      <c r="AH736" s="507">
        <f>Port[[#This Row],[ECL_Drawn (CNY)]]*Port[[#This Row],[CNY -&gt; THB]]</f>
        <v>12226.685564403833</v>
      </c>
      <c r="AI736" s="507">
        <f>Port[[#This Row],[ECL_Undrawn (CNY)]]*Port[[#This Row],[CNY -&gt; THB]]</f>
        <v>0</v>
      </c>
      <c r="AJ736" s="507">
        <f>Port[[#This Row],[ECL (CNY)]]*Port[[#This Row],[CNY -&gt; THB]]</f>
        <v>12226.685564403833</v>
      </c>
      <c r="AK736" s="507">
        <f>Port[[#This Row],[ECL_Interest (CNY)]]*Port[[#This Row],[CNY -&gt; THB]]</f>
        <v>0</v>
      </c>
      <c r="AL736" s="508">
        <f>Port[[#This Row],[EAD (THB)]]*Port[[#This Row],[PD_avg]]</f>
        <v>697.01542192820784</v>
      </c>
      <c r="AM736" s="508">
        <f>Port[[#This Row],[EAD_Interest (THB)]]*Port[[#This Row],[PD_avg]]</f>
        <v>0</v>
      </c>
      <c r="AN736" s="508">
        <f>Port[[#This Row],[EAD (THB)]]*Port[[#This Row],[LGD_avg]]</f>
        <v>5277313.1192273069</v>
      </c>
      <c r="AO736" s="508">
        <f>Port[[#This Row],[EAD_Interest (THB)]]*Port[[#This Row],[LGD_avg]]</f>
        <v>0</v>
      </c>
      <c r="AP736" s="508">
        <f>Port[[#This Row],[EAD_Drawn (THB)]]+Port[[#This Row],[EAD_Interest (THB)]]</f>
        <v>300847.56912</v>
      </c>
      <c r="AQ73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12226.685564403833</v>
      </c>
      <c r="AR736" s="522">
        <f>MAX(Port[[#This Row],[ECL (THB)]]+Port[[#This Row],[ECL_Interest (THB)]], Port[[#This Row],[ECL CBIRC (THB)]])</f>
        <v>12226.685564403833</v>
      </c>
    </row>
    <row r="737" spans="1:44">
      <c r="A737" s="2" t="s">
        <v>520</v>
      </c>
      <c r="B737" s="2" t="s">
        <v>519</v>
      </c>
      <c r="C737" s="2" t="s">
        <v>379</v>
      </c>
      <c r="D737" s="2" t="s">
        <v>30</v>
      </c>
      <c r="E737" s="2" t="s">
        <v>19</v>
      </c>
      <c r="F737" s="2" t="s">
        <v>380</v>
      </c>
      <c r="G737" s="2" t="s">
        <v>170</v>
      </c>
      <c r="H737">
        <v>1</v>
      </c>
      <c r="I737" s="2" t="s">
        <v>526</v>
      </c>
      <c r="J737" s="506">
        <v>2.3168391354034413E-3</v>
      </c>
      <c r="K737" s="506">
        <v>3.0649019120164336E-2</v>
      </c>
      <c r="L737" s="3">
        <v>5.2308000000000003</v>
      </c>
      <c r="M737" s="3">
        <v>5.2488000000000001</v>
      </c>
      <c r="N737" s="508">
        <v>14155424.096936442</v>
      </c>
      <c r="O737" s="508">
        <v>0</v>
      </c>
      <c r="P737" s="508">
        <v>14155424.096936442</v>
      </c>
      <c r="Q737" s="508">
        <v>0</v>
      </c>
      <c r="R737" s="508">
        <v>1005.1603433437023</v>
      </c>
      <c r="S737" s="508">
        <v>0</v>
      </c>
      <c r="T737" s="508">
        <v>1005.1603433437023</v>
      </c>
      <c r="U737" s="508">
        <v>0</v>
      </c>
      <c r="V737" s="508">
        <f>Port[[#This Row],[EAD_Drawn (CNY)]]*Port[[#This Row],[CNY -&gt; FCY]]</f>
        <v>74044192.366255149</v>
      </c>
      <c r="W737" s="508">
        <f>Port[[#This Row],[EAD_Undrawn (CNY)]]*Port[[#This Row],[CNY -&gt; FCY]]</f>
        <v>0</v>
      </c>
      <c r="X737" s="508">
        <f>Port[[#This Row],[EAD (CNY)]]*Port[[#This Row],[CNY -&gt; FCY]]</f>
        <v>74044192.366255149</v>
      </c>
      <c r="Y737" s="508">
        <f>Port[[#This Row],[EAD_Interest (CNY)]]*Port[[#This Row],[CNY -&gt; FCY]]</f>
        <v>0</v>
      </c>
      <c r="Z737" s="508">
        <f>Port[[#This Row],[ECL_Drawn (CNY)]]*Port[[#This Row],[CNY -&gt; FCY]]</f>
        <v>5257.7927239622386</v>
      </c>
      <c r="AA737" s="508">
        <f>Port[[#This Row],[ECL_Undrawn (CNY)]]*Port[[#This Row],[CNY -&gt; FCY]]</f>
        <v>0</v>
      </c>
      <c r="AB737" s="508">
        <f>Port[[#This Row],[ECL (CNY)]]*Port[[#This Row],[CNY -&gt; FCY]]</f>
        <v>5257.7927239622386</v>
      </c>
      <c r="AC737" s="508">
        <f>Port[[#This Row],[ECL_Interest (CNY)]]*Port[[#This Row],[CNY -&gt; FCY]]</f>
        <v>0</v>
      </c>
      <c r="AD737" s="507">
        <f>Port[[#This Row],[EAD_Drawn (CNY)]]*Port[[#This Row],[CNY -&gt; THB]]</f>
        <v>74298990</v>
      </c>
      <c r="AE737" s="507">
        <f>Port[[#This Row],[EAD_Undrawn (CNY)]]*Port[[#This Row],[CNY -&gt; THB]]</f>
        <v>0</v>
      </c>
      <c r="AF737" s="507">
        <f>Port[[#This Row],[EAD (CNY)]]*Port[[#This Row],[CNY -&gt; THB]]</f>
        <v>74298990</v>
      </c>
      <c r="AG737" s="507">
        <f>Port[[#This Row],[EAD_Interest (CNY)]]*Port[[#This Row],[CNY -&gt; THB]]</f>
        <v>0</v>
      </c>
      <c r="AH737" s="507">
        <f>Port[[#This Row],[ECL_Drawn (CNY)]]*Port[[#This Row],[CNY -&gt; THB]]</f>
        <v>5275.8856101424244</v>
      </c>
      <c r="AI737" s="507">
        <f>Port[[#This Row],[ECL_Undrawn (CNY)]]*Port[[#This Row],[CNY -&gt; THB]]</f>
        <v>0</v>
      </c>
      <c r="AJ737" s="507">
        <f>Port[[#This Row],[ECL (CNY)]]*Port[[#This Row],[CNY -&gt; THB]]</f>
        <v>5275.8856101424244</v>
      </c>
      <c r="AK737" s="507">
        <f>Port[[#This Row],[ECL_Interest (CNY)]]*Port[[#This Row],[CNY -&gt; THB]]</f>
        <v>0</v>
      </c>
      <c r="AL737" s="508">
        <f>Port[[#This Row],[EAD (THB)]]*Port[[#This Row],[PD_avg]]</f>
        <v>172138.80775294892</v>
      </c>
      <c r="AM737" s="508">
        <f>Port[[#This Row],[EAD_Interest (THB)]]*Port[[#This Row],[PD_avg]]</f>
        <v>0</v>
      </c>
      <c r="AN737" s="508">
        <f>Port[[#This Row],[EAD (THB)]]*Port[[#This Row],[LGD_avg]]</f>
        <v>2277191.1651188987</v>
      </c>
      <c r="AO737" s="508">
        <f>Port[[#This Row],[EAD_Interest (THB)]]*Port[[#This Row],[LGD_avg]]</f>
        <v>0</v>
      </c>
      <c r="AP737" s="508">
        <f>Port[[#This Row],[EAD_Drawn (THB)]]+Port[[#This Row],[EAD_Interest (THB)]]</f>
        <v>74298990</v>
      </c>
      <c r="AQ73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5275.8856101424244</v>
      </c>
      <c r="AR737" s="522">
        <f>MAX(Port[[#This Row],[ECL (THB)]]+Port[[#This Row],[ECL_Interest (THB)]], Port[[#This Row],[ECL CBIRC (THB)]])</f>
        <v>5275.8856101424244</v>
      </c>
    </row>
    <row r="738" spans="1:44">
      <c r="A738" s="2"/>
      <c r="B738" s="2" t="s">
        <v>1329</v>
      </c>
      <c r="C738" s="2" t="s">
        <v>17</v>
      </c>
      <c r="D738" s="2" t="s">
        <v>25</v>
      </c>
      <c r="E738" s="2" t="s">
        <v>19</v>
      </c>
      <c r="F738" s="2" t="s">
        <v>20</v>
      </c>
      <c r="G738" s="2" t="s">
        <v>21</v>
      </c>
      <c r="H738">
        <v>1</v>
      </c>
      <c r="I738" s="2" t="s">
        <v>526</v>
      </c>
      <c r="J738" s="506">
        <v>2.0514833509807026E-2</v>
      </c>
      <c r="K738" s="506">
        <v>0.9</v>
      </c>
      <c r="L738" s="3">
        <v>1</v>
      </c>
      <c r="M738" s="3">
        <v>5.2488000000000001</v>
      </c>
      <c r="N738" s="508">
        <v>8000000</v>
      </c>
      <c r="O738" s="508">
        <v>0</v>
      </c>
      <c r="P738" s="508">
        <v>8000000</v>
      </c>
      <c r="Q738" s="508">
        <v>0</v>
      </c>
      <c r="R738" s="508">
        <v>147706.80127061059</v>
      </c>
      <c r="S738" s="508">
        <v>0</v>
      </c>
      <c r="T738" s="508">
        <v>147706.80127061059</v>
      </c>
      <c r="U738" s="508">
        <v>0</v>
      </c>
      <c r="V738" s="508">
        <f>Port[[#This Row],[EAD_Drawn (CNY)]]*Port[[#This Row],[CNY -&gt; FCY]]</f>
        <v>8000000</v>
      </c>
      <c r="W738" s="508">
        <f>Port[[#This Row],[EAD_Undrawn (CNY)]]*Port[[#This Row],[CNY -&gt; FCY]]</f>
        <v>0</v>
      </c>
      <c r="X738" s="508">
        <f>Port[[#This Row],[EAD (CNY)]]*Port[[#This Row],[CNY -&gt; FCY]]</f>
        <v>8000000</v>
      </c>
      <c r="Y738" s="508">
        <f>Port[[#This Row],[EAD_Interest (CNY)]]*Port[[#This Row],[CNY -&gt; FCY]]</f>
        <v>0</v>
      </c>
      <c r="Z738" s="508">
        <f>Port[[#This Row],[ECL_Drawn (CNY)]]*Port[[#This Row],[CNY -&gt; FCY]]</f>
        <v>147706.80127061059</v>
      </c>
      <c r="AA738" s="508">
        <f>Port[[#This Row],[ECL_Undrawn (CNY)]]*Port[[#This Row],[CNY -&gt; FCY]]</f>
        <v>0</v>
      </c>
      <c r="AB738" s="508">
        <f>Port[[#This Row],[ECL (CNY)]]*Port[[#This Row],[CNY -&gt; FCY]]</f>
        <v>147706.80127061059</v>
      </c>
      <c r="AC738" s="508">
        <f>Port[[#This Row],[ECL_Interest (CNY)]]*Port[[#This Row],[CNY -&gt; FCY]]</f>
        <v>0</v>
      </c>
      <c r="AD738" s="507">
        <f>Port[[#This Row],[EAD_Drawn (CNY)]]*Port[[#This Row],[CNY -&gt; THB]]</f>
        <v>41990400</v>
      </c>
      <c r="AE738" s="507">
        <f>Port[[#This Row],[EAD_Undrawn (CNY)]]*Port[[#This Row],[CNY -&gt; THB]]</f>
        <v>0</v>
      </c>
      <c r="AF738" s="507">
        <f>Port[[#This Row],[EAD (CNY)]]*Port[[#This Row],[CNY -&gt; THB]]</f>
        <v>41990400</v>
      </c>
      <c r="AG738" s="507">
        <f>Port[[#This Row],[EAD_Interest (CNY)]]*Port[[#This Row],[CNY -&gt; THB]]</f>
        <v>0</v>
      </c>
      <c r="AH738" s="507">
        <f>Port[[#This Row],[ECL_Drawn (CNY)]]*Port[[#This Row],[CNY -&gt; THB]]</f>
        <v>775283.45850918093</v>
      </c>
      <c r="AI738" s="507">
        <f>Port[[#This Row],[ECL_Undrawn (CNY)]]*Port[[#This Row],[CNY -&gt; THB]]</f>
        <v>0</v>
      </c>
      <c r="AJ738" s="507">
        <f>Port[[#This Row],[ECL (CNY)]]*Port[[#This Row],[CNY -&gt; THB]]</f>
        <v>775283.45850918093</v>
      </c>
      <c r="AK738" s="507">
        <f>Port[[#This Row],[ECL_Interest (CNY)]]*Port[[#This Row],[CNY -&gt; THB]]</f>
        <v>0</v>
      </c>
      <c r="AL738" s="508">
        <f>Port[[#This Row],[EAD (THB)]]*Port[[#This Row],[PD_avg]]</f>
        <v>861426.06501020095</v>
      </c>
      <c r="AM738" s="508">
        <f>Port[[#This Row],[EAD_Interest (THB)]]*Port[[#This Row],[PD_avg]]</f>
        <v>0</v>
      </c>
      <c r="AN738" s="508">
        <f>Port[[#This Row],[EAD (THB)]]*Port[[#This Row],[LGD_avg]]</f>
        <v>37791360</v>
      </c>
      <c r="AO738" s="508">
        <f>Port[[#This Row],[EAD_Interest (THB)]]*Port[[#This Row],[LGD_avg]]</f>
        <v>0</v>
      </c>
      <c r="AP738" s="508">
        <f>Port[[#This Row],[EAD_Drawn (THB)]]+Port[[#This Row],[EAD_Interest (THB)]]</f>
        <v>41990400</v>
      </c>
      <c r="AQ73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629856</v>
      </c>
      <c r="AR738" s="522">
        <f>MAX(Port[[#This Row],[ECL (THB)]]+Port[[#This Row],[ECL_Interest (THB)]], Port[[#This Row],[ECL CBIRC (THB)]])</f>
        <v>775283.45850918093</v>
      </c>
    </row>
    <row r="739" spans="1:44">
      <c r="A739" s="2"/>
      <c r="B739" s="2" t="s">
        <v>1330</v>
      </c>
      <c r="C739" s="2" t="s">
        <v>175</v>
      </c>
      <c r="D739" s="2" t="s">
        <v>25</v>
      </c>
      <c r="E739" s="2" t="s">
        <v>172</v>
      </c>
      <c r="F739" s="2" t="s">
        <v>173</v>
      </c>
      <c r="G739" s="2" t="s">
        <v>21</v>
      </c>
      <c r="H739">
        <v>1</v>
      </c>
      <c r="I739" s="2" t="s">
        <v>526</v>
      </c>
      <c r="J739" s="506">
        <v>1.3043899345507868E-2</v>
      </c>
      <c r="K739" s="506">
        <v>0.9</v>
      </c>
      <c r="L739" s="3">
        <v>1</v>
      </c>
      <c r="M739" s="3">
        <v>5.2488000000000001</v>
      </c>
      <c r="N739" s="508">
        <v>150000000</v>
      </c>
      <c r="O739" s="508">
        <v>0</v>
      </c>
      <c r="P739" s="508">
        <v>150000000</v>
      </c>
      <c r="Q739" s="508">
        <v>0</v>
      </c>
      <c r="R739" s="508">
        <v>1760926.4116435624</v>
      </c>
      <c r="S739" s="508">
        <v>0</v>
      </c>
      <c r="T739" s="508">
        <v>1760926.4116435624</v>
      </c>
      <c r="U739" s="508">
        <v>0</v>
      </c>
      <c r="V739" s="508">
        <f>Port[[#This Row],[EAD_Drawn (CNY)]]*Port[[#This Row],[CNY -&gt; FCY]]</f>
        <v>150000000</v>
      </c>
      <c r="W739" s="508">
        <f>Port[[#This Row],[EAD_Undrawn (CNY)]]*Port[[#This Row],[CNY -&gt; FCY]]</f>
        <v>0</v>
      </c>
      <c r="X739" s="508">
        <f>Port[[#This Row],[EAD (CNY)]]*Port[[#This Row],[CNY -&gt; FCY]]</f>
        <v>150000000</v>
      </c>
      <c r="Y739" s="508">
        <f>Port[[#This Row],[EAD_Interest (CNY)]]*Port[[#This Row],[CNY -&gt; FCY]]</f>
        <v>0</v>
      </c>
      <c r="Z739" s="508">
        <f>Port[[#This Row],[ECL_Drawn (CNY)]]*Port[[#This Row],[CNY -&gt; FCY]]</f>
        <v>1760926.4116435624</v>
      </c>
      <c r="AA739" s="508">
        <f>Port[[#This Row],[ECL_Undrawn (CNY)]]*Port[[#This Row],[CNY -&gt; FCY]]</f>
        <v>0</v>
      </c>
      <c r="AB739" s="508">
        <f>Port[[#This Row],[ECL (CNY)]]*Port[[#This Row],[CNY -&gt; FCY]]</f>
        <v>1760926.4116435624</v>
      </c>
      <c r="AC739" s="508">
        <f>Port[[#This Row],[ECL_Interest (CNY)]]*Port[[#This Row],[CNY -&gt; FCY]]</f>
        <v>0</v>
      </c>
      <c r="AD739" s="507">
        <f>Port[[#This Row],[EAD_Drawn (CNY)]]*Port[[#This Row],[CNY -&gt; THB]]</f>
        <v>787320000</v>
      </c>
      <c r="AE739" s="507">
        <f>Port[[#This Row],[EAD_Undrawn (CNY)]]*Port[[#This Row],[CNY -&gt; THB]]</f>
        <v>0</v>
      </c>
      <c r="AF739" s="507">
        <f>Port[[#This Row],[EAD (CNY)]]*Port[[#This Row],[CNY -&gt; THB]]</f>
        <v>787320000</v>
      </c>
      <c r="AG739" s="507">
        <f>Port[[#This Row],[EAD_Interest (CNY)]]*Port[[#This Row],[CNY -&gt; THB]]</f>
        <v>0</v>
      </c>
      <c r="AH739" s="507">
        <f>Port[[#This Row],[ECL_Drawn (CNY)]]*Port[[#This Row],[CNY -&gt; THB]]</f>
        <v>9242750.5494347308</v>
      </c>
      <c r="AI739" s="507">
        <f>Port[[#This Row],[ECL_Undrawn (CNY)]]*Port[[#This Row],[CNY -&gt; THB]]</f>
        <v>0</v>
      </c>
      <c r="AJ739" s="507">
        <f>Port[[#This Row],[ECL (CNY)]]*Port[[#This Row],[CNY -&gt; THB]]</f>
        <v>9242750.5494347308</v>
      </c>
      <c r="AK739" s="507">
        <f>Port[[#This Row],[ECL_Interest (CNY)]]*Port[[#This Row],[CNY -&gt; THB]]</f>
        <v>0</v>
      </c>
      <c r="AL739" s="508">
        <f>Port[[#This Row],[EAD (THB)]]*Port[[#This Row],[PD_avg]]</f>
        <v>10269722.832705256</v>
      </c>
      <c r="AM739" s="508">
        <f>Port[[#This Row],[EAD_Interest (THB)]]*Port[[#This Row],[PD_avg]]</f>
        <v>0</v>
      </c>
      <c r="AN739" s="508">
        <f>Port[[#This Row],[EAD (THB)]]*Port[[#This Row],[LGD_avg]]</f>
        <v>708588000</v>
      </c>
      <c r="AO739" s="508">
        <f>Port[[#This Row],[EAD_Interest (THB)]]*Port[[#This Row],[LGD_avg]]</f>
        <v>0</v>
      </c>
      <c r="AP739" s="508">
        <f>Port[[#This Row],[EAD_Drawn (THB)]]+Port[[#This Row],[EAD_Interest (THB)]]</f>
        <v>787320000</v>
      </c>
      <c r="AQ73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9242750.5494347308</v>
      </c>
      <c r="AR739" s="522">
        <f>MAX(Port[[#This Row],[ECL (THB)]]+Port[[#This Row],[ECL_Interest (THB)]], Port[[#This Row],[ECL CBIRC (THB)]])</f>
        <v>9242750.5494347308</v>
      </c>
    </row>
    <row r="740" spans="1:44">
      <c r="A740" s="2"/>
      <c r="B740" s="2" t="s">
        <v>1331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21</v>
      </c>
      <c r="H740">
        <v>1</v>
      </c>
      <c r="I740" s="2" t="s">
        <v>526</v>
      </c>
      <c r="J740" s="506">
        <v>2.0514833509807026E-2</v>
      </c>
      <c r="K740" s="506">
        <v>0.9</v>
      </c>
      <c r="L740" s="3">
        <v>1</v>
      </c>
      <c r="M740" s="3">
        <v>5.2488000000000001</v>
      </c>
      <c r="N740" s="508">
        <v>50000000</v>
      </c>
      <c r="O740" s="508">
        <v>0</v>
      </c>
      <c r="P740" s="508">
        <v>50000000</v>
      </c>
      <c r="Q740" s="508">
        <v>0</v>
      </c>
      <c r="R740" s="508">
        <v>923167.50794131611</v>
      </c>
      <c r="S740" s="508">
        <v>0</v>
      </c>
      <c r="T740" s="508">
        <v>923167.50794131611</v>
      </c>
      <c r="U740" s="508">
        <v>0</v>
      </c>
      <c r="V740" s="508">
        <f>Port[[#This Row],[EAD_Drawn (CNY)]]*Port[[#This Row],[CNY -&gt; FCY]]</f>
        <v>50000000</v>
      </c>
      <c r="W740" s="508">
        <f>Port[[#This Row],[EAD_Undrawn (CNY)]]*Port[[#This Row],[CNY -&gt; FCY]]</f>
        <v>0</v>
      </c>
      <c r="X740" s="508">
        <f>Port[[#This Row],[EAD (CNY)]]*Port[[#This Row],[CNY -&gt; FCY]]</f>
        <v>50000000</v>
      </c>
      <c r="Y740" s="508">
        <f>Port[[#This Row],[EAD_Interest (CNY)]]*Port[[#This Row],[CNY -&gt; FCY]]</f>
        <v>0</v>
      </c>
      <c r="Z740" s="508">
        <f>Port[[#This Row],[ECL_Drawn (CNY)]]*Port[[#This Row],[CNY -&gt; FCY]]</f>
        <v>923167.50794131611</v>
      </c>
      <c r="AA740" s="508">
        <f>Port[[#This Row],[ECL_Undrawn (CNY)]]*Port[[#This Row],[CNY -&gt; FCY]]</f>
        <v>0</v>
      </c>
      <c r="AB740" s="508">
        <f>Port[[#This Row],[ECL (CNY)]]*Port[[#This Row],[CNY -&gt; FCY]]</f>
        <v>923167.50794131611</v>
      </c>
      <c r="AC740" s="508">
        <f>Port[[#This Row],[ECL_Interest (CNY)]]*Port[[#This Row],[CNY -&gt; FCY]]</f>
        <v>0</v>
      </c>
      <c r="AD740" s="507">
        <f>Port[[#This Row],[EAD_Drawn (CNY)]]*Port[[#This Row],[CNY -&gt; THB]]</f>
        <v>262440000</v>
      </c>
      <c r="AE740" s="507">
        <f>Port[[#This Row],[EAD_Undrawn (CNY)]]*Port[[#This Row],[CNY -&gt; THB]]</f>
        <v>0</v>
      </c>
      <c r="AF740" s="507">
        <f>Port[[#This Row],[EAD (CNY)]]*Port[[#This Row],[CNY -&gt; THB]]</f>
        <v>262440000</v>
      </c>
      <c r="AG740" s="507">
        <f>Port[[#This Row],[EAD_Interest (CNY)]]*Port[[#This Row],[CNY -&gt; THB]]</f>
        <v>0</v>
      </c>
      <c r="AH740" s="507">
        <f>Port[[#This Row],[ECL_Drawn (CNY)]]*Port[[#This Row],[CNY -&gt; THB]]</f>
        <v>4845521.6156823803</v>
      </c>
      <c r="AI740" s="507">
        <f>Port[[#This Row],[ECL_Undrawn (CNY)]]*Port[[#This Row],[CNY -&gt; THB]]</f>
        <v>0</v>
      </c>
      <c r="AJ740" s="507">
        <f>Port[[#This Row],[ECL (CNY)]]*Port[[#This Row],[CNY -&gt; THB]]</f>
        <v>4845521.6156823803</v>
      </c>
      <c r="AK740" s="507">
        <f>Port[[#This Row],[ECL_Interest (CNY)]]*Port[[#This Row],[CNY -&gt; THB]]</f>
        <v>0</v>
      </c>
      <c r="AL740" s="508">
        <f>Port[[#This Row],[EAD (THB)]]*Port[[#This Row],[PD_avg]]</f>
        <v>5383912.9063137555</v>
      </c>
      <c r="AM740" s="508">
        <f>Port[[#This Row],[EAD_Interest (THB)]]*Port[[#This Row],[PD_avg]]</f>
        <v>0</v>
      </c>
      <c r="AN740" s="508">
        <f>Port[[#This Row],[EAD (THB)]]*Port[[#This Row],[LGD_avg]]</f>
        <v>236196000</v>
      </c>
      <c r="AO740" s="508">
        <f>Port[[#This Row],[EAD_Interest (THB)]]*Port[[#This Row],[LGD_avg]]</f>
        <v>0</v>
      </c>
      <c r="AP740" s="508">
        <f>Port[[#This Row],[EAD_Drawn (THB)]]+Port[[#This Row],[EAD_Interest (THB)]]</f>
        <v>262440000</v>
      </c>
      <c r="AQ74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3936600</v>
      </c>
      <c r="AR740" s="522">
        <f>MAX(Port[[#This Row],[ECL (THB)]]+Port[[#This Row],[ECL_Interest (THB)]], Port[[#This Row],[ECL CBIRC (THB)]])</f>
        <v>4845521.6156823803</v>
      </c>
    </row>
    <row r="741" spans="1:44">
      <c r="A741" s="2"/>
      <c r="B741" s="2" t="s">
        <v>1332</v>
      </c>
      <c r="C741" s="2" t="s">
        <v>17</v>
      </c>
      <c r="D741" s="2" t="s">
        <v>30</v>
      </c>
      <c r="E741" s="2" t="s">
        <v>19</v>
      </c>
      <c r="F741" s="2" t="s">
        <v>20</v>
      </c>
      <c r="G741" s="2" t="s">
        <v>21</v>
      </c>
      <c r="H741">
        <v>1</v>
      </c>
      <c r="I741" s="2" t="s">
        <v>526</v>
      </c>
      <c r="J741" s="506">
        <v>3.0745295499522811E-2</v>
      </c>
      <c r="K741" s="506">
        <v>0.9</v>
      </c>
      <c r="L741" s="3">
        <v>1</v>
      </c>
      <c r="M741" s="3">
        <v>5.2488000000000001</v>
      </c>
      <c r="N741" s="508">
        <v>30000000</v>
      </c>
      <c r="O741" s="508">
        <v>0</v>
      </c>
      <c r="P741" s="508">
        <v>30000000</v>
      </c>
      <c r="Q741" s="508">
        <v>0</v>
      </c>
      <c r="R741" s="508">
        <v>830122.97848711582</v>
      </c>
      <c r="S741" s="508">
        <v>0</v>
      </c>
      <c r="T741" s="508">
        <v>830122.97848711582</v>
      </c>
      <c r="U741" s="508">
        <v>0</v>
      </c>
      <c r="V741" s="508">
        <f>Port[[#This Row],[EAD_Drawn (CNY)]]*Port[[#This Row],[CNY -&gt; FCY]]</f>
        <v>30000000</v>
      </c>
      <c r="W741" s="508">
        <f>Port[[#This Row],[EAD_Undrawn (CNY)]]*Port[[#This Row],[CNY -&gt; FCY]]</f>
        <v>0</v>
      </c>
      <c r="X741" s="508">
        <f>Port[[#This Row],[EAD (CNY)]]*Port[[#This Row],[CNY -&gt; FCY]]</f>
        <v>30000000</v>
      </c>
      <c r="Y741" s="508">
        <f>Port[[#This Row],[EAD_Interest (CNY)]]*Port[[#This Row],[CNY -&gt; FCY]]</f>
        <v>0</v>
      </c>
      <c r="Z741" s="508">
        <f>Port[[#This Row],[ECL_Drawn (CNY)]]*Port[[#This Row],[CNY -&gt; FCY]]</f>
        <v>830122.97848711582</v>
      </c>
      <c r="AA741" s="508">
        <f>Port[[#This Row],[ECL_Undrawn (CNY)]]*Port[[#This Row],[CNY -&gt; FCY]]</f>
        <v>0</v>
      </c>
      <c r="AB741" s="508">
        <f>Port[[#This Row],[ECL (CNY)]]*Port[[#This Row],[CNY -&gt; FCY]]</f>
        <v>830122.97848711582</v>
      </c>
      <c r="AC741" s="508">
        <f>Port[[#This Row],[ECL_Interest (CNY)]]*Port[[#This Row],[CNY -&gt; FCY]]</f>
        <v>0</v>
      </c>
      <c r="AD741" s="507">
        <f>Port[[#This Row],[EAD_Drawn (CNY)]]*Port[[#This Row],[CNY -&gt; THB]]</f>
        <v>157464000</v>
      </c>
      <c r="AE741" s="507">
        <f>Port[[#This Row],[EAD_Undrawn (CNY)]]*Port[[#This Row],[CNY -&gt; THB]]</f>
        <v>0</v>
      </c>
      <c r="AF741" s="507">
        <f>Port[[#This Row],[EAD (CNY)]]*Port[[#This Row],[CNY -&gt; THB]]</f>
        <v>157464000</v>
      </c>
      <c r="AG741" s="507">
        <f>Port[[#This Row],[EAD_Interest (CNY)]]*Port[[#This Row],[CNY -&gt; THB]]</f>
        <v>0</v>
      </c>
      <c r="AH741" s="507">
        <f>Port[[#This Row],[ECL_Drawn (CNY)]]*Port[[#This Row],[CNY -&gt; THB]]</f>
        <v>4357149.4894831739</v>
      </c>
      <c r="AI741" s="507">
        <f>Port[[#This Row],[ECL_Undrawn (CNY)]]*Port[[#This Row],[CNY -&gt; THB]]</f>
        <v>0</v>
      </c>
      <c r="AJ741" s="507">
        <f>Port[[#This Row],[ECL (CNY)]]*Port[[#This Row],[CNY -&gt; THB]]</f>
        <v>4357149.4894831739</v>
      </c>
      <c r="AK741" s="507">
        <f>Port[[#This Row],[ECL_Interest (CNY)]]*Port[[#This Row],[CNY -&gt; THB]]</f>
        <v>0</v>
      </c>
      <c r="AL741" s="508">
        <f>Port[[#This Row],[EAD (THB)]]*Port[[#This Row],[PD_avg]]</f>
        <v>4841277.2105368599</v>
      </c>
      <c r="AM741" s="508">
        <f>Port[[#This Row],[EAD_Interest (THB)]]*Port[[#This Row],[PD_avg]]</f>
        <v>0</v>
      </c>
      <c r="AN741" s="508">
        <f>Port[[#This Row],[EAD (THB)]]*Port[[#This Row],[LGD_avg]]</f>
        <v>141717600</v>
      </c>
      <c r="AO741" s="508">
        <f>Port[[#This Row],[EAD_Interest (THB)]]*Port[[#This Row],[LGD_avg]]</f>
        <v>0</v>
      </c>
      <c r="AP741" s="508">
        <f>Port[[#This Row],[EAD_Drawn (THB)]]+Port[[#This Row],[EAD_Interest (THB)]]</f>
        <v>157464000</v>
      </c>
      <c r="AQ74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2361960</v>
      </c>
      <c r="AR741" s="522">
        <f>MAX(Port[[#This Row],[ECL (THB)]]+Port[[#This Row],[ECL_Interest (THB)]], Port[[#This Row],[ECL CBIRC (THB)]])</f>
        <v>4357149.4894831739</v>
      </c>
    </row>
    <row r="742" spans="1:44">
      <c r="A742" s="2"/>
      <c r="B742" s="2" t="s">
        <v>1333</v>
      </c>
      <c r="C742" s="2" t="s">
        <v>175</v>
      </c>
      <c r="D742" s="2" t="s">
        <v>25</v>
      </c>
      <c r="E742" s="2" t="s">
        <v>172</v>
      </c>
      <c r="F742" s="2" t="s">
        <v>173</v>
      </c>
      <c r="G742" s="2" t="s">
        <v>21</v>
      </c>
      <c r="H742">
        <v>1</v>
      </c>
      <c r="I742" s="2" t="s">
        <v>526</v>
      </c>
      <c r="J742" s="506">
        <v>2.0514833509807026E-2</v>
      </c>
      <c r="K742" s="506">
        <v>0.9</v>
      </c>
      <c r="L742" s="3">
        <v>1</v>
      </c>
      <c r="M742" s="3">
        <v>5.2488000000000001</v>
      </c>
      <c r="N742" s="508">
        <v>100000000</v>
      </c>
      <c r="O742" s="508">
        <v>0</v>
      </c>
      <c r="P742" s="508">
        <v>100000000</v>
      </c>
      <c r="Q742" s="508">
        <v>0</v>
      </c>
      <c r="R742" s="508">
        <v>1846335.0158826322</v>
      </c>
      <c r="S742" s="508">
        <v>0</v>
      </c>
      <c r="T742" s="508">
        <v>1846335.0158826322</v>
      </c>
      <c r="U742" s="508">
        <v>0</v>
      </c>
      <c r="V742" s="508">
        <f>Port[[#This Row],[EAD_Drawn (CNY)]]*Port[[#This Row],[CNY -&gt; FCY]]</f>
        <v>100000000</v>
      </c>
      <c r="W742" s="508">
        <f>Port[[#This Row],[EAD_Undrawn (CNY)]]*Port[[#This Row],[CNY -&gt; FCY]]</f>
        <v>0</v>
      </c>
      <c r="X742" s="508">
        <f>Port[[#This Row],[EAD (CNY)]]*Port[[#This Row],[CNY -&gt; FCY]]</f>
        <v>100000000</v>
      </c>
      <c r="Y742" s="508">
        <f>Port[[#This Row],[EAD_Interest (CNY)]]*Port[[#This Row],[CNY -&gt; FCY]]</f>
        <v>0</v>
      </c>
      <c r="Z742" s="508">
        <f>Port[[#This Row],[ECL_Drawn (CNY)]]*Port[[#This Row],[CNY -&gt; FCY]]</f>
        <v>1846335.0158826322</v>
      </c>
      <c r="AA742" s="508">
        <f>Port[[#This Row],[ECL_Undrawn (CNY)]]*Port[[#This Row],[CNY -&gt; FCY]]</f>
        <v>0</v>
      </c>
      <c r="AB742" s="508">
        <f>Port[[#This Row],[ECL (CNY)]]*Port[[#This Row],[CNY -&gt; FCY]]</f>
        <v>1846335.0158826322</v>
      </c>
      <c r="AC742" s="508">
        <f>Port[[#This Row],[ECL_Interest (CNY)]]*Port[[#This Row],[CNY -&gt; FCY]]</f>
        <v>0</v>
      </c>
      <c r="AD742" s="507">
        <f>Port[[#This Row],[EAD_Drawn (CNY)]]*Port[[#This Row],[CNY -&gt; THB]]</f>
        <v>524880000</v>
      </c>
      <c r="AE742" s="507">
        <f>Port[[#This Row],[EAD_Undrawn (CNY)]]*Port[[#This Row],[CNY -&gt; THB]]</f>
        <v>0</v>
      </c>
      <c r="AF742" s="507">
        <f>Port[[#This Row],[EAD (CNY)]]*Port[[#This Row],[CNY -&gt; THB]]</f>
        <v>524880000</v>
      </c>
      <c r="AG742" s="507">
        <f>Port[[#This Row],[EAD_Interest (CNY)]]*Port[[#This Row],[CNY -&gt; THB]]</f>
        <v>0</v>
      </c>
      <c r="AH742" s="507">
        <f>Port[[#This Row],[ECL_Drawn (CNY)]]*Port[[#This Row],[CNY -&gt; THB]]</f>
        <v>9691043.2313647605</v>
      </c>
      <c r="AI742" s="507">
        <f>Port[[#This Row],[ECL_Undrawn (CNY)]]*Port[[#This Row],[CNY -&gt; THB]]</f>
        <v>0</v>
      </c>
      <c r="AJ742" s="507">
        <f>Port[[#This Row],[ECL (CNY)]]*Port[[#This Row],[CNY -&gt; THB]]</f>
        <v>9691043.2313647605</v>
      </c>
      <c r="AK742" s="507">
        <f>Port[[#This Row],[ECL_Interest (CNY)]]*Port[[#This Row],[CNY -&gt; THB]]</f>
        <v>0</v>
      </c>
      <c r="AL742" s="508">
        <f>Port[[#This Row],[EAD (THB)]]*Port[[#This Row],[PD_avg]]</f>
        <v>10767825.812627511</v>
      </c>
      <c r="AM742" s="508">
        <f>Port[[#This Row],[EAD_Interest (THB)]]*Port[[#This Row],[PD_avg]]</f>
        <v>0</v>
      </c>
      <c r="AN742" s="508">
        <f>Port[[#This Row],[EAD (THB)]]*Port[[#This Row],[LGD_avg]]</f>
        <v>472392000</v>
      </c>
      <c r="AO742" s="508">
        <f>Port[[#This Row],[EAD_Interest (THB)]]*Port[[#This Row],[LGD_avg]]</f>
        <v>0</v>
      </c>
      <c r="AP742" s="508">
        <f>Port[[#This Row],[EAD_Drawn (THB)]]+Port[[#This Row],[EAD_Interest (THB)]]</f>
        <v>524880000</v>
      </c>
      <c r="AQ74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9691043.2313647605</v>
      </c>
      <c r="AR742" s="522">
        <f>MAX(Port[[#This Row],[ECL (THB)]]+Port[[#This Row],[ECL_Interest (THB)]], Port[[#This Row],[ECL CBIRC (THB)]])</f>
        <v>9691043.2313647605</v>
      </c>
    </row>
    <row r="743" spans="1:44">
      <c r="A743" s="2"/>
      <c r="B743" s="2" t="s">
        <v>27</v>
      </c>
      <c r="C743" s="2" t="s">
        <v>379</v>
      </c>
      <c r="D743" s="2" t="s">
        <v>18</v>
      </c>
      <c r="E743" s="2" t="s">
        <v>19</v>
      </c>
      <c r="F743" s="2" t="s">
        <v>380</v>
      </c>
      <c r="G743" s="2" t="s">
        <v>21</v>
      </c>
      <c r="H743">
        <v>1</v>
      </c>
      <c r="I743" s="2" t="s">
        <v>526</v>
      </c>
      <c r="J743" s="506">
        <v>2.0514833509807026E-2</v>
      </c>
      <c r="K743" s="506">
        <v>0.9</v>
      </c>
      <c r="L743" s="3">
        <v>1</v>
      </c>
      <c r="M743" s="3">
        <v>5.2488000000000001</v>
      </c>
      <c r="N743" s="508">
        <v>17000000</v>
      </c>
      <c r="O743" s="508">
        <v>0</v>
      </c>
      <c r="P743" s="508">
        <v>17000000</v>
      </c>
      <c r="Q743" s="508">
        <v>0</v>
      </c>
      <c r="R743" s="508">
        <v>44200</v>
      </c>
      <c r="S743" s="508">
        <v>0</v>
      </c>
      <c r="T743" s="508">
        <v>44200</v>
      </c>
      <c r="U743" s="508">
        <v>0</v>
      </c>
      <c r="V743" s="508">
        <f>Port[[#This Row],[EAD_Drawn (CNY)]]*Port[[#This Row],[CNY -&gt; FCY]]</f>
        <v>17000000</v>
      </c>
      <c r="W743" s="508">
        <f>Port[[#This Row],[EAD_Undrawn (CNY)]]*Port[[#This Row],[CNY -&gt; FCY]]</f>
        <v>0</v>
      </c>
      <c r="X743" s="508">
        <f>Port[[#This Row],[EAD (CNY)]]*Port[[#This Row],[CNY -&gt; FCY]]</f>
        <v>17000000</v>
      </c>
      <c r="Y743" s="508">
        <f>Port[[#This Row],[EAD_Interest (CNY)]]*Port[[#This Row],[CNY -&gt; FCY]]</f>
        <v>0</v>
      </c>
      <c r="Z743" s="508">
        <f>Port[[#This Row],[ECL_Drawn (CNY)]]*Port[[#This Row],[CNY -&gt; FCY]]</f>
        <v>44200</v>
      </c>
      <c r="AA743" s="508">
        <f>Port[[#This Row],[ECL_Undrawn (CNY)]]*Port[[#This Row],[CNY -&gt; FCY]]</f>
        <v>0</v>
      </c>
      <c r="AB743" s="508">
        <f>Port[[#This Row],[ECL (CNY)]]*Port[[#This Row],[CNY -&gt; FCY]]</f>
        <v>44200</v>
      </c>
      <c r="AC743" s="508">
        <f>Port[[#This Row],[ECL_Interest (CNY)]]*Port[[#This Row],[CNY -&gt; FCY]]</f>
        <v>0</v>
      </c>
      <c r="AD743" s="507">
        <f>Port[[#This Row],[EAD_Drawn (CNY)]]*Port[[#This Row],[CNY -&gt; THB]]</f>
        <v>89229600</v>
      </c>
      <c r="AE743" s="507">
        <f>Port[[#This Row],[EAD_Undrawn (CNY)]]*Port[[#This Row],[CNY -&gt; THB]]</f>
        <v>0</v>
      </c>
      <c r="AF743" s="507">
        <f>Port[[#This Row],[EAD (CNY)]]*Port[[#This Row],[CNY -&gt; THB]]</f>
        <v>89229600</v>
      </c>
      <c r="AG743" s="507">
        <f>Port[[#This Row],[EAD_Interest (CNY)]]*Port[[#This Row],[CNY -&gt; THB]]</f>
        <v>0</v>
      </c>
      <c r="AH743" s="507">
        <f>Port[[#This Row],[ECL_Drawn (CNY)]]*Port[[#This Row],[CNY -&gt; THB]]</f>
        <v>231996.96</v>
      </c>
      <c r="AI743" s="507">
        <f>Port[[#This Row],[ECL_Undrawn (CNY)]]*Port[[#This Row],[CNY -&gt; THB]]</f>
        <v>0</v>
      </c>
      <c r="AJ743" s="507">
        <f>Port[[#This Row],[ECL (CNY)]]*Port[[#This Row],[CNY -&gt; THB]]</f>
        <v>231996.96</v>
      </c>
      <c r="AK743" s="507">
        <f>Port[[#This Row],[ECL_Interest (CNY)]]*Port[[#This Row],[CNY -&gt; THB]]</f>
        <v>0</v>
      </c>
      <c r="AL743" s="508">
        <f>Port[[#This Row],[EAD (THB)]]*Port[[#This Row],[PD_avg]]</f>
        <v>1830530.3881466771</v>
      </c>
      <c r="AM743" s="508">
        <f>Port[[#This Row],[EAD_Interest (THB)]]*Port[[#This Row],[PD_avg]]</f>
        <v>0</v>
      </c>
      <c r="AN743" s="508">
        <f>Port[[#This Row],[EAD (THB)]]*Port[[#This Row],[LGD_avg]]</f>
        <v>80306640</v>
      </c>
      <c r="AO743" s="508">
        <f>Port[[#This Row],[EAD_Interest (THB)]]*Port[[#This Row],[LGD_avg]]</f>
        <v>0</v>
      </c>
      <c r="AP743" s="508">
        <f>Port[[#This Row],[EAD_Drawn (THB)]]+Port[[#This Row],[EAD_Interest (THB)]]</f>
        <v>89229600</v>
      </c>
      <c r="AQ74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231996.96</v>
      </c>
      <c r="AR743" s="522">
        <f>MAX(Port[[#This Row],[ECL (THB)]]+Port[[#This Row],[ECL_Interest (THB)]], Port[[#This Row],[ECL CBIRC (THB)]])</f>
        <v>231996.96</v>
      </c>
    </row>
    <row r="744" spans="1:44">
      <c r="A744" s="2" t="s">
        <v>717</v>
      </c>
      <c r="B744" s="2" t="s">
        <v>717</v>
      </c>
      <c r="C744" s="2" t="s">
        <v>674</v>
      </c>
      <c r="D744" s="2" t="s">
        <v>718</v>
      </c>
      <c r="E744" s="2" t="s">
        <v>613</v>
      </c>
      <c r="F744" s="2" t="s">
        <v>20</v>
      </c>
      <c r="G744" s="2" t="s">
        <v>21</v>
      </c>
      <c r="H744">
        <v>1</v>
      </c>
      <c r="I744" s="2" t="s">
        <v>526</v>
      </c>
      <c r="J744" s="506">
        <v>2.0514833509807026E-2</v>
      </c>
      <c r="K744" s="506">
        <v>0.85</v>
      </c>
      <c r="L744" s="3">
        <v>1</v>
      </c>
      <c r="M744" s="3">
        <v>5.2488000000000001</v>
      </c>
      <c r="N744" s="508">
        <v>63982204.670000106</v>
      </c>
      <c r="O744" s="508">
        <v>0</v>
      </c>
      <c r="P744" s="508">
        <v>63982204.670000106</v>
      </c>
      <c r="Q744" s="508">
        <v>354015.43000000145</v>
      </c>
      <c r="R744" s="508">
        <v>1115696.6349361322</v>
      </c>
      <c r="S744" s="508">
        <v>0</v>
      </c>
      <c r="T744" s="508">
        <v>1115696.6349361322</v>
      </c>
      <c r="U744" s="508">
        <v>6173.1824653998583</v>
      </c>
      <c r="V744" s="508">
        <f>Port[[#This Row],[EAD_Drawn (CNY)]]*Port[[#This Row],[CNY -&gt; FCY]]</f>
        <v>63982204.670000106</v>
      </c>
      <c r="W744" s="508">
        <f>Port[[#This Row],[EAD_Undrawn (CNY)]]*Port[[#This Row],[CNY -&gt; FCY]]</f>
        <v>0</v>
      </c>
      <c r="X744" s="508">
        <f>Port[[#This Row],[EAD (CNY)]]*Port[[#This Row],[CNY -&gt; FCY]]</f>
        <v>63982204.670000106</v>
      </c>
      <c r="Y744" s="508">
        <f>Port[[#This Row],[EAD_Interest (CNY)]]*Port[[#This Row],[CNY -&gt; FCY]]</f>
        <v>354015.43000000145</v>
      </c>
      <c r="Z744" s="508">
        <f>Port[[#This Row],[ECL_Drawn (CNY)]]*Port[[#This Row],[CNY -&gt; FCY]]</f>
        <v>1115696.6349361322</v>
      </c>
      <c r="AA744" s="508">
        <f>Port[[#This Row],[ECL_Undrawn (CNY)]]*Port[[#This Row],[CNY -&gt; FCY]]</f>
        <v>0</v>
      </c>
      <c r="AB744" s="508">
        <f>Port[[#This Row],[ECL (CNY)]]*Port[[#This Row],[CNY -&gt; FCY]]</f>
        <v>1115696.6349361322</v>
      </c>
      <c r="AC744" s="508">
        <f>Port[[#This Row],[ECL_Interest (CNY)]]*Port[[#This Row],[CNY -&gt; FCY]]</f>
        <v>6173.1824653998583</v>
      </c>
      <c r="AD744" s="507">
        <f>Port[[#This Row],[EAD_Drawn (CNY)]]*Port[[#This Row],[CNY -&gt; THB]]</f>
        <v>335829795.87189656</v>
      </c>
      <c r="AE744" s="507">
        <f>Port[[#This Row],[EAD_Undrawn (CNY)]]*Port[[#This Row],[CNY -&gt; THB]]</f>
        <v>0</v>
      </c>
      <c r="AF744" s="507">
        <f>Port[[#This Row],[EAD (CNY)]]*Port[[#This Row],[CNY -&gt; THB]]</f>
        <v>335829795.87189656</v>
      </c>
      <c r="AG744" s="507">
        <f>Port[[#This Row],[EAD_Interest (CNY)]]*Port[[#This Row],[CNY -&gt; THB]]</f>
        <v>1858156.1889840076</v>
      </c>
      <c r="AH744" s="507">
        <f>Port[[#This Row],[ECL_Drawn (CNY)]]*Port[[#This Row],[CNY -&gt; THB]]</f>
        <v>5856068.4974527713</v>
      </c>
      <c r="AI744" s="507">
        <f>Port[[#This Row],[ECL_Undrawn (CNY)]]*Port[[#This Row],[CNY -&gt; THB]]</f>
        <v>0</v>
      </c>
      <c r="AJ744" s="507">
        <f>Port[[#This Row],[ECL (CNY)]]*Port[[#This Row],[CNY -&gt; THB]]</f>
        <v>5856068.4974527713</v>
      </c>
      <c r="AK744" s="507">
        <f>Port[[#This Row],[ECL_Interest (CNY)]]*Port[[#This Row],[CNY -&gt; THB]]</f>
        <v>32401.800124390778</v>
      </c>
      <c r="AL744" s="508">
        <f>Port[[#This Row],[EAD (THB)]]*Port[[#This Row],[PD_avg]]</f>
        <v>6889492.3499444369</v>
      </c>
      <c r="AM744" s="508">
        <f>Port[[#This Row],[EAD_Interest (THB)]]*Port[[#This Row],[PD_avg]]</f>
        <v>38119.764852224434</v>
      </c>
      <c r="AN744" s="508">
        <f>Port[[#This Row],[EAD (THB)]]*Port[[#This Row],[LGD_avg]]</f>
        <v>285455326.49111205</v>
      </c>
      <c r="AO744" s="508">
        <f>Port[[#This Row],[EAD_Interest (THB)]]*Port[[#This Row],[LGD_avg]]</f>
        <v>1579432.7606364065</v>
      </c>
      <c r="AP744" s="508">
        <f>Port[[#This Row],[EAD_Drawn (THB)]]+Port[[#This Row],[EAD_Interest (THB)]]</f>
        <v>337687952.0608806</v>
      </c>
      <c r="AQ74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33582979.587189659</v>
      </c>
      <c r="AR744" s="522">
        <f>MAX(Port[[#This Row],[ECL (THB)]]+Port[[#This Row],[ECL_Interest (THB)]], Port[[#This Row],[ECL CBIRC (THB)]])</f>
        <v>33582979.587189659</v>
      </c>
    </row>
    <row r="745" spans="1:44">
      <c r="A745" s="2" t="s">
        <v>719</v>
      </c>
      <c r="B745" s="2" t="s">
        <v>719</v>
      </c>
      <c r="C745" s="2" t="s">
        <v>674</v>
      </c>
      <c r="D745" s="2" t="s">
        <v>718</v>
      </c>
      <c r="E745" s="2" t="s">
        <v>613</v>
      </c>
      <c r="F745" s="2" t="s">
        <v>20</v>
      </c>
      <c r="G745" s="2" t="s">
        <v>21</v>
      </c>
      <c r="H745">
        <v>2</v>
      </c>
      <c r="I745" s="2" t="s">
        <v>740</v>
      </c>
      <c r="J745" s="506">
        <v>5.9199940720130524E-2</v>
      </c>
      <c r="K745" s="506">
        <v>0.84999999999999987</v>
      </c>
      <c r="L745" s="3">
        <v>1</v>
      </c>
      <c r="M745" s="3">
        <v>5.2488000000000001</v>
      </c>
      <c r="N745" s="508">
        <v>381821.14</v>
      </c>
      <c r="O745" s="508">
        <v>0</v>
      </c>
      <c r="P745" s="508">
        <v>381821.14</v>
      </c>
      <c r="Q745" s="508">
        <v>9427.9600000000009</v>
      </c>
      <c r="R745" s="508">
        <v>19213.220525638757</v>
      </c>
      <c r="S745" s="508">
        <v>0</v>
      </c>
      <c r="T745" s="508">
        <v>19213.220525638757</v>
      </c>
      <c r="U745" s="508">
        <v>474.41447214499749</v>
      </c>
      <c r="V745" s="508">
        <f>Port[[#This Row],[EAD_Drawn (CNY)]]*Port[[#This Row],[CNY -&gt; FCY]]</f>
        <v>381821.14</v>
      </c>
      <c r="W745" s="508">
        <f>Port[[#This Row],[EAD_Undrawn (CNY)]]*Port[[#This Row],[CNY -&gt; FCY]]</f>
        <v>0</v>
      </c>
      <c r="X745" s="508">
        <f>Port[[#This Row],[EAD (CNY)]]*Port[[#This Row],[CNY -&gt; FCY]]</f>
        <v>381821.14</v>
      </c>
      <c r="Y745" s="508">
        <f>Port[[#This Row],[EAD_Interest (CNY)]]*Port[[#This Row],[CNY -&gt; FCY]]</f>
        <v>9427.9600000000009</v>
      </c>
      <c r="Z745" s="508">
        <f>Port[[#This Row],[ECL_Drawn (CNY)]]*Port[[#This Row],[CNY -&gt; FCY]]</f>
        <v>19213.220525638757</v>
      </c>
      <c r="AA745" s="508">
        <f>Port[[#This Row],[ECL_Undrawn (CNY)]]*Port[[#This Row],[CNY -&gt; FCY]]</f>
        <v>0</v>
      </c>
      <c r="AB745" s="508">
        <f>Port[[#This Row],[ECL (CNY)]]*Port[[#This Row],[CNY -&gt; FCY]]</f>
        <v>19213.220525638757</v>
      </c>
      <c r="AC745" s="508">
        <f>Port[[#This Row],[ECL_Interest (CNY)]]*Port[[#This Row],[CNY -&gt; FCY]]</f>
        <v>474.41447214499749</v>
      </c>
      <c r="AD745" s="507">
        <f>Port[[#This Row],[EAD_Drawn (CNY)]]*Port[[#This Row],[CNY -&gt; THB]]</f>
        <v>2004102.799632</v>
      </c>
      <c r="AE745" s="507">
        <f>Port[[#This Row],[EAD_Undrawn (CNY)]]*Port[[#This Row],[CNY -&gt; THB]]</f>
        <v>0</v>
      </c>
      <c r="AF745" s="507">
        <f>Port[[#This Row],[EAD (CNY)]]*Port[[#This Row],[CNY -&gt; THB]]</f>
        <v>2004102.799632</v>
      </c>
      <c r="AG745" s="507">
        <f>Port[[#This Row],[EAD_Interest (CNY)]]*Port[[#This Row],[CNY -&gt; THB]]</f>
        <v>49485.476448000009</v>
      </c>
      <c r="AH745" s="507">
        <f>Port[[#This Row],[ECL_Drawn (CNY)]]*Port[[#This Row],[CNY -&gt; THB]]</f>
        <v>100846.35189497271</v>
      </c>
      <c r="AI745" s="507">
        <f>Port[[#This Row],[ECL_Undrawn (CNY)]]*Port[[#This Row],[CNY -&gt; THB]]</f>
        <v>0</v>
      </c>
      <c r="AJ745" s="507">
        <f>Port[[#This Row],[ECL (CNY)]]*Port[[#This Row],[CNY -&gt; THB]]</f>
        <v>100846.35189497271</v>
      </c>
      <c r="AK745" s="507">
        <f>Port[[#This Row],[ECL_Interest (CNY)]]*Port[[#This Row],[CNY -&gt; THB]]</f>
        <v>2490.1066813946627</v>
      </c>
      <c r="AL745" s="508">
        <f>Port[[#This Row],[EAD (THB)]]*Port[[#This Row],[PD_avg]]</f>
        <v>118642.76693526203</v>
      </c>
      <c r="AM745" s="508">
        <f>Port[[#This Row],[EAD_Interest (THB)]]*Port[[#This Row],[PD_avg]]</f>
        <v>2929.5372722290158</v>
      </c>
      <c r="AN745" s="508">
        <f>Port[[#This Row],[EAD (THB)]]*Port[[#This Row],[LGD_avg]]</f>
        <v>1703487.3796871998</v>
      </c>
      <c r="AO745" s="508">
        <f>Port[[#This Row],[EAD_Interest (THB)]]*Port[[#This Row],[LGD_avg]]</f>
        <v>42062.654980799998</v>
      </c>
      <c r="AP745" s="508">
        <f>Port[[#This Row],[EAD_Drawn (THB)]]+Port[[#This Row],[EAD_Interest (THB)]]</f>
        <v>2053588.27608</v>
      </c>
      <c r="AQ74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240492.33595584001</v>
      </c>
      <c r="AR745" s="522">
        <f>MAX(Port[[#This Row],[ECL (THB)]]+Port[[#This Row],[ECL_Interest (THB)]], Port[[#This Row],[ECL CBIRC (THB)]])</f>
        <v>240492.33595584001</v>
      </c>
    </row>
    <row r="746" spans="1:44">
      <c r="A746" s="2" t="s">
        <v>720</v>
      </c>
      <c r="B746" s="2" t="s">
        <v>720</v>
      </c>
      <c r="C746" s="2" t="s">
        <v>674</v>
      </c>
      <c r="D746" s="2" t="s">
        <v>718</v>
      </c>
      <c r="E746" s="2" t="s">
        <v>616</v>
      </c>
      <c r="F746" s="2" t="s">
        <v>20</v>
      </c>
      <c r="G746" s="2" t="s">
        <v>21</v>
      </c>
      <c r="H746">
        <v>1</v>
      </c>
      <c r="I746" s="2" t="s">
        <v>526</v>
      </c>
      <c r="J746" s="506">
        <v>2.051483350980703E-2</v>
      </c>
      <c r="K746" s="506">
        <v>0.84999999999999987</v>
      </c>
      <c r="L746" s="3">
        <v>1</v>
      </c>
      <c r="M746" s="3">
        <v>5.2488000000000001</v>
      </c>
      <c r="N746" s="508">
        <v>80763945.049999803</v>
      </c>
      <c r="O746" s="508">
        <v>0</v>
      </c>
      <c r="P746" s="508">
        <v>80763945.049999803</v>
      </c>
      <c r="Q746" s="508">
        <v>362721.28000000049</v>
      </c>
      <c r="R746" s="508">
        <v>1408330.0533515569</v>
      </c>
      <c r="S746" s="508">
        <v>0</v>
      </c>
      <c r="T746" s="508">
        <v>1408330.0533515569</v>
      </c>
      <c r="U746" s="508">
        <v>6324.9916692144916</v>
      </c>
      <c r="V746" s="508">
        <f>Port[[#This Row],[EAD_Drawn (CNY)]]*Port[[#This Row],[CNY -&gt; FCY]]</f>
        <v>80763945.049999803</v>
      </c>
      <c r="W746" s="508">
        <f>Port[[#This Row],[EAD_Undrawn (CNY)]]*Port[[#This Row],[CNY -&gt; FCY]]</f>
        <v>0</v>
      </c>
      <c r="X746" s="508">
        <f>Port[[#This Row],[EAD (CNY)]]*Port[[#This Row],[CNY -&gt; FCY]]</f>
        <v>80763945.049999803</v>
      </c>
      <c r="Y746" s="508">
        <f>Port[[#This Row],[EAD_Interest (CNY)]]*Port[[#This Row],[CNY -&gt; FCY]]</f>
        <v>362721.28000000049</v>
      </c>
      <c r="Z746" s="508">
        <f>Port[[#This Row],[ECL_Drawn (CNY)]]*Port[[#This Row],[CNY -&gt; FCY]]</f>
        <v>1408330.0533515569</v>
      </c>
      <c r="AA746" s="508">
        <f>Port[[#This Row],[ECL_Undrawn (CNY)]]*Port[[#This Row],[CNY -&gt; FCY]]</f>
        <v>0</v>
      </c>
      <c r="AB746" s="508">
        <f>Port[[#This Row],[ECL (CNY)]]*Port[[#This Row],[CNY -&gt; FCY]]</f>
        <v>1408330.0533515569</v>
      </c>
      <c r="AC746" s="508">
        <f>Port[[#This Row],[ECL_Interest (CNY)]]*Port[[#This Row],[CNY -&gt; FCY]]</f>
        <v>6324.9916692144916</v>
      </c>
      <c r="AD746" s="507">
        <f>Port[[#This Row],[EAD_Drawn (CNY)]]*Port[[#This Row],[CNY -&gt; THB]]</f>
        <v>423913794.77843899</v>
      </c>
      <c r="AE746" s="507">
        <f>Port[[#This Row],[EAD_Undrawn (CNY)]]*Port[[#This Row],[CNY -&gt; THB]]</f>
        <v>0</v>
      </c>
      <c r="AF746" s="507">
        <f>Port[[#This Row],[EAD (CNY)]]*Port[[#This Row],[CNY -&gt; THB]]</f>
        <v>423913794.77843899</v>
      </c>
      <c r="AG746" s="507">
        <f>Port[[#This Row],[EAD_Interest (CNY)]]*Port[[#This Row],[CNY -&gt; THB]]</f>
        <v>1903851.4544640027</v>
      </c>
      <c r="AH746" s="507">
        <f>Port[[#This Row],[ECL_Drawn (CNY)]]*Port[[#This Row],[CNY -&gt; THB]]</f>
        <v>7392042.7840316519</v>
      </c>
      <c r="AI746" s="507">
        <f>Port[[#This Row],[ECL_Undrawn (CNY)]]*Port[[#This Row],[CNY -&gt; THB]]</f>
        <v>0</v>
      </c>
      <c r="AJ746" s="507">
        <f>Port[[#This Row],[ECL (CNY)]]*Port[[#This Row],[CNY -&gt; THB]]</f>
        <v>7392042.7840316519</v>
      </c>
      <c r="AK746" s="507">
        <f>Port[[#This Row],[ECL_Interest (CNY)]]*Port[[#This Row],[CNY -&gt; THB]]</f>
        <v>33198.616273373023</v>
      </c>
      <c r="AL746" s="508">
        <f>Port[[#This Row],[EAD (THB)]]*Port[[#This Row],[PD_avg]]</f>
        <v>8696520.9223901797</v>
      </c>
      <c r="AM746" s="508">
        <f>Port[[#This Row],[EAD_Interest (THB)]]*Port[[#This Row],[PD_avg]]</f>
        <v>39057.195615732977</v>
      </c>
      <c r="AN746" s="508">
        <f>Port[[#This Row],[EAD (THB)]]*Port[[#This Row],[LGD_avg]]</f>
        <v>360326725.5616731</v>
      </c>
      <c r="AO746" s="508">
        <f>Port[[#This Row],[EAD_Interest (THB)]]*Port[[#This Row],[LGD_avg]]</f>
        <v>1618273.736294402</v>
      </c>
      <c r="AP746" s="508">
        <f>Port[[#This Row],[EAD_Drawn (THB)]]+Port[[#This Row],[EAD_Interest (THB)]]</f>
        <v>425817646.232903</v>
      </c>
      <c r="AQ74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42391379.477843903</v>
      </c>
      <c r="AR746" s="522">
        <f>MAX(Port[[#This Row],[ECL (THB)]]+Port[[#This Row],[ECL_Interest (THB)]], Port[[#This Row],[ECL CBIRC (THB)]])</f>
        <v>42391379.477843903</v>
      </c>
    </row>
    <row r="747" spans="1:44">
      <c r="A747" s="2" t="s">
        <v>721</v>
      </c>
      <c r="B747" s="2" t="s">
        <v>721</v>
      </c>
      <c r="C747" s="2" t="s">
        <v>674</v>
      </c>
      <c r="D747" s="2" t="s">
        <v>718</v>
      </c>
      <c r="E747" s="2" t="s">
        <v>616</v>
      </c>
      <c r="F747" s="2" t="s">
        <v>20</v>
      </c>
      <c r="G747" s="2" t="s">
        <v>21</v>
      </c>
      <c r="H747">
        <v>2</v>
      </c>
      <c r="I747" s="2" t="s">
        <v>740</v>
      </c>
      <c r="J747" s="506">
        <v>5.9199940720130524E-2</v>
      </c>
      <c r="K747" s="506">
        <v>0.85000000000000009</v>
      </c>
      <c r="L747" s="3">
        <v>1</v>
      </c>
      <c r="M747" s="3">
        <v>5.2488000000000001</v>
      </c>
      <c r="N747" s="508">
        <v>5587273.7200000007</v>
      </c>
      <c r="O747" s="508">
        <v>0</v>
      </c>
      <c r="P747" s="508">
        <v>5587273.7200000007</v>
      </c>
      <c r="Q747" s="508">
        <v>125049.97000000003</v>
      </c>
      <c r="R747" s="508">
        <v>281151.33205947169</v>
      </c>
      <c r="S747" s="508">
        <v>0</v>
      </c>
      <c r="T747" s="508">
        <v>281151.33205947169</v>
      </c>
      <c r="U747" s="508">
        <v>6292.5081893959859</v>
      </c>
      <c r="V747" s="508">
        <f>Port[[#This Row],[EAD_Drawn (CNY)]]*Port[[#This Row],[CNY -&gt; FCY]]</f>
        <v>5587273.7200000007</v>
      </c>
      <c r="W747" s="508">
        <f>Port[[#This Row],[EAD_Undrawn (CNY)]]*Port[[#This Row],[CNY -&gt; FCY]]</f>
        <v>0</v>
      </c>
      <c r="X747" s="508">
        <f>Port[[#This Row],[EAD (CNY)]]*Port[[#This Row],[CNY -&gt; FCY]]</f>
        <v>5587273.7200000007</v>
      </c>
      <c r="Y747" s="508">
        <f>Port[[#This Row],[EAD_Interest (CNY)]]*Port[[#This Row],[CNY -&gt; FCY]]</f>
        <v>125049.97000000003</v>
      </c>
      <c r="Z747" s="508">
        <f>Port[[#This Row],[ECL_Drawn (CNY)]]*Port[[#This Row],[CNY -&gt; FCY]]</f>
        <v>281151.33205947169</v>
      </c>
      <c r="AA747" s="508">
        <f>Port[[#This Row],[ECL_Undrawn (CNY)]]*Port[[#This Row],[CNY -&gt; FCY]]</f>
        <v>0</v>
      </c>
      <c r="AB747" s="508">
        <f>Port[[#This Row],[ECL (CNY)]]*Port[[#This Row],[CNY -&gt; FCY]]</f>
        <v>281151.33205947169</v>
      </c>
      <c r="AC747" s="508">
        <f>Port[[#This Row],[ECL_Interest (CNY)]]*Port[[#This Row],[CNY -&gt; FCY]]</f>
        <v>6292.5081893959859</v>
      </c>
      <c r="AD747" s="507">
        <f>Port[[#This Row],[EAD_Drawn (CNY)]]*Port[[#This Row],[CNY -&gt; THB]]</f>
        <v>29326482.301536005</v>
      </c>
      <c r="AE747" s="507">
        <f>Port[[#This Row],[EAD_Undrawn (CNY)]]*Port[[#This Row],[CNY -&gt; THB]]</f>
        <v>0</v>
      </c>
      <c r="AF747" s="507">
        <f>Port[[#This Row],[EAD (CNY)]]*Port[[#This Row],[CNY -&gt; THB]]</f>
        <v>29326482.301536005</v>
      </c>
      <c r="AG747" s="507">
        <f>Port[[#This Row],[EAD_Interest (CNY)]]*Port[[#This Row],[CNY -&gt; THB]]</f>
        <v>656362.28253600013</v>
      </c>
      <c r="AH747" s="507">
        <f>Port[[#This Row],[ECL_Drawn (CNY)]]*Port[[#This Row],[CNY -&gt; THB]]</f>
        <v>1475707.1117137552</v>
      </c>
      <c r="AI747" s="507">
        <f>Port[[#This Row],[ECL_Undrawn (CNY)]]*Port[[#This Row],[CNY -&gt; THB]]</f>
        <v>0</v>
      </c>
      <c r="AJ747" s="507">
        <f>Port[[#This Row],[ECL (CNY)]]*Port[[#This Row],[CNY -&gt; THB]]</f>
        <v>1475707.1117137552</v>
      </c>
      <c r="AK747" s="507">
        <f>Port[[#This Row],[ECL_Interest (CNY)]]*Port[[#This Row],[CNY -&gt; THB]]</f>
        <v>33028.116984501648</v>
      </c>
      <c r="AL747" s="508">
        <f>Port[[#This Row],[EAD (THB)]]*Port[[#This Row],[PD_avg]]</f>
        <v>1736126.0137808884</v>
      </c>
      <c r="AM747" s="508">
        <f>Port[[#This Row],[EAD_Interest (THB)]]*Port[[#This Row],[PD_avg]]</f>
        <v>38856.60821706077</v>
      </c>
      <c r="AN747" s="508">
        <f>Port[[#This Row],[EAD (THB)]]*Port[[#This Row],[LGD_avg]]</f>
        <v>24927509.956305608</v>
      </c>
      <c r="AO747" s="508">
        <f>Port[[#This Row],[EAD_Interest (THB)]]*Port[[#This Row],[LGD_avg]]</f>
        <v>557907.9401556002</v>
      </c>
      <c r="AP747" s="508">
        <f>Port[[#This Row],[EAD_Drawn (THB)]]+Port[[#This Row],[EAD_Interest (THB)]]</f>
        <v>29982844.584072005</v>
      </c>
      <c r="AQ74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3519177.876184321</v>
      </c>
      <c r="AR747" s="522">
        <f>MAX(Port[[#This Row],[ECL (THB)]]+Port[[#This Row],[ECL_Interest (THB)]], Port[[#This Row],[ECL CBIRC (THB)]])</f>
        <v>3519177.876184321</v>
      </c>
    </row>
    <row r="748" spans="1:44">
      <c r="A748" s="2" t="s">
        <v>722</v>
      </c>
      <c r="B748" s="2" t="s">
        <v>722</v>
      </c>
      <c r="C748" s="2" t="s">
        <v>674</v>
      </c>
      <c r="D748" s="2" t="s">
        <v>718</v>
      </c>
      <c r="E748" s="2" t="s">
        <v>613</v>
      </c>
      <c r="F748" s="2" t="s">
        <v>20</v>
      </c>
      <c r="G748" s="2" t="s">
        <v>21</v>
      </c>
      <c r="H748">
        <v>1</v>
      </c>
      <c r="I748" s="2" t="s">
        <v>526</v>
      </c>
      <c r="J748" s="506">
        <v>4.0581660582814552E-2</v>
      </c>
      <c r="K748" s="506">
        <v>0.85</v>
      </c>
      <c r="L748" s="3">
        <v>1</v>
      </c>
      <c r="M748" s="3">
        <v>5.2488000000000001</v>
      </c>
      <c r="N748" s="508">
        <v>14665191.229999982</v>
      </c>
      <c r="O748" s="508">
        <v>0</v>
      </c>
      <c r="P748" s="508">
        <v>14665191.229999982</v>
      </c>
      <c r="Q748" s="508">
        <v>83916.980000000112</v>
      </c>
      <c r="R748" s="508">
        <v>505867.14094623871</v>
      </c>
      <c r="S748" s="508">
        <v>0</v>
      </c>
      <c r="T748" s="508">
        <v>505867.14094623871</v>
      </c>
      <c r="U748" s="508">
        <v>2894.6668395706156</v>
      </c>
      <c r="V748" s="508">
        <f>Port[[#This Row],[EAD_Drawn (CNY)]]*Port[[#This Row],[CNY -&gt; FCY]]</f>
        <v>14665191.229999982</v>
      </c>
      <c r="W748" s="508">
        <f>Port[[#This Row],[EAD_Undrawn (CNY)]]*Port[[#This Row],[CNY -&gt; FCY]]</f>
        <v>0</v>
      </c>
      <c r="X748" s="508">
        <f>Port[[#This Row],[EAD (CNY)]]*Port[[#This Row],[CNY -&gt; FCY]]</f>
        <v>14665191.229999982</v>
      </c>
      <c r="Y748" s="508">
        <f>Port[[#This Row],[EAD_Interest (CNY)]]*Port[[#This Row],[CNY -&gt; FCY]]</f>
        <v>83916.980000000112</v>
      </c>
      <c r="Z748" s="508">
        <f>Port[[#This Row],[ECL_Drawn (CNY)]]*Port[[#This Row],[CNY -&gt; FCY]]</f>
        <v>505867.14094623871</v>
      </c>
      <c r="AA748" s="508">
        <f>Port[[#This Row],[ECL_Undrawn (CNY)]]*Port[[#This Row],[CNY -&gt; FCY]]</f>
        <v>0</v>
      </c>
      <c r="AB748" s="508">
        <f>Port[[#This Row],[ECL (CNY)]]*Port[[#This Row],[CNY -&gt; FCY]]</f>
        <v>505867.14094623871</v>
      </c>
      <c r="AC748" s="508">
        <f>Port[[#This Row],[ECL_Interest (CNY)]]*Port[[#This Row],[CNY -&gt; FCY]]</f>
        <v>2894.6668395706156</v>
      </c>
      <c r="AD748" s="507">
        <f>Port[[#This Row],[EAD_Drawn (CNY)]]*Port[[#This Row],[CNY -&gt; THB]]</f>
        <v>76974655.728023902</v>
      </c>
      <c r="AE748" s="507">
        <f>Port[[#This Row],[EAD_Undrawn (CNY)]]*Port[[#This Row],[CNY -&gt; THB]]</f>
        <v>0</v>
      </c>
      <c r="AF748" s="507">
        <f>Port[[#This Row],[EAD (CNY)]]*Port[[#This Row],[CNY -&gt; THB]]</f>
        <v>76974655.728023902</v>
      </c>
      <c r="AG748" s="507">
        <f>Port[[#This Row],[EAD_Interest (CNY)]]*Port[[#This Row],[CNY -&gt; THB]]</f>
        <v>440463.44462400058</v>
      </c>
      <c r="AH748" s="507">
        <f>Port[[#This Row],[ECL_Drawn (CNY)]]*Port[[#This Row],[CNY -&gt; THB]]</f>
        <v>2655195.4493986177</v>
      </c>
      <c r="AI748" s="507">
        <f>Port[[#This Row],[ECL_Undrawn (CNY)]]*Port[[#This Row],[CNY -&gt; THB]]</f>
        <v>0</v>
      </c>
      <c r="AJ748" s="507">
        <f>Port[[#This Row],[ECL (CNY)]]*Port[[#This Row],[CNY -&gt; THB]]</f>
        <v>2655195.4493986177</v>
      </c>
      <c r="AK748" s="507">
        <f>Port[[#This Row],[ECL_Interest (CNY)]]*Port[[#This Row],[CNY -&gt; THB]]</f>
        <v>15193.527307538248</v>
      </c>
      <c r="AL748" s="508">
        <f>Port[[#This Row],[EAD (THB)]]*Port[[#This Row],[PD_avg]]</f>
        <v>3123759.3522336679</v>
      </c>
      <c r="AM748" s="508">
        <f>Port[[#This Row],[EAD_Interest (THB)]]*Port[[#This Row],[PD_avg]]</f>
        <v>17874.738008868524</v>
      </c>
      <c r="AN748" s="508">
        <f>Port[[#This Row],[EAD (THB)]]*Port[[#This Row],[LGD_avg]]</f>
        <v>65428457.368820317</v>
      </c>
      <c r="AO748" s="508">
        <f>Port[[#This Row],[EAD_Interest (THB)]]*Port[[#This Row],[LGD_avg]]</f>
        <v>374393.92793040047</v>
      </c>
      <c r="AP748" s="508">
        <f>Port[[#This Row],[EAD_Drawn (THB)]]+Port[[#This Row],[EAD_Interest (THB)]]</f>
        <v>77415119.172647908</v>
      </c>
      <c r="AQ74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7697465.5728023909</v>
      </c>
      <c r="AR748" s="522">
        <f>MAX(Port[[#This Row],[ECL (THB)]]+Port[[#This Row],[ECL_Interest (THB)]], Port[[#This Row],[ECL CBIRC (THB)]])</f>
        <v>7697465.5728023909</v>
      </c>
    </row>
    <row r="749" spans="1:44">
      <c r="A749" s="2" t="s">
        <v>723</v>
      </c>
      <c r="B749" s="2" t="s">
        <v>723</v>
      </c>
      <c r="C749" s="2" t="s">
        <v>674</v>
      </c>
      <c r="D749" s="2" t="s">
        <v>718</v>
      </c>
      <c r="E749" s="2" t="s">
        <v>613</v>
      </c>
      <c r="F749" s="2" t="s">
        <v>20</v>
      </c>
      <c r="G749" s="2" t="s">
        <v>21</v>
      </c>
      <c r="H749">
        <v>2</v>
      </c>
      <c r="I749" s="2" t="s">
        <v>740</v>
      </c>
      <c r="J749" s="506">
        <v>0.97694966757459634</v>
      </c>
      <c r="K749" s="506">
        <v>0.85</v>
      </c>
      <c r="L749" s="3">
        <v>1</v>
      </c>
      <c r="M749" s="3">
        <v>5.2488000000000001</v>
      </c>
      <c r="N749" s="508">
        <v>121733.31</v>
      </c>
      <c r="O749" s="508">
        <v>0</v>
      </c>
      <c r="P749" s="508">
        <v>121733.31</v>
      </c>
      <c r="Q749" s="508">
        <v>3048.27</v>
      </c>
      <c r="R749" s="508">
        <v>101088.21922666699</v>
      </c>
      <c r="S749" s="508">
        <v>0</v>
      </c>
      <c r="T749" s="508">
        <v>101088.21922666699</v>
      </c>
      <c r="U749" s="508">
        <v>2531.3054087009723</v>
      </c>
      <c r="V749" s="508">
        <f>Port[[#This Row],[EAD_Drawn (CNY)]]*Port[[#This Row],[CNY -&gt; FCY]]</f>
        <v>121733.31</v>
      </c>
      <c r="W749" s="508">
        <f>Port[[#This Row],[EAD_Undrawn (CNY)]]*Port[[#This Row],[CNY -&gt; FCY]]</f>
        <v>0</v>
      </c>
      <c r="X749" s="508">
        <f>Port[[#This Row],[EAD (CNY)]]*Port[[#This Row],[CNY -&gt; FCY]]</f>
        <v>121733.31</v>
      </c>
      <c r="Y749" s="508">
        <f>Port[[#This Row],[EAD_Interest (CNY)]]*Port[[#This Row],[CNY -&gt; FCY]]</f>
        <v>3048.27</v>
      </c>
      <c r="Z749" s="508">
        <f>Port[[#This Row],[ECL_Drawn (CNY)]]*Port[[#This Row],[CNY -&gt; FCY]]</f>
        <v>101088.21922666699</v>
      </c>
      <c r="AA749" s="508">
        <f>Port[[#This Row],[ECL_Undrawn (CNY)]]*Port[[#This Row],[CNY -&gt; FCY]]</f>
        <v>0</v>
      </c>
      <c r="AB749" s="508">
        <f>Port[[#This Row],[ECL (CNY)]]*Port[[#This Row],[CNY -&gt; FCY]]</f>
        <v>101088.21922666699</v>
      </c>
      <c r="AC749" s="508">
        <f>Port[[#This Row],[ECL_Interest (CNY)]]*Port[[#This Row],[CNY -&gt; FCY]]</f>
        <v>2531.3054087009723</v>
      </c>
      <c r="AD749" s="507">
        <f>Port[[#This Row],[EAD_Drawn (CNY)]]*Port[[#This Row],[CNY -&gt; THB]]</f>
        <v>638953.79752799997</v>
      </c>
      <c r="AE749" s="507">
        <f>Port[[#This Row],[EAD_Undrawn (CNY)]]*Port[[#This Row],[CNY -&gt; THB]]</f>
        <v>0</v>
      </c>
      <c r="AF749" s="507">
        <f>Port[[#This Row],[EAD (CNY)]]*Port[[#This Row],[CNY -&gt; THB]]</f>
        <v>638953.79752799997</v>
      </c>
      <c r="AG749" s="507">
        <f>Port[[#This Row],[EAD_Interest (CNY)]]*Port[[#This Row],[CNY -&gt; THB]]</f>
        <v>15999.759576</v>
      </c>
      <c r="AH749" s="507">
        <f>Port[[#This Row],[ECL_Drawn (CNY)]]*Port[[#This Row],[CNY -&gt; THB]]</f>
        <v>530591.84507692966</v>
      </c>
      <c r="AI749" s="507">
        <f>Port[[#This Row],[ECL_Undrawn (CNY)]]*Port[[#This Row],[CNY -&gt; THB]]</f>
        <v>0</v>
      </c>
      <c r="AJ749" s="507">
        <f>Port[[#This Row],[ECL (CNY)]]*Port[[#This Row],[CNY -&gt; THB]]</f>
        <v>530591.84507692966</v>
      </c>
      <c r="AK749" s="507">
        <f>Port[[#This Row],[ECL_Interest (CNY)]]*Port[[#This Row],[CNY -&gt; THB]]</f>
        <v>13286.315829189663</v>
      </c>
      <c r="AL749" s="508">
        <f>Port[[#This Row],[EAD (THB)]]*Port[[#This Row],[PD_avg]]</f>
        <v>624225.70009050553</v>
      </c>
      <c r="AM749" s="508">
        <f>Port[[#This Row],[EAD_Interest (THB)]]*Port[[#This Row],[PD_avg]]</f>
        <v>15630.959799046665</v>
      </c>
      <c r="AN749" s="508">
        <f>Port[[#This Row],[EAD (THB)]]*Port[[#This Row],[LGD_avg]]</f>
        <v>543110.72789879993</v>
      </c>
      <c r="AO749" s="508">
        <f>Port[[#This Row],[EAD_Interest (THB)]]*Port[[#This Row],[LGD_avg]]</f>
        <v>13599.795639600001</v>
      </c>
      <c r="AP749" s="508">
        <f>Port[[#This Row],[EAD_Drawn (THB)]]+Port[[#This Row],[EAD_Interest (THB)]]</f>
        <v>654953.55710400001</v>
      </c>
      <c r="AQ74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76674.455703359999</v>
      </c>
      <c r="AR749" s="522">
        <f>MAX(Port[[#This Row],[ECL (THB)]]+Port[[#This Row],[ECL_Interest (THB)]], Port[[#This Row],[ECL CBIRC (THB)]])</f>
        <v>543878.16090611927</v>
      </c>
    </row>
    <row r="750" spans="1:44">
      <c r="A750" s="2" t="s">
        <v>724</v>
      </c>
      <c r="B750" s="2" t="s">
        <v>724</v>
      </c>
      <c r="C750" s="2" t="s">
        <v>674</v>
      </c>
      <c r="D750" s="2" t="s">
        <v>718</v>
      </c>
      <c r="E750" s="2" t="s">
        <v>613</v>
      </c>
      <c r="F750" s="2" t="s">
        <v>20</v>
      </c>
      <c r="G750" s="2" t="s">
        <v>21</v>
      </c>
      <c r="H750">
        <v>3</v>
      </c>
      <c r="I750" s="2" t="s">
        <v>526</v>
      </c>
      <c r="J750" s="506">
        <v>1</v>
      </c>
      <c r="K750" s="506">
        <v>0.85</v>
      </c>
      <c r="L750" s="3">
        <v>1</v>
      </c>
      <c r="M750" s="3">
        <v>5.2488000000000001</v>
      </c>
      <c r="N750" s="508">
        <v>247841.52000000002</v>
      </c>
      <c r="O750" s="508">
        <v>0</v>
      </c>
      <c r="P750" s="508">
        <v>247841.52000000002</v>
      </c>
      <c r="Q750" s="508">
        <v>0</v>
      </c>
      <c r="R750" s="508">
        <v>210665.29200000002</v>
      </c>
      <c r="S750" s="508">
        <v>0</v>
      </c>
      <c r="T750" s="508">
        <v>210665.29200000002</v>
      </c>
      <c r="U750" s="508">
        <v>0</v>
      </c>
      <c r="V750" s="508">
        <f>Port[[#This Row],[EAD_Drawn (CNY)]]*Port[[#This Row],[CNY -&gt; FCY]]</f>
        <v>247841.52000000002</v>
      </c>
      <c r="W750" s="508">
        <f>Port[[#This Row],[EAD_Undrawn (CNY)]]*Port[[#This Row],[CNY -&gt; FCY]]</f>
        <v>0</v>
      </c>
      <c r="X750" s="508">
        <f>Port[[#This Row],[EAD (CNY)]]*Port[[#This Row],[CNY -&gt; FCY]]</f>
        <v>247841.52000000002</v>
      </c>
      <c r="Y750" s="508">
        <f>Port[[#This Row],[EAD_Interest (CNY)]]*Port[[#This Row],[CNY -&gt; FCY]]</f>
        <v>0</v>
      </c>
      <c r="Z750" s="508">
        <f>Port[[#This Row],[ECL_Drawn (CNY)]]*Port[[#This Row],[CNY -&gt; FCY]]</f>
        <v>210665.29200000002</v>
      </c>
      <c r="AA750" s="508">
        <f>Port[[#This Row],[ECL_Undrawn (CNY)]]*Port[[#This Row],[CNY -&gt; FCY]]</f>
        <v>0</v>
      </c>
      <c r="AB750" s="508">
        <f>Port[[#This Row],[ECL (CNY)]]*Port[[#This Row],[CNY -&gt; FCY]]</f>
        <v>210665.29200000002</v>
      </c>
      <c r="AC750" s="508">
        <f>Port[[#This Row],[ECL_Interest (CNY)]]*Port[[#This Row],[CNY -&gt; FCY]]</f>
        <v>0</v>
      </c>
      <c r="AD750" s="507">
        <f>Port[[#This Row],[EAD_Drawn (CNY)]]*Port[[#This Row],[CNY -&gt; THB]]</f>
        <v>1300870.5701760002</v>
      </c>
      <c r="AE750" s="507">
        <f>Port[[#This Row],[EAD_Undrawn (CNY)]]*Port[[#This Row],[CNY -&gt; THB]]</f>
        <v>0</v>
      </c>
      <c r="AF750" s="507">
        <f>Port[[#This Row],[EAD (CNY)]]*Port[[#This Row],[CNY -&gt; THB]]</f>
        <v>1300870.5701760002</v>
      </c>
      <c r="AG750" s="507">
        <f>Port[[#This Row],[EAD_Interest (CNY)]]*Port[[#This Row],[CNY -&gt; THB]]</f>
        <v>0</v>
      </c>
      <c r="AH750" s="507">
        <f>Port[[#This Row],[ECL_Drawn (CNY)]]*Port[[#This Row],[CNY -&gt; THB]]</f>
        <v>1105739.9846496</v>
      </c>
      <c r="AI750" s="507">
        <f>Port[[#This Row],[ECL_Undrawn (CNY)]]*Port[[#This Row],[CNY -&gt; THB]]</f>
        <v>0</v>
      </c>
      <c r="AJ750" s="507">
        <f>Port[[#This Row],[ECL (CNY)]]*Port[[#This Row],[CNY -&gt; THB]]</f>
        <v>1105739.9846496</v>
      </c>
      <c r="AK750" s="507">
        <f>Port[[#This Row],[ECL_Interest (CNY)]]*Port[[#This Row],[CNY -&gt; THB]]</f>
        <v>0</v>
      </c>
      <c r="AL750" s="508">
        <f>Port[[#This Row],[EAD (THB)]]*Port[[#This Row],[PD_avg]]</f>
        <v>1300870.5701760002</v>
      </c>
      <c r="AM750" s="508">
        <f>Port[[#This Row],[EAD_Interest (THB)]]*Port[[#This Row],[PD_avg]]</f>
        <v>0</v>
      </c>
      <c r="AN750" s="508">
        <f>Port[[#This Row],[EAD (THB)]]*Port[[#This Row],[LGD_avg]]</f>
        <v>1105739.9846496002</v>
      </c>
      <c r="AO750" s="508">
        <f>Port[[#This Row],[EAD_Interest (THB)]]*Port[[#This Row],[LGD_avg]]</f>
        <v>0</v>
      </c>
      <c r="AP750" s="508">
        <f>Port[[#This Row],[EAD_Drawn (THB)]]+Port[[#This Row],[EAD_Interest (THB)]]</f>
        <v>1300870.5701760002</v>
      </c>
      <c r="AQ750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455304.69956160005</v>
      </c>
      <c r="AR750" s="522">
        <f>MAX(Port[[#This Row],[ECL (THB)]]+Port[[#This Row],[ECL_Interest (THB)]], Port[[#This Row],[ECL CBIRC (THB)]])</f>
        <v>1105739.9846496</v>
      </c>
    </row>
    <row r="751" spans="1:44">
      <c r="A751" s="2" t="s">
        <v>725</v>
      </c>
      <c r="B751" s="2" t="s">
        <v>725</v>
      </c>
      <c r="C751" s="2" t="s">
        <v>674</v>
      </c>
      <c r="D751" s="2" t="s">
        <v>718</v>
      </c>
      <c r="E751" s="2" t="s">
        <v>616</v>
      </c>
      <c r="F751" s="2" t="s">
        <v>20</v>
      </c>
      <c r="G751" s="2" t="s">
        <v>21</v>
      </c>
      <c r="H751">
        <v>1</v>
      </c>
      <c r="I751" s="2" t="s">
        <v>526</v>
      </c>
      <c r="J751" s="506">
        <v>4.0581660582814552E-2</v>
      </c>
      <c r="K751" s="506">
        <v>0.85</v>
      </c>
      <c r="L751" s="3">
        <v>1</v>
      </c>
      <c r="M751" s="3">
        <v>5.2488000000000001</v>
      </c>
      <c r="N751" s="508">
        <v>9664240.3799999952</v>
      </c>
      <c r="O751" s="508">
        <v>0</v>
      </c>
      <c r="P751" s="508">
        <v>9664240.3799999952</v>
      </c>
      <c r="Q751" s="508">
        <v>84596.63</v>
      </c>
      <c r="R751" s="508">
        <v>333362.28445810697</v>
      </c>
      <c r="S751" s="508">
        <v>0</v>
      </c>
      <c r="T751" s="508">
        <v>333362.28445810697</v>
      </c>
      <c r="U751" s="508">
        <v>2918.1109663434549</v>
      </c>
      <c r="V751" s="508">
        <f>Port[[#This Row],[EAD_Drawn (CNY)]]*Port[[#This Row],[CNY -&gt; FCY]]</f>
        <v>9664240.3799999952</v>
      </c>
      <c r="W751" s="508">
        <f>Port[[#This Row],[EAD_Undrawn (CNY)]]*Port[[#This Row],[CNY -&gt; FCY]]</f>
        <v>0</v>
      </c>
      <c r="X751" s="508">
        <f>Port[[#This Row],[EAD (CNY)]]*Port[[#This Row],[CNY -&gt; FCY]]</f>
        <v>9664240.3799999952</v>
      </c>
      <c r="Y751" s="508">
        <f>Port[[#This Row],[EAD_Interest (CNY)]]*Port[[#This Row],[CNY -&gt; FCY]]</f>
        <v>84596.63</v>
      </c>
      <c r="Z751" s="508">
        <f>Port[[#This Row],[ECL_Drawn (CNY)]]*Port[[#This Row],[CNY -&gt; FCY]]</f>
        <v>333362.28445810697</v>
      </c>
      <c r="AA751" s="508">
        <f>Port[[#This Row],[ECL_Undrawn (CNY)]]*Port[[#This Row],[CNY -&gt; FCY]]</f>
        <v>0</v>
      </c>
      <c r="AB751" s="508">
        <f>Port[[#This Row],[ECL (CNY)]]*Port[[#This Row],[CNY -&gt; FCY]]</f>
        <v>333362.28445810697</v>
      </c>
      <c r="AC751" s="508">
        <f>Port[[#This Row],[ECL_Interest (CNY)]]*Port[[#This Row],[CNY -&gt; FCY]]</f>
        <v>2918.1109663434549</v>
      </c>
      <c r="AD751" s="507">
        <f>Port[[#This Row],[EAD_Drawn (CNY)]]*Port[[#This Row],[CNY -&gt; THB]]</f>
        <v>50725664.906543978</v>
      </c>
      <c r="AE751" s="507">
        <f>Port[[#This Row],[EAD_Undrawn (CNY)]]*Port[[#This Row],[CNY -&gt; THB]]</f>
        <v>0</v>
      </c>
      <c r="AF751" s="507">
        <f>Port[[#This Row],[EAD (CNY)]]*Port[[#This Row],[CNY -&gt; THB]]</f>
        <v>50725664.906543978</v>
      </c>
      <c r="AG751" s="507">
        <f>Port[[#This Row],[EAD_Interest (CNY)]]*Port[[#This Row],[CNY -&gt; THB]]</f>
        <v>444030.79154400004</v>
      </c>
      <c r="AH751" s="507">
        <f>Port[[#This Row],[ECL_Drawn (CNY)]]*Port[[#This Row],[CNY -&gt; THB]]</f>
        <v>1749751.9586637118</v>
      </c>
      <c r="AI751" s="507">
        <f>Port[[#This Row],[ECL_Undrawn (CNY)]]*Port[[#This Row],[CNY -&gt; THB]]</f>
        <v>0</v>
      </c>
      <c r="AJ751" s="507">
        <f>Port[[#This Row],[ECL (CNY)]]*Port[[#This Row],[CNY -&gt; THB]]</f>
        <v>1749751.9586637118</v>
      </c>
      <c r="AK751" s="507">
        <f>Port[[#This Row],[ECL_Interest (CNY)]]*Port[[#This Row],[CNY -&gt; THB]]</f>
        <v>15316.580840143526</v>
      </c>
      <c r="AL751" s="508">
        <f>Port[[#This Row],[EAD (THB)]]*Port[[#This Row],[PD_avg]]</f>
        <v>2058531.7160749552</v>
      </c>
      <c r="AM751" s="508">
        <f>Port[[#This Row],[EAD_Interest (THB)]]*Port[[#This Row],[PD_avg]]</f>
        <v>18019.50687075709</v>
      </c>
      <c r="AN751" s="508">
        <f>Port[[#This Row],[EAD (THB)]]*Port[[#This Row],[LGD_avg]]</f>
        <v>43116815.170562379</v>
      </c>
      <c r="AO751" s="508">
        <f>Port[[#This Row],[EAD_Interest (THB)]]*Port[[#This Row],[LGD_avg]]</f>
        <v>377426.17281240004</v>
      </c>
      <c r="AP751" s="508">
        <f>Port[[#This Row],[EAD_Drawn (THB)]]+Port[[#This Row],[EAD_Interest (THB)]]</f>
        <v>51169695.698087975</v>
      </c>
      <c r="AQ751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5072566.4906543978</v>
      </c>
      <c r="AR751" s="522">
        <f>MAX(Port[[#This Row],[ECL (THB)]]+Port[[#This Row],[ECL_Interest (THB)]], Port[[#This Row],[ECL CBIRC (THB)]])</f>
        <v>5072566.4906543978</v>
      </c>
    </row>
    <row r="752" spans="1:44">
      <c r="A752" s="2" t="s">
        <v>726</v>
      </c>
      <c r="B752" s="2" t="s">
        <v>726</v>
      </c>
      <c r="C752" s="2" t="s">
        <v>674</v>
      </c>
      <c r="D752" s="2" t="s">
        <v>718</v>
      </c>
      <c r="E752" s="2" t="s">
        <v>616</v>
      </c>
      <c r="F752" s="2" t="s">
        <v>20</v>
      </c>
      <c r="G752" s="2" t="s">
        <v>21</v>
      </c>
      <c r="H752">
        <v>2</v>
      </c>
      <c r="I752" s="2" t="s">
        <v>740</v>
      </c>
      <c r="J752" s="506">
        <v>0.97694966757459623</v>
      </c>
      <c r="K752" s="506">
        <v>0.85</v>
      </c>
      <c r="L752" s="3">
        <v>1</v>
      </c>
      <c r="M752" s="3">
        <v>5.2488000000000001</v>
      </c>
      <c r="N752" s="508">
        <v>65265.72</v>
      </c>
      <c r="O752" s="508">
        <v>0</v>
      </c>
      <c r="P752" s="508">
        <v>65265.72</v>
      </c>
      <c r="Q752" s="508">
        <v>2739.92</v>
      </c>
      <c r="R752" s="508">
        <v>54197.124939314184</v>
      </c>
      <c r="S752" s="508">
        <v>0</v>
      </c>
      <c r="T752" s="508">
        <v>54197.124939314184</v>
      </c>
      <c r="U752" s="508">
        <v>2275.24934320384</v>
      </c>
      <c r="V752" s="508">
        <f>Port[[#This Row],[EAD_Drawn (CNY)]]*Port[[#This Row],[CNY -&gt; FCY]]</f>
        <v>65265.72</v>
      </c>
      <c r="W752" s="508">
        <f>Port[[#This Row],[EAD_Undrawn (CNY)]]*Port[[#This Row],[CNY -&gt; FCY]]</f>
        <v>0</v>
      </c>
      <c r="X752" s="508">
        <f>Port[[#This Row],[EAD (CNY)]]*Port[[#This Row],[CNY -&gt; FCY]]</f>
        <v>65265.72</v>
      </c>
      <c r="Y752" s="508">
        <f>Port[[#This Row],[EAD_Interest (CNY)]]*Port[[#This Row],[CNY -&gt; FCY]]</f>
        <v>2739.92</v>
      </c>
      <c r="Z752" s="508">
        <f>Port[[#This Row],[ECL_Drawn (CNY)]]*Port[[#This Row],[CNY -&gt; FCY]]</f>
        <v>54197.124939314184</v>
      </c>
      <c r="AA752" s="508">
        <f>Port[[#This Row],[ECL_Undrawn (CNY)]]*Port[[#This Row],[CNY -&gt; FCY]]</f>
        <v>0</v>
      </c>
      <c r="AB752" s="508">
        <f>Port[[#This Row],[ECL (CNY)]]*Port[[#This Row],[CNY -&gt; FCY]]</f>
        <v>54197.124939314184</v>
      </c>
      <c r="AC752" s="508">
        <f>Port[[#This Row],[ECL_Interest (CNY)]]*Port[[#This Row],[CNY -&gt; FCY]]</f>
        <v>2275.24934320384</v>
      </c>
      <c r="AD752" s="507">
        <f>Port[[#This Row],[EAD_Drawn (CNY)]]*Port[[#This Row],[CNY -&gt; THB]]</f>
        <v>342566.711136</v>
      </c>
      <c r="AE752" s="507">
        <f>Port[[#This Row],[EAD_Undrawn (CNY)]]*Port[[#This Row],[CNY -&gt; THB]]</f>
        <v>0</v>
      </c>
      <c r="AF752" s="507">
        <f>Port[[#This Row],[EAD (CNY)]]*Port[[#This Row],[CNY -&gt; THB]]</f>
        <v>342566.711136</v>
      </c>
      <c r="AG752" s="507">
        <f>Port[[#This Row],[EAD_Interest (CNY)]]*Port[[#This Row],[CNY -&gt; THB]]</f>
        <v>14381.292096000001</v>
      </c>
      <c r="AH752" s="507">
        <f>Port[[#This Row],[ECL_Drawn (CNY)]]*Port[[#This Row],[CNY -&gt; THB]]</f>
        <v>284469.86938147229</v>
      </c>
      <c r="AI752" s="507">
        <f>Port[[#This Row],[ECL_Undrawn (CNY)]]*Port[[#This Row],[CNY -&gt; THB]]</f>
        <v>0</v>
      </c>
      <c r="AJ752" s="507">
        <f>Port[[#This Row],[ECL (CNY)]]*Port[[#This Row],[CNY -&gt; THB]]</f>
        <v>284469.86938147229</v>
      </c>
      <c r="AK752" s="507">
        <f>Port[[#This Row],[ECL_Interest (CNY)]]*Port[[#This Row],[CNY -&gt; THB]]</f>
        <v>11942.328752608315</v>
      </c>
      <c r="AL752" s="508">
        <f>Port[[#This Row],[EAD (THB)]]*Port[[#This Row],[PD_avg]]</f>
        <v>334670.43456643791</v>
      </c>
      <c r="AM752" s="508">
        <f>Port[[#This Row],[EAD_Interest (THB)]]*Port[[#This Row],[PD_avg]]</f>
        <v>14049.798532480369</v>
      </c>
      <c r="AN752" s="508">
        <f>Port[[#This Row],[EAD (THB)]]*Port[[#This Row],[LGD_avg]]</f>
        <v>291181.70446559996</v>
      </c>
      <c r="AO752" s="508">
        <f>Port[[#This Row],[EAD_Interest (THB)]]*Port[[#This Row],[LGD_avg]]</f>
        <v>12224.098281600001</v>
      </c>
      <c r="AP752" s="508">
        <f>Port[[#This Row],[EAD_Drawn (THB)]]+Port[[#This Row],[EAD_Interest (THB)]]</f>
        <v>356948.00323199999</v>
      </c>
      <c r="AQ752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41108.005336320006</v>
      </c>
      <c r="AR752" s="522">
        <f>MAX(Port[[#This Row],[ECL (THB)]]+Port[[#This Row],[ECL_Interest (THB)]], Port[[#This Row],[ECL CBIRC (THB)]])</f>
        <v>296412.19813408062</v>
      </c>
    </row>
    <row r="753" spans="1:44">
      <c r="A753" s="2" t="s">
        <v>727</v>
      </c>
      <c r="B753" s="2" t="s">
        <v>727</v>
      </c>
      <c r="C753" s="2" t="s">
        <v>674</v>
      </c>
      <c r="D753" s="2" t="s">
        <v>718</v>
      </c>
      <c r="E753" s="2" t="s">
        <v>613</v>
      </c>
      <c r="F753" s="2" t="s">
        <v>20</v>
      </c>
      <c r="G753" s="2" t="s">
        <v>21</v>
      </c>
      <c r="H753">
        <v>1</v>
      </c>
      <c r="I753" s="2" t="s">
        <v>526</v>
      </c>
      <c r="J753" s="506">
        <v>2.0514833509807026E-2</v>
      </c>
      <c r="K753" s="506">
        <v>0.85000000000000009</v>
      </c>
      <c r="L753" s="3">
        <v>1</v>
      </c>
      <c r="M753" s="3">
        <v>5.2488000000000001</v>
      </c>
      <c r="N753" s="508">
        <v>491729898.74000257</v>
      </c>
      <c r="O753" s="508">
        <v>0</v>
      </c>
      <c r="P753" s="508">
        <v>491729898.74000257</v>
      </c>
      <c r="Q753" s="508">
        <v>1726470.3499999929</v>
      </c>
      <c r="R753" s="508">
        <v>8574593.4537786078</v>
      </c>
      <c r="S753" s="508">
        <v>0</v>
      </c>
      <c r="T753" s="508">
        <v>8574593.4537786078</v>
      </c>
      <c r="U753" s="508">
        <v>30105.514021387906</v>
      </c>
      <c r="V753" s="508">
        <f>Port[[#This Row],[EAD_Drawn (CNY)]]*Port[[#This Row],[CNY -&gt; FCY]]</f>
        <v>491729898.74000257</v>
      </c>
      <c r="W753" s="508">
        <f>Port[[#This Row],[EAD_Undrawn (CNY)]]*Port[[#This Row],[CNY -&gt; FCY]]</f>
        <v>0</v>
      </c>
      <c r="X753" s="508">
        <f>Port[[#This Row],[EAD (CNY)]]*Port[[#This Row],[CNY -&gt; FCY]]</f>
        <v>491729898.74000257</v>
      </c>
      <c r="Y753" s="508">
        <f>Port[[#This Row],[EAD_Interest (CNY)]]*Port[[#This Row],[CNY -&gt; FCY]]</f>
        <v>1726470.3499999929</v>
      </c>
      <c r="Z753" s="508">
        <f>Port[[#This Row],[ECL_Drawn (CNY)]]*Port[[#This Row],[CNY -&gt; FCY]]</f>
        <v>8574593.4537786078</v>
      </c>
      <c r="AA753" s="508">
        <f>Port[[#This Row],[ECL_Undrawn (CNY)]]*Port[[#This Row],[CNY -&gt; FCY]]</f>
        <v>0</v>
      </c>
      <c r="AB753" s="508">
        <f>Port[[#This Row],[ECL (CNY)]]*Port[[#This Row],[CNY -&gt; FCY]]</f>
        <v>8574593.4537786078</v>
      </c>
      <c r="AC753" s="508">
        <f>Port[[#This Row],[ECL_Interest (CNY)]]*Port[[#This Row],[CNY -&gt; FCY]]</f>
        <v>30105.514021387906</v>
      </c>
      <c r="AD753" s="507">
        <f>Port[[#This Row],[EAD_Drawn (CNY)]]*Port[[#This Row],[CNY -&gt; THB]]</f>
        <v>2580991892.5065255</v>
      </c>
      <c r="AE753" s="507">
        <f>Port[[#This Row],[EAD_Undrawn (CNY)]]*Port[[#This Row],[CNY -&gt; THB]]</f>
        <v>0</v>
      </c>
      <c r="AF753" s="507">
        <f>Port[[#This Row],[EAD (CNY)]]*Port[[#This Row],[CNY -&gt; THB]]</f>
        <v>2580991892.5065255</v>
      </c>
      <c r="AG753" s="507">
        <f>Port[[#This Row],[EAD_Interest (CNY)]]*Port[[#This Row],[CNY -&gt; THB]]</f>
        <v>9061897.5730799623</v>
      </c>
      <c r="AH753" s="507">
        <f>Port[[#This Row],[ECL_Drawn (CNY)]]*Port[[#This Row],[CNY -&gt; THB]]</f>
        <v>45006326.120193161</v>
      </c>
      <c r="AI753" s="507">
        <f>Port[[#This Row],[ECL_Undrawn (CNY)]]*Port[[#This Row],[CNY -&gt; THB]]</f>
        <v>0</v>
      </c>
      <c r="AJ753" s="507">
        <f>Port[[#This Row],[ECL (CNY)]]*Port[[#This Row],[CNY -&gt; THB]]</f>
        <v>45006326.120193161</v>
      </c>
      <c r="AK753" s="507">
        <f>Port[[#This Row],[ECL_Interest (CNY)]]*Port[[#This Row],[CNY -&gt; THB]]</f>
        <v>158017.82199546084</v>
      </c>
      <c r="AL753" s="508">
        <f>Port[[#This Row],[EAD (THB)]]*Port[[#This Row],[PD_avg]]</f>
        <v>52948618.964933127</v>
      </c>
      <c r="AM753" s="508">
        <f>Port[[#This Row],[EAD_Interest (THB)]]*Port[[#This Row],[PD_avg]]</f>
        <v>185903.31999465977</v>
      </c>
      <c r="AN753" s="508">
        <f>Port[[#This Row],[EAD (THB)]]*Port[[#This Row],[LGD_avg]]</f>
        <v>2193843108.630547</v>
      </c>
      <c r="AO753" s="508">
        <f>Port[[#This Row],[EAD_Interest (THB)]]*Port[[#This Row],[LGD_avg]]</f>
        <v>7702612.9371179687</v>
      </c>
      <c r="AP753" s="508">
        <f>Port[[#This Row],[EAD_Drawn (THB)]]+Port[[#This Row],[EAD_Interest (THB)]]</f>
        <v>2590053790.0796056</v>
      </c>
      <c r="AQ753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258099189.25065255</v>
      </c>
      <c r="AR753" s="522">
        <f>MAX(Port[[#This Row],[ECL (THB)]]+Port[[#This Row],[ECL_Interest (THB)]], Port[[#This Row],[ECL CBIRC (THB)]])</f>
        <v>258099189.25065255</v>
      </c>
    </row>
    <row r="754" spans="1:44">
      <c r="A754" s="2" t="s">
        <v>728</v>
      </c>
      <c r="B754" s="2" t="s">
        <v>728</v>
      </c>
      <c r="C754" s="2" t="s">
        <v>674</v>
      </c>
      <c r="D754" s="2" t="s">
        <v>718</v>
      </c>
      <c r="E754" s="2" t="s">
        <v>613</v>
      </c>
      <c r="F754" s="2" t="s">
        <v>20</v>
      </c>
      <c r="G754" s="2" t="s">
        <v>21</v>
      </c>
      <c r="H754">
        <v>2</v>
      </c>
      <c r="I754" s="2" t="s">
        <v>740</v>
      </c>
      <c r="J754" s="506">
        <v>5.9199940720130531E-2</v>
      </c>
      <c r="K754" s="506">
        <v>0.84999999999999987</v>
      </c>
      <c r="L754" s="3">
        <v>1</v>
      </c>
      <c r="M754" s="3">
        <v>5.2488000000000001</v>
      </c>
      <c r="N754" s="508">
        <v>469155.55000000005</v>
      </c>
      <c r="O754" s="508">
        <v>0</v>
      </c>
      <c r="P754" s="508">
        <v>469155.55000000005</v>
      </c>
      <c r="Q754" s="508">
        <v>8327.39</v>
      </c>
      <c r="R754" s="508">
        <v>23607.883636242197</v>
      </c>
      <c r="S754" s="508">
        <v>0</v>
      </c>
      <c r="T754" s="508">
        <v>23607.883636242197</v>
      </c>
      <c r="U754" s="508">
        <v>419.03384520039651</v>
      </c>
      <c r="V754" s="508">
        <f>Port[[#This Row],[EAD_Drawn (CNY)]]*Port[[#This Row],[CNY -&gt; FCY]]</f>
        <v>469155.55000000005</v>
      </c>
      <c r="W754" s="508">
        <f>Port[[#This Row],[EAD_Undrawn (CNY)]]*Port[[#This Row],[CNY -&gt; FCY]]</f>
        <v>0</v>
      </c>
      <c r="X754" s="508">
        <f>Port[[#This Row],[EAD (CNY)]]*Port[[#This Row],[CNY -&gt; FCY]]</f>
        <v>469155.55000000005</v>
      </c>
      <c r="Y754" s="508">
        <f>Port[[#This Row],[EAD_Interest (CNY)]]*Port[[#This Row],[CNY -&gt; FCY]]</f>
        <v>8327.39</v>
      </c>
      <c r="Z754" s="508">
        <f>Port[[#This Row],[ECL_Drawn (CNY)]]*Port[[#This Row],[CNY -&gt; FCY]]</f>
        <v>23607.883636242197</v>
      </c>
      <c r="AA754" s="508">
        <f>Port[[#This Row],[ECL_Undrawn (CNY)]]*Port[[#This Row],[CNY -&gt; FCY]]</f>
        <v>0</v>
      </c>
      <c r="AB754" s="508">
        <f>Port[[#This Row],[ECL (CNY)]]*Port[[#This Row],[CNY -&gt; FCY]]</f>
        <v>23607.883636242197</v>
      </c>
      <c r="AC754" s="508">
        <f>Port[[#This Row],[ECL_Interest (CNY)]]*Port[[#This Row],[CNY -&gt; FCY]]</f>
        <v>419.03384520039651</v>
      </c>
      <c r="AD754" s="507">
        <f>Port[[#This Row],[EAD_Drawn (CNY)]]*Port[[#This Row],[CNY -&gt; THB]]</f>
        <v>2462503.6508400002</v>
      </c>
      <c r="AE754" s="507">
        <f>Port[[#This Row],[EAD_Undrawn (CNY)]]*Port[[#This Row],[CNY -&gt; THB]]</f>
        <v>0</v>
      </c>
      <c r="AF754" s="507">
        <f>Port[[#This Row],[EAD (CNY)]]*Port[[#This Row],[CNY -&gt; THB]]</f>
        <v>2462503.6508400002</v>
      </c>
      <c r="AG754" s="507">
        <f>Port[[#This Row],[EAD_Interest (CNY)]]*Port[[#This Row],[CNY -&gt; THB]]</f>
        <v>43708.804631999999</v>
      </c>
      <c r="AH754" s="507">
        <f>Port[[#This Row],[ECL_Drawn (CNY)]]*Port[[#This Row],[CNY -&gt; THB]]</f>
        <v>123913.05962990805</v>
      </c>
      <c r="AI754" s="507">
        <f>Port[[#This Row],[ECL_Undrawn (CNY)]]*Port[[#This Row],[CNY -&gt; THB]]</f>
        <v>0</v>
      </c>
      <c r="AJ754" s="507">
        <f>Port[[#This Row],[ECL (CNY)]]*Port[[#This Row],[CNY -&gt; THB]]</f>
        <v>123913.05962990805</v>
      </c>
      <c r="AK754" s="507">
        <f>Port[[#This Row],[ECL_Interest (CNY)]]*Port[[#This Row],[CNY -&gt; THB]]</f>
        <v>2199.4248466878412</v>
      </c>
      <c r="AL754" s="508">
        <f>Port[[#This Row],[EAD (THB)]]*Port[[#This Row],[PD_avg]]</f>
        <v>145780.07015283304</v>
      </c>
      <c r="AM754" s="508">
        <f>Port[[#This Row],[EAD_Interest (THB)]]*Port[[#This Row],[PD_avg]]</f>
        <v>2587.5586431621668</v>
      </c>
      <c r="AN754" s="508">
        <f>Port[[#This Row],[EAD (THB)]]*Port[[#This Row],[LGD_avg]]</f>
        <v>2093128.1032139999</v>
      </c>
      <c r="AO754" s="508">
        <f>Port[[#This Row],[EAD_Interest (THB)]]*Port[[#This Row],[LGD_avg]]</f>
        <v>37152.483937199991</v>
      </c>
      <c r="AP754" s="508">
        <f>Port[[#This Row],[EAD_Drawn (THB)]]+Port[[#This Row],[EAD_Interest (THB)]]</f>
        <v>2506212.4554720004</v>
      </c>
      <c r="AQ754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295500.43810080003</v>
      </c>
      <c r="AR754" s="522">
        <f>MAX(Port[[#This Row],[ECL (THB)]]+Port[[#This Row],[ECL_Interest (THB)]], Port[[#This Row],[ECL CBIRC (THB)]])</f>
        <v>295500.43810080003</v>
      </c>
    </row>
    <row r="755" spans="1:44">
      <c r="A755" s="2" t="s">
        <v>729</v>
      </c>
      <c r="B755" s="2" t="s">
        <v>729</v>
      </c>
      <c r="C755" s="2" t="s">
        <v>674</v>
      </c>
      <c r="D755" s="2" t="s">
        <v>718</v>
      </c>
      <c r="E755" s="2" t="s">
        <v>616</v>
      </c>
      <c r="F755" s="2" t="s">
        <v>20</v>
      </c>
      <c r="G755" s="2" t="s">
        <v>21</v>
      </c>
      <c r="H755">
        <v>1</v>
      </c>
      <c r="I755" s="2" t="s">
        <v>526</v>
      </c>
      <c r="J755" s="506">
        <v>2.051483350980703E-2</v>
      </c>
      <c r="K755" s="506">
        <v>0.85000000000000009</v>
      </c>
      <c r="L755" s="3">
        <v>1</v>
      </c>
      <c r="M755" s="3">
        <v>5.2488000000000001</v>
      </c>
      <c r="N755" s="508">
        <v>40472637.129999965</v>
      </c>
      <c r="O755" s="508">
        <v>0</v>
      </c>
      <c r="P755" s="508">
        <v>40472637.129999965</v>
      </c>
      <c r="Q755" s="508">
        <v>209278.17999999996</v>
      </c>
      <c r="R755" s="508">
        <v>705746.00056106597</v>
      </c>
      <c r="S755" s="508">
        <v>0</v>
      </c>
      <c r="T755" s="508">
        <v>705746.00056106597</v>
      </c>
      <c r="U755" s="508">
        <v>3649.3109669451123</v>
      </c>
      <c r="V755" s="508">
        <f>Port[[#This Row],[EAD_Drawn (CNY)]]*Port[[#This Row],[CNY -&gt; FCY]]</f>
        <v>40472637.129999965</v>
      </c>
      <c r="W755" s="508">
        <f>Port[[#This Row],[EAD_Undrawn (CNY)]]*Port[[#This Row],[CNY -&gt; FCY]]</f>
        <v>0</v>
      </c>
      <c r="X755" s="508">
        <f>Port[[#This Row],[EAD (CNY)]]*Port[[#This Row],[CNY -&gt; FCY]]</f>
        <v>40472637.129999965</v>
      </c>
      <c r="Y755" s="508">
        <f>Port[[#This Row],[EAD_Interest (CNY)]]*Port[[#This Row],[CNY -&gt; FCY]]</f>
        <v>209278.17999999996</v>
      </c>
      <c r="Z755" s="508">
        <f>Port[[#This Row],[ECL_Drawn (CNY)]]*Port[[#This Row],[CNY -&gt; FCY]]</f>
        <v>705746.00056106597</v>
      </c>
      <c r="AA755" s="508">
        <f>Port[[#This Row],[ECL_Undrawn (CNY)]]*Port[[#This Row],[CNY -&gt; FCY]]</f>
        <v>0</v>
      </c>
      <c r="AB755" s="508">
        <f>Port[[#This Row],[ECL (CNY)]]*Port[[#This Row],[CNY -&gt; FCY]]</f>
        <v>705746.00056106597</v>
      </c>
      <c r="AC755" s="508">
        <f>Port[[#This Row],[ECL_Interest (CNY)]]*Port[[#This Row],[CNY -&gt; FCY]]</f>
        <v>3649.3109669451123</v>
      </c>
      <c r="AD755" s="507">
        <f>Port[[#This Row],[EAD_Drawn (CNY)]]*Port[[#This Row],[CNY -&gt; THB]]</f>
        <v>212432777.76794383</v>
      </c>
      <c r="AE755" s="507">
        <f>Port[[#This Row],[EAD_Undrawn (CNY)]]*Port[[#This Row],[CNY -&gt; THB]]</f>
        <v>0</v>
      </c>
      <c r="AF755" s="507">
        <f>Port[[#This Row],[EAD (CNY)]]*Port[[#This Row],[CNY -&gt; THB]]</f>
        <v>212432777.76794383</v>
      </c>
      <c r="AG755" s="507">
        <f>Port[[#This Row],[EAD_Interest (CNY)]]*Port[[#This Row],[CNY -&gt; THB]]</f>
        <v>1098459.3111839998</v>
      </c>
      <c r="AH755" s="507">
        <f>Port[[#This Row],[ECL_Drawn (CNY)]]*Port[[#This Row],[CNY -&gt; THB]]</f>
        <v>3704319.6077449233</v>
      </c>
      <c r="AI755" s="507">
        <f>Port[[#This Row],[ECL_Undrawn (CNY)]]*Port[[#This Row],[CNY -&gt; THB]]</f>
        <v>0</v>
      </c>
      <c r="AJ755" s="507">
        <f>Port[[#This Row],[ECL (CNY)]]*Port[[#This Row],[CNY -&gt; THB]]</f>
        <v>3704319.6077449233</v>
      </c>
      <c r="AK755" s="507">
        <f>Port[[#This Row],[ECL_Interest (CNY)]]*Port[[#This Row],[CNY -&gt; THB]]</f>
        <v>19154.503403301507</v>
      </c>
      <c r="AL755" s="508">
        <f>Port[[#This Row],[EAD (THB)]]*Port[[#This Row],[PD_avg]]</f>
        <v>4358023.0679352041</v>
      </c>
      <c r="AM755" s="508">
        <f>Port[[#This Row],[EAD_Interest (THB)]]*Port[[#This Row],[PD_avg]]</f>
        <v>22534.709886237066</v>
      </c>
      <c r="AN755" s="508">
        <f>Port[[#This Row],[EAD (THB)]]*Port[[#This Row],[LGD_avg]]</f>
        <v>180567861.10275227</v>
      </c>
      <c r="AO755" s="508">
        <f>Port[[#This Row],[EAD_Interest (THB)]]*Port[[#This Row],[LGD_avg]]</f>
        <v>933690.41450639989</v>
      </c>
      <c r="AP755" s="508">
        <f>Port[[#This Row],[EAD_Drawn (THB)]]+Port[[#This Row],[EAD_Interest (THB)]]</f>
        <v>213531237.07912782</v>
      </c>
      <c r="AQ755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21243277.776794385</v>
      </c>
      <c r="AR755" s="522">
        <f>MAX(Port[[#This Row],[ECL (THB)]]+Port[[#This Row],[ECL_Interest (THB)]], Port[[#This Row],[ECL CBIRC (THB)]])</f>
        <v>21243277.776794385</v>
      </c>
    </row>
    <row r="756" spans="1:44">
      <c r="A756" s="2" t="s">
        <v>730</v>
      </c>
      <c r="B756" s="2" t="s">
        <v>730</v>
      </c>
      <c r="C756" s="2" t="s">
        <v>731</v>
      </c>
      <c r="D756" s="2" t="s">
        <v>718</v>
      </c>
      <c r="E756" s="2" t="s">
        <v>732</v>
      </c>
      <c r="F756" s="2" t="s">
        <v>20</v>
      </c>
      <c r="G756" s="2" t="s">
        <v>21</v>
      </c>
      <c r="H756">
        <v>1</v>
      </c>
      <c r="I756" s="2" t="s">
        <v>526</v>
      </c>
      <c r="J756" s="506">
        <v>3.5311574150678746E-2</v>
      </c>
      <c r="K756" s="506">
        <v>0.85</v>
      </c>
      <c r="L756" s="3">
        <v>1</v>
      </c>
      <c r="M756" s="3">
        <v>5.2488000000000001</v>
      </c>
      <c r="N756" s="508">
        <v>758372730.5899992</v>
      </c>
      <c r="O756" s="508">
        <v>0</v>
      </c>
      <c r="P756" s="508">
        <v>758372730.5899992</v>
      </c>
      <c r="Q756" s="508">
        <v>3258523.8800000087</v>
      </c>
      <c r="R756" s="508">
        <v>22762434.673569251</v>
      </c>
      <c r="S756" s="508">
        <v>0</v>
      </c>
      <c r="T756" s="508">
        <v>22762434.673569251</v>
      </c>
      <c r="U756" s="508">
        <v>97804.066468821038</v>
      </c>
      <c r="V756" s="508">
        <f>Port[[#This Row],[EAD_Drawn (CNY)]]*Port[[#This Row],[CNY -&gt; FCY]]</f>
        <v>758372730.5899992</v>
      </c>
      <c r="W756" s="508">
        <f>Port[[#This Row],[EAD_Undrawn (CNY)]]*Port[[#This Row],[CNY -&gt; FCY]]</f>
        <v>0</v>
      </c>
      <c r="X756" s="508">
        <f>Port[[#This Row],[EAD (CNY)]]*Port[[#This Row],[CNY -&gt; FCY]]</f>
        <v>758372730.5899992</v>
      </c>
      <c r="Y756" s="508">
        <f>Port[[#This Row],[EAD_Interest (CNY)]]*Port[[#This Row],[CNY -&gt; FCY]]</f>
        <v>3258523.8800000087</v>
      </c>
      <c r="Z756" s="508">
        <f>Port[[#This Row],[ECL_Drawn (CNY)]]*Port[[#This Row],[CNY -&gt; FCY]]</f>
        <v>22762434.673569251</v>
      </c>
      <c r="AA756" s="508">
        <f>Port[[#This Row],[ECL_Undrawn (CNY)]]*Port[[#This Row],[CNY -&gt; FCY]]</f>
        <v>0</v>
      </c>
      <c r="AB756" s="508">
        <f>Port[[#This Row],[ECL (CNY)]]*Port[[#This Row],[CNY -&gt; FCY]]</f>
        <v>22762434.673569251</v>
      </c>
      <c r="AC756" s="508">
        <f>Port[[#This Row],[ECL_Interest (CNY)]]*Port[[#This Row],[CNY -&gt; FCY]]</f>
        <v>97804.066468821038</v>
      </c>
      <c r="AD756" s="507">
        <f>Port[[#This Row],[EAD_Drawn (CNY)]]*Port[[#This Row],[CNY -&gt; THB]]</f>
        <v>3980546788.3207879</v>
      </c>
      <c r="AE756" s="507">
        <f>Port[[#This Row],[EAD_Undrawn (CNY)]]*Port[[#This Row],[CNY -&gt; THB]]</f>
        <v>0</v>
      </c>
      <c r="AF756" s="507">
        <f>Port[[#This Row],[EAD (CNY)]]*Port[[#This Row],[CNY -&gt; THB]]</f>
        <v>3980546788.3207879</v>
      </c>
      <c r="AG756" s="507">
        <f>Port[[#This Row],[EAD_Interest (CNY)]]*Port[[#This Row],[CNY -&gt; THB]]</f>
        <v>17103340.141344048</v>
      </c>
      <c r="AH756" s="507">
        <f>Port[[#This Row],[ECL_Drawn (CNY)]]*Port[[#This Row],[CNY -&gt; THB]]</f>
        <v>119475467.11463028</v>
      </c>
      <c r="AI756" s="507">
        <f>Port[[#This Row],[ECL_Undrawn (CNY)]]*Port[[#This Row],[CNY -&gt; THB]]</f>
        <v>0</v>
      </c>
      <c r="AJ756" s="507">
        <f>Port[[#This Row],[ECL (CNY)]]*Port[[#This Row],[CNY -&gt; THB]]</f>
        <v>119475467.11463028</v>
      </c>
      <c r="AK756" s="507">
        <f>Port[[#This Row],[ECL_Interest (CNY)]]*Port[[#This Row],[CNY -&gt; THB]]</f>
        <v>513353.98408154788</v>
      </c>
      <c r="AL756" s="508">
        <f>Port[[#This Row],[EAD (THB)]]*Port[[#This Row],[PD_avg]]</f>
        <v>140559373.07603565</v>
      </c>
      <c r="AM756" s="508">
        <f>Port[[#This Row],[EAD_Interest (THB)]]*Port[[#This Row],[PD_avg]]</f>
        <v>603945.86362535064</v>
      </c>
      <c r="AN756" s="508">
        <f>Port[[#This Row],[EAD (THB)]]*Port[[#This Row],[LGD_avg]]</f>
        <v>3383464770.0726695</v>
      </c>
      <c r="AO756" s="508">
        <f>Port[[#This Row],[EAD_Interest (THB)]]*Port[[#This Row],[LGD_avg]]</f>
        <v>14537839.120142441</v>
      </c>
      <c r="AP756" s="508">
        <f>Port[[#This Row],[EAD_Drawn (THB)]]+Port[[#This Row],[EAD_Interest (THB)]]</f>
        <v>3997650128.462132</v>
      </c>
      <c r="AQ756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398054678.83207881</v>
      </c>
      <c r="AR756" s="522">
        <f>MAX(Port[[#This Row],[ECL (THB)]]+Port[[#This Row],[ECL_Interest (THB)]], Port[[#This Row],[ECL CBIRC (THB)]])</f>
        <v>398054678.83207881</v>
      </c>
    </row>
    <row r="757" spans="1:44">
      <c r="A757" s="2" t="s">
        <v>733</v>
      </c>
      <c r="B757" s="2" t="s">
        <v>733</v>
      </c>
      <c r="C757" s="2" t="s">
        <v>731</v>
      </c>
      <c r="D757" s="2" t="s">
        <v>718</v>
      </c>
      <c r="E757" s="2" t="s">
        <v>732</v>
      </c>
      <c r="F757" s="2" t="s">
        <v>20</v>
      </c>
      <c r="G757" s="2" t="s">
        <v>21</v>
      </c>
      <c r="H757">
        <v>2</v>
      </c>
      <c r="I757" s="2" t="s">
        <v>740</v>
      </c>
      <c r="J757" s="506">
        <v>9.8840931499704535E-2</v>
      </c>
      <c r="K757" s="506">
        <v>0.85000000000000009</v>
      </c>
      <c r="L757" s="3">
        <v>1</v>
      </c>
      <c r="M757" s="3">
        <v>5.2488000000000001</v>
      </c>
      <c r="N757" s="508">
        <v>1078442.77</v>
      </c>
      <c r="O757" s="508">
        <v>0</v>
      </c>
      <c r="P757" s="508">
        <v>1078442.77</v>
      </c>
      <c r="Q757" s="508">
        <v>24999.249999999996</v>
      </c>
      <c r="R757" s="508">
        <v>90605.144762533382</v>
      </c>
      <c r="S757" s="508">
        <v>0</v>
      </c>
      <c r="T757" s="508">
        <v>90605.144762533382</v>
      </c>
      <c r="U757" s="508">
        <v>2100.3067832748902</v>
      </c>
      <c r="V757" s="508">
        <f>Port[[#This Row],[EAD_Drawn (CNY)]]*Port[[#This Row],[CNY -&gt; FCY]]</f>
        <v>1078442.77</v>
      </c>
      <c r="W757" s="508">
        <f>Port[[#This Row],[EAD_Undrawn (CNY)]]*Port[[#This Row],[CNY -&gt; FCY]]</f>
        <v>0</v>
      </c>
      <c r="X757" s="508">
        <f>Port[[#This Row],[EAD (CNY)]]*Port[[#This Row],[CNY -&gt; FCY]]</f>
        <v>1078442.77</v>
      </c>
      <c r="Y757" s="508">
        <f>Port[[#This Row],[EAD_Interest (CNY)]]*Port[[#This Row],[CNY -&gt; FCY]]</f>
        <v>24999.249999999996</v>
      </c>
      <c r="Z757" s="508">
        <f>Port[[#This Row],[ECL_Drawn (CNY)]]*Port[[#This Row],[CNY -&gt; FCY]]</f>
        <v>90605.144762533382</v>
      </c>
      <c r="AA757" s="508">
        <f>Port[[#This Row],[ECL_Undrawn (CNY)]]*Port[[#This Row],[CNY -&gt; FCY]]</f>
        <v>0</v>
      </c>
      <c r="AB757" s="508">
        <f>Port[[#This Row],[ECL (CNY)]]*Port[[#This Row],[CNY -&gt; FCY]]</f>
        <v>90605.144762533382</v>
      </c>
      <c r="AC757" s="508">
        <f>Port[[#This Row],[ECL_Interest (CNY)]]*Port[[#This Row],[CNY -&gt; FCY]]</f>
        <v>2100.3067832748902</v>
      </c>
      <c r="AD757" s="507">
        <f>Port[[#This Row],[EAD_Drawn (CNY)]]*Port[[#This Row],[CNY -&gt; THB]]</f>
        <v>5660530.4111759998</v>
      </c>
      <c r="AE757" s="507">
        <f>Port[[#This Row],[EAD_Undrawn (CNY)]]*Port[[#This Row],[CNY -&gt; THB]]</f>
        <v>0</v>
      </c>
      <c r="AF757" s="507">
        <f>Port[[#This Row],[EAD (CNY)]]*Port[[#This Row],[CNY -&gt; THB]]</f>
        <v>5660530.4111759998</v>
      </c>
      <c r="AG757" s="507">
        <f>Port[[#This Row],[EAD_Interest (CNY)]]*Port[[#This Row],[CNY -&gt; THB]]</f>
        <v>131216.06339999998</v>
      </c>
      <c r="AH757" s="507">
        <f>Port[[#This Row],[ECL_Drawn (CNY)]]*Port[[#This Row],[CNY -&gt; THB]]</f>
        <v>475568.28382958524</v>
      </c>
      <c r="AI757" s="507">
        <f>Port[[#This Row],[ECL_Undrawn (CNY)]]*Port[[#This Row],[CNY -&gt; THB]]</f>
        <v>0</v>
      </c>
      <c r="AJ757" s="507">
        <f>Port[[#This Row],[ECL (CNY)]]*Port[[#This Row],[CNY -&gt; THB]]</f>
        <v>475568.28382958524</v>
      </c>
      <c r="AK757" s="507">
        <f>Port[[#This Row],[ECL_Interest (CNY)]]*Port[[#This Row],[CNY -&gt; THB]]</f>
        <v>11024.090244053245</v>
      </c>
      <c r="AL757" s="508">
        <f>Port[[#This Row],[EAD (THB)]]*Port[[#This Row],[PD_avg]]</f>
        <v>559492.0986230413</v>
      </c>
      <c r="AM757" s="508">
        <f>Port[[#This Row],[EAD_Interest (THB)]]*Port[[#This Row],[PD_avg]]</f>
        <v>12969.517934180285</v>
      </c>
      <c r="AN757" s="508">
        <f>Port[[#This Row],[EAD (THB)]]*Port[[#This Row],[LGD_avg]]</f>
        <v>4811450.8494996</v>
      </c>
      <c r="AO757" s="508">
        <f>Port[[#This Row],[EAD_Interest (THB)]]*Port[[#This Row],[LGD_avg]]</f>
        <v>111533.65389</v>
      </c>
      <c r="AP757" s="508">
        <f>Port[[#This Row],[EAD_Drawn (THB)]]+Port[[#This Row],[EAD_Interest (THB)]]</f>
        <v>5791746.4745760001</v>
      </c>
      <c r="AQ757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679263.64934112004</v>
      </c>
      <c r="AR757" s="522">
        <f>MAX(Port[[#This Row],[ECL (THB)]]+Port[[#This Row],[ECL_Interest (THB)]], Port[[#This Row],[ECL CBIRC (THB)]])</f>
        <v>679263.64934112004</v>
      </c>
    </row>
    <row r="758" spans="1:44">
      <c r="A758" s="2" t="s">
        <v>734</v>
      </c>
      <c r="B758" s="2" t="s">
        <v>734</v>
      </c>
      <c r="C758" s="2" t="s">
        <v>735</v>
      </c>
      <c r="D758" s="2" t="s">
        <v>736</v>
      </c>
      <c r="E758" s="2" t="s">
        <v>737</v>
      </c>
      <c r="F758" s="2" t="s">
        <v>20</v>
      </c>
      <c r="G758" s="2" t="s">
        <v>21</v>
      </c>
      <c r="H758">
        <v>1</v>
      </c>
      <c r="I758" s="2" t="s">
        <v>526</v>
      </c>
      <c r="J758" s="506">
        <v>2.0514833509807026E-2</v>
      </c>
      <c r="K758" s="506">
        <v>0.89999999999999991</v>
      </c>
      <c r="L758" s="3">
        <v>1</v>
      </c>
      <c r="M758" s="3">
        <v>5.2488000000000001</v>
      </c>
      <c r="N758" s="508">
        <v>430000000</v>
      </c>
      <c r="O758" s="508">
        <v>0</v>
      </c>
      <c r="P758" s="508">
        <v>430000000</v>
      </c>
      <c r="Q758" s="508">
        <v>1598134.1900000277</v>
      </c>
      <c r="R758" s="508">
        <v>7939240.5682953186</v>
      </c>
      <c r="S758" s="508">
        <v>0</v>
      </c>
      <c r="T758" s="508">
        <v>7939240.5682953186</v>
      </c>
      <c r="U758" s="508">
        <v>29506.911150762786</v>
      </c>
      <c r="V758" s="508">
        <f>Port[[#This Row],[EAD_Drawn (CNY)]]*Port[[#This Row],[CNY -&gt; FCY]]</f>
        <v>430000000</v>
      </c>
      <c r="W758" s="508">
        <f>Port[[#This Row],[EAD_Undrawn (CNY)]]*Port[[#This Row],[CNY -&gt; FCY]]</f>
        <v>0</v>
      </c>
      <c r="X758" s="508">
        <f>Port[[#This Row],[EAD (CNY)]]*Port[[#This Row],[CNY -&gt; FCY]]</f>
        <v>430000000</v>
      </c>
      <c r="Y758" s="508">
        <f>Port[[#This Row],[EAD_Interest (CNY)]]*Port[[#This Row],[CNY -&gt; FCY]]</f>
        <v>1598134.1900000277</v>
      </c>
      <c r="Z758" s="508">
        <f>Port[[#This Row],[ECL_Drawn (CNY)]]*Port[[#This Row],[CNY -&gt; FCY]]</f>
        <v>7939240.5682953186</v>
      </c>
      <c r="AA758" s="508">
        <f>Port[[#This Row],[ECL_Undrawn (CNY)]]*Port[[#This Row],[CNY -&gt; FCY]]</f>
        <v>0</v>
      </c>
      <c r="AB758" s="508">
        <f>Port[[#This Row],[ECL (CNY)]]*Port[[#This Row],[CNY -&gt; FCY]]</f>
        <v>7939240.5682953186</v>
      </c>
      <c r="AC758" s="508">
        <f>Port[[#This Row],[ECL_Interest (CNY)]]*Port[[#This Row],[CNY -&gt; FCY]]</f>
        <v>29506.911150762786</v>
      </c>
      <c r="AD758" s="507">
        <f>Port[[#This Row],[EAD_Drawn (CNY)]]*Port[[#This Row],[CNY -&gt; THB]]</f>
        <v>2256984000</v>
      </c>
      <c r="AE758" s="507">
        <f>Port[[#This Row],[EAD_Undrawn (CNY)]]*Port[[#This Row],[CNY -&gt; THB]]</f>
        <v>0</v>
      </c>
      <c r="AF758" s="507">
        <f>Port[[#This Row],[EAD (CNY)]]*Port[[#This Row],[CNY -&gt; THB]]</f>
        <v>2256984000</v>
      </c>
      <c r="AG758" s="507">
        <f>Port[[#This Row],[EAD_Interest (CNY)]]*Port[[#This Row],[CNY -&gt; THB]]</f>
        <v>8388286.7364721457</v>
      </c>
      <c r="AH758" s="507">
        <f>Port[[#This Row],[ECL_Drawn (CNY)]]*Port[[#This Row],[CNY -&gt; THB]]</f>
        <v>41671485.894868471</v>
      </c>
      <c r="AI758" s="507">
        <f>Port[[#This Row],[ECL_Undrawn (CNY)]]*Port[[#This Row],[CNY -&gt; THB]]</f>
        <v>0</v>
      </c>
      <c r="AJ758" s="507">
        <f>Port[[#This Row],[ECL (CNY)]]*Port[[#This Row],[CNY -&gt; THB]]</f>
        <v>41671485.894868471</v>
      </c>
      <c r="AK758" s="507">
        <f>Port[[#This Row],[ECL_Interest (CNY)]]*Port[[#This Row],[CNY -&gt; THB]]</f>
        <v>154875.87524812372</v>
      </c>
      <c r="AL758" s="508">
        <f>Port[[#This Row],[EAD (THB)]]*Port[[#This Row],[PD_avg]]</f>
        <v>46301650.994298302</v>
      </c>
      <c r="AM758" s="508">
        <f>Port[[#This Row],[EAD_Interest (THB)]]*Port[[#This Row],[PD_avg]]</f>
        <v>172084.30583124858</v>
      </c>
      <c r="AN758" s="508">
        <f>Port[[#This Row],[EAD (THB)]]*Port[[#This Row],[LGD_avg]]</f>
        <v>2031285599.9999998</v>
      </c>
      <c r="AO758" s="508">
        <f>Port[[#This Row],[EAD_Interest (THB)]]*Port[[#This Row],[LGD_avg]]</f>
        <v>7549458.0628249301</v>
      </c>
      <c r="AP758" s="508">
        <f>Port[[#This Row],[EAD_Drawn (THB)]]+Port[[#This Row],[EAD_Interest (THB)]]</f>
        <v>2265372286.7364721</v>
      </c>
      <c r="AQ758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225698400</v>
      </c>
      <c r="AR758" s="522">
        <f>MAX(Port[[#This Row],[ECL (THB)]]+Port[[#This Row],[ECL_Interest (THB)]], Port[[#This Row],[ECL CBIRC (THB)]])</f>
        <v>225698400</v>
      </c>
    </row>
    <row r="759" spans="1:44">
      <c r="A759" s="2" t="s">
        <v>738</v>
      </c>
      <c r="B759" s="2" t="s">
        <v>738</v>
      </c>
      <c r="C759" s="2" t="s">
        <v>739</v>
      </c>
      <c r="D759" s="2" t="s">
        <v>736</v>
      </c>
      <c r="E759" s="2" t="s">
        <v>737</v>
      </c>
      <c r="F759" s="2" t="s">
        <v>20</v>
      </c>
      <c r="G759" s="2" t="s">
        <v>21</v>
      </c>
      <c r="H759">
        <v>1</v>
      </c>
      <c r="I759" s="2" t="s">
        <v>526</v>
      </c>
      <c r="J759" s="506">
        <v>9.0832004774658653E-4</v>
      </c>
      <c r="K759" s="506">
        <v>0.89999999999999991</v>
      </c>
      <c r="L759" s="3">
        <v>1</v>
      </c>
      <c r="M759" s="3">
        <v>5.2488000000000001</v>
      </c>
      <c r="N759" s="508">
        <v>68206.36</v>
      </c>
      <c r="O759" s="508">
        <v>0</v>
      </c>
      <c r="P759" s="508">
        <v>68206.36</v>
      </c>
      <c r="Q759" s="508">
        <v>83.44</v>
      </c>
      <c r="R759" s="508">
        <v>55.757883754638783</v>
      </c>
      <c r="S759" s="508">
        <v>0</v>
      </c>
      <c r="T759" s="508">
        <v>55.757883754638783</v>
      </c>
      <c r="U759" s="508">
        <v>6.8211202305577659E-2</v>
      </c>
      <c r="V759" s="508">
        <f>Port[[#This Row],[EAD_Drawn (CNY)]]*Port[[#This Row],[CNY -&gt; FCY]]</f>
        <v>68206.36</v>
      </c>
      <c r="W759" s="508">
        <f>Port[[#This Row],[EAD_Undrawn (CNY)]]*Port[[#This Row],[CNY -&gt; FCY]]</f>
        <v>0</v>
      </c>
      <c r="X759" s="508">
        <f>Port[[#This Row],[EAD (CNY)]]*Port[[#This Row],[CNY -&gt; FCY]]</f>
        <v>68206.36</v>
      </c>
      <c r="Y759" s="508">
        <f>Port[[#This Row],[EAD_Interest (CNY)]]*Port[[#This Row],[CNY -&gt; FCY]]</f>
        <v>83.44</v>
      </c>
      <c r="Z759" s="508">
        <f>Port[[#This Row],[ECL_Drawn (CNY)]]*Port[[#This Row],[CNY -&gt; FCY]]</f>
        <v>55.757883754638783</v>
      </c>
      <c r="AA759" s="508">
        <f>Port[[#This Row],[ECL_Undrawn (CNY)]]*Port[[#This Row],[CNY -&gt; FCY]]</f>
        <v>0</v>
      </c>
      <c r="AB759" s="508">
        <f>Port[[#This Row],[ECL (CNY)]]*Port[[#This Row],[CNY -&gt; FCY]]</f>
        <v>55.757883754638783</v>
      </c>
      <c r="AC759" s="508">
        <f>Port[[#This Row],[ECL_Interest (CNY)]]*Port[[#This Row],[CNY -&gt; FCY]]</f>
        <v>6.8211202305577659E-2</v>
      </c>
      <c r="AD759" s="507">
        <f>Port[[#This Row],[EAD_Drawn (CNY)]]*Port[[#This Row],[CNY -&gt; THB]]</f>
        <v>358001.54236800002</v>
      </c>
      <c r="AE759" s="507">
        <f>Port[[#This Row],[EAD_Undrawn (CNY)]]*Port[[#This Row],[CNY -&gt; THB]]</f>
        <v>0</v>
      </c>
      <c r="AF759" s="507">
        <f>Port[[#This Row],[EAD (CNY)]]*Port[[#This Row],[CNY -&gt; THB]]</f>
        <v>358001.54236800002</v>
      </c>
      <c r="AG759" s="507">
        <f>Port[[#This Row],[EAD_Interest (CNY)]]*Port[[#This Row],[CNY -&gt; THB]]</f>
        <v>437.95987200000002</v>
      </c>
      <c r="AH759" s="507">
        <f>Port[[#This Row],[ECL_Drawn (CNY)]]*Port[[#This Row],[CNY -&gt; THB]]</f>
        <v>292.66198025134804</v>
      </c>
      <c r="AI759" s="507">
        <f>Port[[#This Row],[ECL_Undrawn (CNY)]]*Port[[#This Row],[CNY -&gt; THB]]</f>
        <v>0</v>
      </c>
      <c r="AJ759" s="507">
        <f>Port[[#This Row],[ECL (CNY)]]*Port[[#This Row],[CNY -&gt; THB]]</f>
        <v>292.66198025134804</v>
      </c>
      <c r="AK759" s="507">
        <f>Port[[#This Row],[ECL_Interest (CNY)]]*Port[[#This Row],[CNY -&gt; THB]]</f>
        <v>0.35802695866151601</v>
      </c>
      <c r="AL759" s="508">
        <f>Port[[#This Row],[EAD (THB)]]*Port[[#This Row],[PD_avg]]</f>
        <v>325.1799780570534</v>
      </c>
      <c r="AM759" s="508">
        <f>Port[[#This Row],[EAD_Interest (THB)]]*Port[[#This Row],[PD_avg]]</f>
        <v>0.39780773184612894</v>
      </c>
      <c r="AN759" s="508">
        <f>Port[[#This Row],[EAD (THB)]]*Port[[#This Row],[LGD_avg]]</f>
        <v>322201.38813119999</v>
      </c>
      <c r="AO759" s="508">
        <f>Port[[#This Row],[EAD_Interest (THB)]]*Port[[#This Row],[LGD_avg]]</f>
        <v>394.16388480000001</v>
      </c>
      <c r="AP759" s="508">
        <f>Port[[#This Row],[EAD_Drawn (THB)]]+Port[[#This Row],[EAD_Interest (THB)]]</f>
        <v>358439.50224</v>
      </c>
      <c r="AQ759" s="522">
        <f>IFERROR(SUM(VLOOKUP(Port[[#This Row],[Segment]],'CBIRC param'!A:B,2,0),IF(Port[[#This Row],[Stage]]=2,'CBIRC param'!$E$3,IF(Port[[#This Row],[Stage]]=3,'CBIRC param'!$H$3,0)))*Port[[#This Row],[EAD_Drawn (THB)]], Port[[#This Row],[ECL (THB)]]+Port[[#This Row],[ECL_Interest (THB)]])</f>
        <v>35800.154236800001</v>
      </c>
      <c r="AR759" s="522">
        <f>MAX(Port[[#This Row],[ECL (THB)]]+Port[[#This Row],[ECL_Interest (THB)]], Port[[#This Row],[ECL CBIRC (THB)]])</f>
        <v>35800.154236800001</v>
      </c>
    </row>
  </sheetData>
  <phoneticPr fontId="6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7"/>
  <sheetViews>
    <sheetView topLeftCell="AL1" workbookViewId="0">
      <selection activeCell="AP1" sqref="AP1"/>
    </sheetView>
  </sheetViews>
  <sheetFormatPr defaultRowHeight="14.5"/>
  <cols>
    <col min="1" max="1" width="25.26953125" bestFit="1" customWidth="1"/>
    <col min="2" max="2" width="53.453125" bestFit="1" customWidth="1"/>
    <col min="3" max="3" width="11.08984375" bestFit="1" customWidth="1"/>
    <col min="4" max="4" width="66.08984375" bestFit="1" customWidth="1"/>
    <col min="5" max="5" width="27.7265625" bestFit="1" customWidth="1"/>
    <col min="6" max="6" width="15.08984375" bestFit="1" customWidth="1"/>
    <col min="7" max="7" width="11.08984375" bestFit="1" customWidth="1"/>
    <col min="8" max="8" width="9.453125" bestFit="1" customWidth="1"/>
    <col min="9" max="9" width="12.08984375" bestFit="1" customWidth="1"/>
    <col min="10" max="10" width="14.26953125" hidden="1" customWidth="1"/>
    <col min="11" max="11" width="14.453125" hidden="1" customWidth="1"/>
    <col min="12" max="12" width="20.26953125" hidden="1" customWidth="1"/>
    <col min="13" max="13" width="22.7265625" hidden="1" customWidth="1"/>
    <col min="14" max="14" width="13.26953125" hidden="1" customWidth="1"/>
    <col min="15" max="15" width="21.453125" hidden="1" customWidth="1"/>
    <col min="16" max="16" width="11.26953125" bestFit="1" customWidth="1"/>
    <col min="17" max="17" width="13.90625" bestFit="1" customWidth="1"/>
    <col min="18" max="18" width="16.08984375" hidden="1" customWidth="1"/>
    <col min="19" max="19" width="16.26953125" hidden="1" customWidth="1"/>
    <col min="20" max="20" width="22" hidden="1" customWidth="1"/>
    <col min="21" max="21" width="24.453125" hidden="1" customWidth="1"/>
    <col min="22" max="22" width="15" hidden="1" customWidth="1"/>
    <col min="23" max="23" width="23.26953125" hidden="1" customWidth="1"/>
    <col min="24" max="24" width="24.453125" hidden="1" customWidth="1"/>
    <col min="25" max="25" width="26.08984375" hidden="1" customWidth="1"/>
    <col min="26" max="26" width="24.08984375" bestFit="1" customWidth="1"/>
    <col min="27" max="27" width="25.90625" bestFit="1" customWidth="1"/>
    <col min="28" max="28" width="28.453125" bestFit="1" customWidth="1"/>
    <col min="29" max="29" width="34.90625" bestFit="1" customWidth="1"/>
    <col min="30" max="30" width="38.26953125" bestFit="1" customWidth="1"/>
    <col min="31" max="31" width="32.453125" bestFit="1" customWidth="1"/>
    <col min="32" max="32" width="30.08984375" bestFit="1" customWidth="1"/>
    <col min="33" max="33" width="34.453125" bestFit="1" customWidth="1"/>
    <col min="34" max="34" width="22.453125" bestFit="1" customWidth="1"/>
    <col min="35" max="35" width="24.26953125" bestFit="1" customWidth="1"/>
    <col min="36" max="36" width="26.90625" bestFit="1" customWidth="1"/>
    <col min="37" max="37" width="33.26953125" bestFit="1" customWidth="1"/>
    <col min="38" max="38" width="36.7265625" bestFit="1" customWidth="1"/>
    <col min="39" max="39" width="30.90625" bestFit="1" customWidth="1"/>
    <col min="40" max="40" width="28.453125" bestFit="1" customWidth="1"/>
    <col min="41" max="41" width="32.90625" bestFit="1" customWidth="1"/>
  </cols>
  <sheetData>
    <row r="1" spans="1:41">
      <c r="A1" t="s">
        <v>11</v>
      </c>
      <c r="B1" t="s">
        <v>12</v>
      </c>
      <c r="C1" t="s">
        <v>10</v>
      </c>
      <c r="D1" t="s">
        <v>527</v>
      </c>
      <c r="E1" t="s">
        <v>13</v>
      </c>
      <c r="F1" t="s">
        <v>14</v>
      </c>
      <c r="G1" t="s">
        <v>15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</row>
    <row r="2" spans="1:41">
      <c r="A2" s="2" t="s">
        <v>830</v>
      </c>
      <c r="B2" s="2" t="s">
        <v>831</v>
      </c>
      <c r="C2" s="2" t="s">
        <v>171</v>
      </c>
      <c r="D2" s="2" t="s">
        <v>25</v>
      </c>
      <c r="E2" s="2" t="s">
        <v>19</v>
      </c>
      <c r="F2" s="2" t="s">
        <v>173</v>
      </c>
      <c r="G2" s="2" t="s">
        <v>57</v>
      </c>
      <c r="H2">
        <v>1</v>
      </c>
      <c r="I2" s="2" t="s">
        <v>526</v>
      </c>
      <c r="J2" s="3">
        <v>0.15684552284455039</v>
      </c>
      <c r="K2" s="3">
        <v>5.2488000000000001</v>
      </c>
      <c r="L2" s="507">
        <v>104125.08700942039</v>
      </c>
      <c r="M2" s="507">
        <v>0</v>
      </c>
      <c r="N2" s="507">
        <v>104125.08700942039</v>
      </c>
      <c r="O2" s="507">
        <v>0</v>
      </c>
      <c r="P2">
        <v>1</v>
      </c>
      <c r="Q2" s="2" t="s">
        <v>526</v>
      </c>
      <c r="R2" s="3">
        <v>0.15702038124548567</v>
      </c>
      <c r="S2" s="3">
        <v>5.2488000000000001</v>
      </c>
      <c r="T2" s="507">
        <v>104125.08700942039</v>
      </c>
      <c r="U2" s="507">
        <v>0</v>
      </c>
      <c r="V2" s="507">
        <v>104125.08700942039</v>
      </c>
      <c r="W2" s="507">
        <v>0</v>
      </c>
      <c r="X2" s="507">
        <v>104125.08700942039</v>
      </c>
      <c r="Y2" s="507">
        <v>104125.08700942039</v>
      </c>
      <c r="Z2" s="507">
        <v>546531.75669504574</v>
      </c>
      <c r="AA2" s="507">
        <v>546531.75669504574</v>
      </c>
      <c r="AB2" s="507">
        <v>547141.05473111884</v>
      </c>
      <c r="AC2" s="507">
        <v>0</v>
      </c>
      <c r="AD2" s="507">
        <v>-609.29999999999995</v>
      </c>
      <c r="AE2" s="507">
        <v>609.29999999999995</v>
      </c>
      <c r="AF2" s="507"/>
      <c r="AG2" s="507">
        <v>-609.29999999999995</v>
      </c>
      <c r="AH2" s="507">
        <v>0</v>
      </c>
      <c r="AI2" s="507">
        <v>0</v>
      </c>
      <c r="AJ2" s="507">
        <v>0</v>
      </c>
      <c r="AK2" s="507">
        <v>0</v>
      </c>
      <c r="AL2" s="507">
        <v>0</v>
      </c>
      <c r="AM2" s="507">
        <v>0</v>
      </c>
      <c r="AN2" s="507"/>
      <c r="AO2" s="507"/>
    </row>
    <row r="3" spans="1:41">
      <c r="A3" s="2" t="s">
        <v>23</v>
      </c>
      <c r="B3" s="2" t="s">
        <v>24</v>
      </c>
      <c r="C3" s="2" t="s">
        <v>17</v>
      </c>
      <c r="D3" s="2" t="s">
        <v>25</v>
      </c>
      <c r="E3" s="2" t="s">
        <v>19</v>
      </c>
      <c r="F3" s="2" t="s">
        <v>20</v>
      </c>
      <c r="G3" s="2" t="s">
        <v>21</v>
      </c>
      <c r="H3">
        <v>1</v>
      </c>
      <c r="I3" s="2" t="s">
        <v>526</v>
      </c>
      <c r="J3" s="3">
        <v>1</v>
      </c>
      <c r="K3" s="3">
        <v>5.2488000000000001</v>
      </c>
      <c r="L3" s="507">
        <v>451396.78990443388</v>
      </c>
      <c r="M3" s="507">
        <v>0</v>
      </c>
      <c r="N3" s="507">
        <v>451396.78990443388</v>
      </c>
      <c r="O3" s="507">
        <v>373.02927471281237</v>
      </c>
      <c r="P3">
        <v>1</v>
      </c>
      <c r="Q3" s="2" t="s">
        <v>526</v>
      </c>
      <c r="R3" s="3">
        <v>1</v>
      </c>
      <c r="S3" s="3">
        <v>5.2488000000000001</v>
      </c>
      <c r="T3" s="507">
        <v>452206.35927959409</v>
      </c>
      <c r="U3" s="507">
        <v>0</v>
      </c>
      <c r="V3" s="507">
        <v>452206.35927959409</v>
      </c>
      <c r="W3" s="507">
        <v>4258.7539127670661</v>
      </c>
      <c r="X3" s="507">
        <v>451769.81917914673</v>
      </c>
      <c r="Y3" s="507">
        <v>456465.11319236114</v>
      </c>
      <c r="Z3" s="507">
        <v>2371249.4269075054</v>
      </c>
      <c r="AA3" s="507">
        <v>2395894.0861240653</v>
      </c>
      <c r="AB3" s="507">
        <v>2395894.0861240653</v>
      </c>
      <c r="AC3" s="507">
        <v>-24644.66</v>
      </c>
      <c r="AD3" s="507">
        <v>-24644.66</v>
      </c>
      <c r="AE3" s="507">
        <v>0</v>
      </c>
      <c r="AF3" s="507"/>
      <c r="AG3" s="507">
        <v>-24644.66</v>
      </c>
      <c r="AH3" s="507">
        <v>0</v>
      </c>
      <c r="AI3" s="507">
        <v>0</v>
      </c>
      <c r="AJ3" s="507">
        <v>0</v>
      </c>
      <c r="AK3" s="507">
        <v>0</v>
      </c>
      <c r="AL3" s="507">
        <v>0</v>
      </c>
      <c r="AM3" s="507">
        <v>0</v>
      </c>
      <c r="AN3" s="507"/>
      <c r="AO3" s="507"/>
    </row>
    <row r="4" spans="1:41">
      <c r="A4" s="2" t="s">
        <v>26</v>
      </c>
      <c r="B4" s="2" t="s">
        <v>27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>
        <v>1</v>
      </c>
      <c r="I4" s="2" t="s">
        <v>526</v>
      </c>
      <c r="J4" s="3">
        <v>1</v>
      </c>
      <c r="K4" s="3">
        <v>5.2488000000000001</v>
      </c>
      <c r="L4" s="507">
        <v>301247.60458551685</v>
      </c>
      <c r="M4" s="507">
        <v>0</v>
      </c>
      <c r="N4" s="507">
        <v>301247.60458551685</v>
      </c>
      <c r="O4" s="507">
        <v>263.59164813599341</v>
      </c>
      <c r="P4">
        <v>1</v>
      </c>
      <c r="Q4" s="2" t="s">
        <v>526</v>
      </c>
      <c r="R4" s="3">
        <v>1</v>
      </c>
      <c r="S4" s="3">
        <v>5.2488000000000001</v>
      </c>
      <c r="T4" s="507">
        <v>302652.92158128007</v>
      </c>
      <c r="U4" s="507">
        <v>0</v>
      </c>
      <c r="V4" s="507">
        <v>302652.92158128007</v>
      </c>
      <c r="W4" s="507">
        <v>2496.8865797420412</v>
      </c>
      <c r="X4" s="507">
        <v>301511.19623365282</v>
      </c>
      <c r="Y4" s="507">
        <v>305149.80816102208</v>
      </c>
      <c r="Z4" s="507">
        <v>1582571.966791197</v>
      </c>
      <c r="AA4" s="507">
        <v>1601670.3130755727</v>
      </c>
      <c r="AB4" s="507">
        <v>1601670.3130755727</v>
      </c>
      <c r="AC4" s="507">
        <v>-19098.349999999999</v>
      </c>
      <c r="AD4" s="507">
        <v>-19098.349999999999</v>
      </c>
      <c r="AE4" s="507">
        <v>0</v>
      </c>
      <c r="AF4" s="507"/>
      <c r="AG4" s="507">
        <v>-19098.349999999999</v>
      </c>
      <c r="AH4" s="507">
        <v>0</v>
      </c>
      <c r="AI4" s="507">
        <v>0</v>
      </c>
      <c r="AJ4" s="507">
        <v>0</v>
      </c>
      <c r="AK4" s="507">
        <v>0</v>
      </c>
      <c r="AL4" s="507">
        <v>0</v>
      </c>
      <c r="AM4" s="507">
        <v>0</v>
      </c>
      <c r="AN4" s="507"/>
      <c r="AO4" s="507"/>
    </row>
    <row r="5" spans="1:41">
      <c r="A5" s="2" t="s">
        <v>832</v>
      </c>
      <c r="B5" s="2" t="s">
        <v>833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>
        <v>1</v>
      </c>
      <c r="I5" s="2" t="s">
        <v>526</v>
      </c>
      <c r="J5" s="3">
        <v>1</v>
      </c>
      <c r="K5" s="3">
        <v>5.2488000000000001</v>
      </c>
      <c r="L5" s="507">
        <v>571509.63585623365</v>
      </c>
      <c r="M5" s="507">
        <v>0</v>
      </c>
      <c r="N5" s="507">
        <v>571509.63585623365</v>
      </c>
      <c r="O5" s="507">
        <v>472.28910252788177</v>
      </c>
      <c r="P5">
        <v>1</v>
      </c>
      <c r="Q5" s="2" t="s">
        <v>526</v>
      </c>
      <c r="R5" s="3">
        <v>1</v>
      </c>
      <c r="S5" s="3">
        <v>5.2488000000000001</v>
      </c>
      <c r="T5" s="507">
        <v>571958.31169716618</v>
      </c>
      <c r="U5" s="507">
        <v>0</v>
      </c>
      <c r="V5" s="507">
        <v>571958.31169716618</v>
      </c>
      <c r="W5" s="507">
        <v>4456.5084290812429</v>
      </c>
      <c r="X5" s="507">
        <v>571981.92495876155</v>
      </c>
      <c r="Y5" s="507">
        <v>576414.82012624748</v>
      </c>
      <c r="Z5" s="507">
        <v>3002218.7277235477</v>
      </c>
      <c r="AA5" s="507">
        <v>3025486.1078786477</v>
      </c>
      <c r="AB5" s="507">
        <v>3025486.1078786477</v>
      </c>
      <c r="AC5" s="507">
        <v>-23267.38</v>
      </c>
      <c r="AD5" s="507">
        <v>-23267.38</v>
      </c>
      <c r="AE5" s="507">
        <v>0</v>
      </c>
      <c r="AF5" s="507"/>
      <c r="AG5" s="507">
        <v>-23267.38</v>
      </c>
      <c r="AH5" s="507">
        <v>0</v>
      </c>
      <c r="AI5" s="507">
        <v>0</v>
      </c>
      <c r="AJ5" s="507">
        <v>0</v>
      </c>
      <c r="AK5" s="507">
        <v>0</v>
      </c>
      <c r="AL5" s="507">
        <v>0</v>
      </c>
      <c r="AM5" s="507">
        <v>0</v>
      </c>
      <c r="AN5" s="507"/>
      <c r="AO5" s="507"/>
    </row>
    <row r="6" spans="1:41">
      <c r="A6" s="2" t="s">
        <v>834</v>
      </c>
      <c r="B6" s="2" t="s">
        <v>27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>
        <v>1</v>
      </c>
      <c r="I6" s="2" t="s">
        <v>526</v>
      </c>
      <c r="J6" s="3">
        <v>1</v>
      </c>
      <c r="K6" s="3">
        <v>5.2488000000000001</v>
      </c>
      <c r="L6" s="507">
        <v>108686.61475408054</v>
      </c>
      <c r="M6" s="507">
        <v>0</v>
      </c>
      <c r="N6" s="507">
        <v>108686.61475408054</v>
      </c>
      <c r="O6" s="507">
        <v>95.100804745880041</v>
      </c>
      <c r="P6">
        <v>1</v>
      </c>
      <c r="Q6" s="2" t="s">
        <v>526</v>
      </c>
      <c r="R6" s="3">
        <v>1</v>
      </c>
      <c r="S6" s="3">
        <v>5.2488000000000001</v>
      </c>
      <c r="T6" s="507">
        <v>110091.93169206385</v>
      </c>
      <c r="U6" s="507">
        <v>0</v>
      </c>
      <c r="V6" s="507">
        <v>110091.93169206385</v>
      </c>
      <c r="W6" s="507">
        <v>908.2584138394468</v>
      </c>
      <c r="X6" s="507">
        <v>108781.71555882641</v>
      </c>
      <c r="Y6" s="507">
        <v>111000.1901059033</v>
      </c>
      <c r="Z6" s="507">
        <v>570973.46862516808</v>
      </c>
      <c r="AA6" s="507">
        <v>582617.79782786523</v>
      </c>
      <c r="AB6" s="507">
        <v>582617.79782786523</v>
      </c>
      <c r="AC6" s="507">
        <v>-11644.33</v>
      </c>
      <c r="AD6" s="507">
        <v>-11644.33</v>
      </c>
      <c r="AE6" s="507">
        <v>0</v>
      </c>
      <c r="AF6" s="507"/>
      <c r="AG6" s="507">
        <v>-11644.33</v>
      </c>
      <c r="AH6" s="507">
        <v>0</v>
      </c>
      <c r="AI6" s="507">
        <v>0</v>
      </c>
      <c r="AJ6" s="507">
        <v>0</v>
      </c>
      <c r="AK6" s="507">
        <v>0</v>
      </c>
      <c r="AL6" s="507">
        <v>0</v>
      </c>
      <c r="AM6" s="507">
        <v>0</v>
      </c>
      <c r="AN6" s="507"/>
      <c r="AO6" s="507"/>
    </row>
    <row r="7" spans="1:41">
      <c r="A7" s="2" t="s">
        <v>835</v>
      </c>
      <c r="B7" s="2" t="s">
        <v>27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>
        <v>1</v>
      </c>
      <c r="I7" s="2" t="s">
        <v>526</v>
      </c>
      <c r="J7" s="3">
        <v>1</v>
      </c>
      <c r="K7" s="3">
        <v>5.2488000000000001</v>
      </c>
      <c r="L7" s="507">
        <v>121496.26603560829</v>
      </c>
      <c r="M7" s="507">
        <v>0</v>
      </c>
      <c r="N7" s="507">
        <v>121496.26603560829</v>
      </c>
      <c r="O7" s="507">
        <v>106.30921845787586</v>
      </c>
      <c r="P7">
        <v>1</v>
      </c>
      <c r="Q7" s="2" t="s">
        <v>526</v>
      </c>
      <c r="R7" s="3">
        <v>1</v>
      </c>
      <c r="S7" s="3">
        <v>5.2488000000000001</v>
      </c>
      <c r="T7" s="507">
        <v>122901.5830136514</v>
      </c>
      <c r="U7" s="507">
        <v>0</v>
      </c>
      <c r="V7" s="507">
        <v>122901.5830136514</v>
      </c>
      <c r="W7" s="507">
        <v>1013.9380266158078</v>
      </c>
      <c r="X7" s="507">
        <v>121602.57525406616</v>
      </c>
      <c r="Y7" s="507">
        <v>123915.52104026721</v>
      </c>
      <c r="Z7" s="507">
        <v>638267.59699354251</v>
      </c>
      <c r="AA7" s="507">
        <v>650407.78683615453</v>
      </c>
      <c r="AB7" s="507">
        <v>650407.78683615453</v>
      </c>
      <c r="AC7" s="507">
        <v>-12140.19</v>
      </c>
      <c r="AD7" s="507">
        <v>-12140.19</v>
      </c>
      <c r="AE7" s="507">
        <v>0</v>
      </c>
      <c r="AF7" s="507"/>
      <c r="AG7" s="507">
        <v>-12140.19</v>
      </c>
      <c r="AH7" s="507">
        <v>0</v>
      </c>
      <c r="AI7" s="507">
        <v>0</v>
      </c>
      <c r="AJ7" s="507">
        <v>0</v>
      </c>
      <c r="AK7" s="507">
        <v>0</v>
      </c>
      <c r="AL7" s="507">
        <v>0</v>
      </c>
      <c r="AM7" s="507">
        <v>0</v>
      </c>
      <c r="AN7" s="507"/>
      <c r="AO7" s="507"/>
    </row>
    <row r="8" spans="1:41">
      <c r="A8" s="2" t="s">
        <v>836</v>
      </c>
      <c r="B8" s="2" t="s">
        <v>24</v>
      </c>
      <c r="C8" s="2" t="s">
        <v>17</v>
      </c>
      <c r="D8" s="2" t="s">
        <v>25</v>
      </c>
      <c r="E8" s="2" t="s">
        <v>19</v>
      </c>
      <c r="F8" s="2" t="s">
        <v>20</v>
      </c>
      <c r="G8" s="2" t="s">
        <v>21</v>
      </c>
      <c r="H8">
        <v>1</v>
      </c>
      <c r="I8" s="2" t="s">
        <v>526</v>
      </c>
      <c r="J8" s="3">
        <v>1</v>
      </c>
      <c r="K8" s="3">
        <v>5.2488000000000001</v>
      </c>
      <c r="L8" s="507">
        <v>98751.421642007757</v>
      </c>
      <c r="M8" s="507">
        <v>0</v>
      </c>
      <c r="N8" s="507">
        <v>98751.421642007757</v>
      </c>
      <c r="O8" s="507">
        <v>86.407493936756808</v>
      </c>
      <c r="P8">
        <v>1</v>
      </c>
      <c r="Q8" s="2" t="s">
        <v>526</v>
      </c>
      <c r="R8" s="3">
        <v>1</v>
      </c>
      <c r="S8" s="3">
        <v>5.2488000000000001</v>
      </c>
      <c r="T8" s="507">
        <v>164068.87141641154</v>
      </c>
      <c r="U8" s="507">
        <v>0</v>
      </c>
      <c r="V8" s="507">
        <v>164068.87141641154</v>
      </c>
      <c r="W8" s="507">
        <v>1353.5681891853949</v>
      </c>
      <c r="X8" s="507">
        <v>98837.829135944514</v>
      </c>
      <c r="Y8" s="507">
        <v>165422.43960559694</v>
      </c>
      <c r="Z8" s="507">
        <v>518779.99756874557</v>
      </c>
      <c r="AA8" s="507">
        <v>868269.30100185727</v>
      </c>
      <c r="AB8" s="507">
        <v>868269.30100185727</v>
      </c>
      <c r="AC8" s="507">
        <v>-349489.3</v>
      </c>
      <c r="AD8" s="507">
        <v>-349489.3</v>
      </c>
      <c r="AE8" s="507">
        <v>0</v>
      </c>
      <c r="AF8" s="507"/>
      <c r="AG8" s="507">
        <v>-349489.3</v>
      </c>
      <c r="AH8" s="507">
        <v>0</v>
      </c>
      <c r="AI8" s="507">
        <v>0</v>
      </c>
      <c r="AJ8" s="507">
        <v>0</v>
      </c>
      <c r="AK8" s="507">
        <v>0</v>
      </c>
      <c r="AL8" s="507">
        <v>0</v>
      </c>
      <c r="AM8" s="507">
        <v>0</v>
      </c>
      <c r="AN8" s="507"/>
      <c r="AO8" s="507"/>
    </row>
    <row r="9" spans="1:41">
      <c r="A9" s="2" t="s">
        <v>837</v>
      </c>
      <c r="B9" s="2" t="s">
        <v>838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>
        <v>1</v>
      </c>
      <c r="I9" s="2" t="s">
        <v>526</v>
      </c>
      <c r="J9" s="3">
        <v>1</v>
      </c>
      <c r="K9" s="3">
        <v>5.2488000000000001</v>
      </c>
      <c r="L9" s="507">
        <v>2164938.7186721261</v>
      </c>
      <c r="M9" s="507">
        <v>0</v>
      </c>
      <c r="N9" s="507">
        <v>2164938.7186721261</v>
      </c>
      <c r="O9" s="507">
        <v>1843.8059977398464</v>
      </c>
      <c r="P9">
        <v>1</v>
      </c>
      <c r="Q9" s="2" t="s">
        <v>526</v>
      </c>
      <c r="R9" s="3">
        <v>1</v>
      </c>
      <c r="S9" s="3">
        <v>5.2488000000000001</v>
      </c>
      <c r="T9" s="507">
        <v>2164938.7186721261</v>
      </c>
      <c r="U9" s="507">
        <v>0</v>
      </c>
      <c r="V9" s="507">
        <v>2164938.7186721261</v>
      </c>
      <c r="W9" s="507">
        <v>11589.638751620696</v>
      </c>
      <c r="X9" s="507">
        <v>2166782.5246698661</v>
      </c>
      <c r="Y9" s="507">
        <v>2176528.357423747</v>
      </c>
      <c r="Z9" s="507">
        <v>11373008.115487194</v>
      </c>
      <c r="AA9" s="507">
        <v>11424162.042445764</v>
      </c>
      <c r="AB9" s="507">
        <v>11424162.042445764</v>
      </c>
      <c r="AC9" s="507">
        <v>-51153.93</v>
      </c>
      <c r="AD9" s="507">
        <v>-51153.93</v>
      </c>
      <c r="AE9" s="507">
        <v>0</v>
      </c>
      <c r="AF9" s="507"/>
      <c r="AG9" s="507">
        <v>-51153.93</v>
      </c>
      <c r="AH9" s="507">
        <v>0</v>
      </c>
      <c r="AI9" s="507">
        <v>0</v>
      </c>
      <c r="AJ9" s="507">
        <v>0</v>
      </c>
      <c r="AK9" s="507">
        <v>0</v>
      </c>
      <c r="AL9" s="507">
        <v>0</v>
      </c>
      <c r="AM9" s="507">
        <v>0</v>
      </c>
      <c r="AN9" s="507"/>
      <c r="AO9" s="507"/>
    </row>
    <row r="10" spans="1:41">
      <c r="A10" s="2" t="s">
        <v>839</v>
      </c>
      <c r="B10" s="2" t="s">
        <v>22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>
        <v>1</v>
      </c>
      <c r="I10" s="2" t="s">
        <v>526</v>
      </c>
      <c r="J10" s="3">
        <v>1</v>
      </c>
      <c r="K10" s="3">
        <v>5.2488000000000001</v>
      </c>
      <c r="L10" s="507">
        <v>94068.73743083085</v>
      </c>
      <c r="M10" s="507">
        <v>0</v>
      </c>
      <c r="N10" s="507">
        <v>94068.73743083085</v>
      </c>
      <c r="O10" s="507">
        <v>846.9322150137034</v>
      </c>
      <c r="P10">
        <v>1</v>
      </c>
      <c r="Q10" s="2" t="s">
        <v>526</v>
      </c>
      <c r="R10" s="3">
        <v>1</v>
      </c>
      <c r="S10" s="3">
        <v>5.2488000000000001</v>
      </c>
      <c r="T10" s="507">
        <v>94068.73743083085</v>
      </c>
      <c r="U10" s="507">
        <v>0</v>
      </c>
      <c r="V10" s="507">
        <v>94068.73743083085</v>
      </c>
      <c r="W10" s="507">
        <v>480.6912482715457</v>
      </c>
      <c r="X10" s="507">
        <v>94915.669645844551</v>
      </c>
      <c r="Y10" s="507">
        <v>94549.428679102391</v>
      </c>
      <c r="Z10" s="507">
        <v>498193.36683710892</v>
      </c>
      <c r="AA10" s="507">
        <v>496271.04125087266</v>
      </c>
      <c r="AB10" s="507">
        <v>496271.04125087266</v>
      </c>
      <c r="AC10" s="507">
        <v>1922.33</v>
      </c>
      <c r="AD10" s="507">
        <v>1922.33</v>
      </c>
      <c r="AE10" s="507">
        <v>0</v>
      </c>
      <c r="AF10" s="507">
        <v>1922.33</v>
      </c>
      <c r="AG10" s="507"/>
      <c r="AH10" s="507">
        <v>0</v>
      </c>
      <c r="AI10" s="507">
        <v>0</v>
      </c>
      <c r="AJ10" s="507">
        <v>0</v>
      </c>
      <c r="AK10" s="507">
        <v>0</v>
      </c>
      <c r="AL10" s="507">
        <v>0</v>
      </c>
      <c r="AM10" s="507">
        <v>0</v>
      </c>
      <c r="AN10" s="507"/>
      <c r="AO10" s="507"/>
    </row>
    <row r="11" spans="1:41">
      <c r="A11" s="2" t="s">
        <v>840</v>
      </c>
      <c r="B11" s="2" t="s">
        <v>22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>
        <v>1</v>
      </c>
      <c r="I11" s="2" t="s">
        <v>526</v>
      </c>
      <c r="J11" s="3">
        <v>1</v>
      </c>
      <c r="K11" s="3">
        <v>5.2488000000000001</v>
      </c>
      <c r="L11" s="507">
        <v>122289.35866008012</v>
      </c>
      <c r="M11" s="507">
        <v>0</v>
      </c>
      <c r="N11" s="507">
        <v>122289.35866008012</v>
      </c>
      <c r="O11" s="507">
        <v>937.3479341295141</v>
      </c>
      <c r="P11">
        <v>1</v>
      </c>
      <c r="Q11" s="2" t="s">
        <v>526</v>
      </c>
      <c r="R11" s="3">
        <v>1</v>
      </c>
      <c r="S11" s="3">
        <v>5.2488000000000001</v>
      </c>
      <c r="T11" s="507">
        <v>122289.35866008012</v>
      </c>
      <c r="U11" s="507">
        <v>0</v>
      </c>
      <c r="V11" s="507">
        <v>122289.35866008012</v>
      </c>
      <c r="W11" s="507">
        <v>461.23468206814596</v>
      </c>
      <c r="X11" s="507">
        <v>123226.70659420964</v>
      </c>
      <c r="Y11" s="507">
        <v>122750.59334214826</v>
      </c>
      <c r="Z11" s="507">
        <v>646792.33757168753</v>
      </c>
      <c r="AA11" s="507">
        <v>644293.31433426787</v>
      </c>
      <c r="AB11" s="507">
        <v>644293.31433426787</v>
      </c>
      <c r="AC11" s="507">
        <v>2499.02</v>
      </c>
      <c r="AD11" s="507">
        <v>2499.02</v>
      </c>
      <c r="AE11" s="507">
        <v>0</v>
      </c>
      <c r="AF11" s="507">
        <v>2499.02</v>
      </c>
      <c r="AG11" s="507"/>
      <c r="AH11" s="507">
        <v>0</v>
      </c>
      <c r="AI11" s="507">
        <v>0</v>
      </c>
      <c r="AJ11" s="507">
        <v>0</v>
      </c>
      <c r="AK11" s="507">
        <v>0</v>
      </c>
      <c r="AL11" s="507">
        <v>0</v>
      </c>
      <c r="AM11" s="507">
        <v>0</v>
      </c>
      <c r="AN11" s="507"/>
      <c r="AO11" s="507"/>
    </row>
    <row r="12" spans="1:41">
      <c r="A12" s="2" t="s">
        <v>841</v>
      </c>
      <c r="B12" s="2" t="s">
        <v>22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>
        <v>1</v>
      </c>
      <c r="I12" s="2" t="s">
        <v>526</v>
      </c>
      <c r="J12" s="3">
        <v>1</v>
      </c>
      <c r="K12" s="3">
        <v>5.2488000000000001</v>
      </c>
      <c r="L12" s="507">
        <v>89365.300559289317</v>
      </c>
      <c r="M12" s="507">
        <v>0</v>
      </c>
      <c r="N12" s="507">
        <v>89365.300559289317</v>
      </c>
      <c r="O12" s="507">
        <v>652.36669408281205</v>
      </c>
      <c r="P12">
        <v>1</v>
      </c>
      <c r="Q12" s="2" t="s">
        <v>526</v>
      </c>
      <c r="R12" s="3">
        <v>1</v>
      </c>
      <c r="S12" s="3">
        <v>5.2488000000000001</v>
      </c>
      <c r="T12" s="507">
        <v>89365.300559289317</v>
      </c>
      <c r="U12" s="507">
        <v>0</v>
      </c>
      <c r="V12" s="507">
        <v>89365.300559289317</v>
      </c>
      <c r="W12" s="507">
        <v>304.4378062501018</v>
      </c>
      <c r="X12" s="507">
        <v>90017.667253372128</v>
      </c>
      <c r="Y12" s="507">
        <v>89669.738365539422</v>
      </c>
      <c r="Z12" s="507">
        <v>472484.73187949962</v>
      </c>
      <c r="AA12" s="507">
        <v>470658.52273304336</v>
      </c>
      <c r="AB12" s="507">
        <v>470658.52273304336</v>
      </c>
      <c r="AC12" s="507">
        <v>1826.21</v>
      </c>
      <c r="AD12" s="507">
        <v>1826.21</v>
      </c>
      <c r="AE12" s="507">
        <v>0</v>
      </c>
      <c r="AF12" s="507">
        <v>1826.21</v>
      </c>
      <c r="AG12" s="507"/>
      <c r="AH12" s="507">
        <v>0</v>
      </c>
      <c r="AI12" s="507">
        <v>0</v>
      </c>
      <c r="AJ12" s="507">
        <v>0</v>
      </c>
      <c r="AK12" s="507">
        <v>0</v>
      </c>
      <c r="AL12" s="507">
        <v>0</v>
      </c>
      <c r="AM12" s="507">
        <v>0</v>
      </c>
      <c r="AN12" s="507"/>
      <c r="AO12" s="507"/>
    </row>
    <row r="13" spans="1:41">
      <c r="A13" s="2" t="s">
        <v>842</v>
      </c>
      <c r="B13" s="2" t="s">
        <v>27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>
        <v>1</v>
      </c>
      <c r="I13" s="2" t="s">
        <v>526</v>
      </c>
      <c r="J13" s="3">
        <v>1</v>
      </c>
      <c r="K13" s="3">
        <v>5.2488000000000001</v>
      </c>
      <c r="L13" s="507">
        <v>683094.21271575312</v>
      </c>
      <c r="M13" s="507">
        <v>0</v>
      </c>
      <c r="N13" s="507">
        <v>683094.21271575312</v>
      </c>
      <c r="O13" s="507">
        <v>5123.2065953681486</v>
      </c>
      <c r="P13">
        <v>1</v>
      </c>
      <c r="Q13" s="2" t="s">
        <v>526</v>
      </c>
      <c r="R13" s="3">
        <v>1</v>
      </c>
      <c r="S13" s="3">
        <v>5.2488000000000001</v>
      </c>
      <c r="T13" s="507">
        <v>682137.26885682042</v>
      </c>
      <c r="U13" s="507">
        <v>0</v>
      </c>
      <c r="V13" s="507">
        <v>682137.26885682042</v>
      </c>
      <c r="W13" s="507">
        <v>2387.4804409988719</v>
      </c>
      <c r="X13" s="507">
        <v>688217.41931112122</v>
      </c>
      <c r="Y13" s="507">
        <v>684524.74929781933</v>
      </c>
      <c r="Z13" s="507">
        <v>3612315.5904802131</v>
      </c>
      <c r="AA13" s="507">
        <v>3592933.5041143941</v>
      </c>
      <c r="AB13" s="507">
        <v>3592933.5041143941</v>
      </c>
      <c r="AC13" s="507">
        <v>19382.09</v>
      </c>
      <c r="AD13" s="507">
        <v>19382.09</v>
      </c>
      <c r="AE13" s="507">
        <v>0</v>
      </c>
      <c r="AF13" s="507">
        <v>19382.09</v>
      </c>
      <c r="AG13" s="507"/>
      <c r="AH13" s="507">
        <v>0</v>
      </c>
      <c r="AI13" s="507">
        <v>0</v>
      </c>
      <c r="AJ13" s="507">
        <v>0</v>
      </c>
      <c r="AK13" s="507">
        <v>0</v>
      </c>
      <c r="AL13" s="507">
        <v>0</v>
      </c>
      <c r="AM13" s="507">
        <v>0</v>
      </c>
      <c r="AN13" s="507"/>
      <c r="AO13" s="507"/>
    </row>
    <row r="14" spans="1:41">
      <c r="A14" s="2" t="s">
        <v>843</v>
      </c>
      <c r="B14" s="2" t="s">
        <v>838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>
        <v>1</v>
      </c>
      <c r="I14" s="2" t="s">
        <v>526</v>
      </c>
      <c r="J14" s="3">
        <v>1</v>
      </c>
      <c r="K14" s="3">
        <v>5.2488000000000001</v>
      </c>
      <c r="L14" s="507">
        <v>6494816.1560163796</v>
      </c>
      <c r="M14" s="507">
        <v>0</v>
      </c>
      <c r="N14" s="507">
        <v>6494816.1560163796</v>
      </c>
      <c r="O14" s="507">
        <v>5531.4184262072822</v>
      </c>
      <c r="P14">
        <v>1</v>
      </c>
      <c r="Q14" s="2" t="s">
        <v>526</v>
      </c>
      <c r="R14" s="3">
        <v>1</v>
      </c>
      <c r="S14" s="3">
        <v>5.2488000000000001</v>
      </c>
      <c r="T14" s="507">
        <v>6494816.1560163796</v>
      </c>
      <c r="U14" s="507">
        <v>0</v>
      </c>
      <c r="V14" s="507">
        <v>6494816.1560163796</v>
      </c>
      <c r="W14" s="507">
        <v>17384.457910937177</v>
      </c>
      <c r="X14" s="507">
        <v>6500347.5744425869</v>
      </c>
      <c r="Y14" s="507">
        <v>6512200.6139273169</v>
      </c>
      <c r="Z14" s="507">
        <v>34119024.348734252</v>
      </c>
      <c r="AA14" s="507">
        <v>34181238.582381703</v>
      </c>
      <c r="AB14" s="507">
        <v>34181238.582381703</v>
      </c>
      <c r="AC14" s="507">
        <v>-62214.23</v>
      </c>
      <c r="AD14" s="507">
        <v>-62214.23</v>
      </c>
      <c r="AE14" s="507">
        <v>0</v>
      </c>
      <c r="AF14" s="507"/>
      <c r="AG14" s="507">
        <v>-62214.23</v>
      </c>
      <c r="AH14" s="507">
        <v>0</v>
      </c>
      <c r="AI14" s="507">
        <v>0</v>
      </c>
      <c r="AJ14" s="507">
        <v>0</v>
      </c>
      <c r="AK14" s="507">
        <v>0</v>
      </c>
      <c r="AL14" s="507">
        <v>0</v>
      </c>
      <c r="AM14" s="507">
        <v>0</v>
      </c>
      <c r="AN14" s="507"/>
      <c r="AO14" s="507"/>
    </row>
    <row r="15" spans="1:41">
      <c r="A15" s="2" t="s">
        <v>844</v>
      </c>
      <c r="B15" s="2" t="s">
        <v>22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>
        <v>1</v>
      </c>
      <c r="I15" s="2" t="s">
        <v>526</v>
      </c>
      <c r="J15" s="3">
        <v>1</v>
      </c>
      <c r="K15" s="3">
        <v>5.2488000000000001</v>
      </c>
      <c r="L15" s="507">
        <v>216358.09609091096</v>
      </c>
      <c r="M15" s="507">
        <v>0</v>
      </c>
      <c r="N15" s="507">
        <v>216358.09609091096</v>
      </c>
      <c r="O15" s="507">
        <v>1395.1491072814347</v>
      </c>
      <c r="P15">
        <v>1</v>
      </c>
      <c r="Q15" s="2" t="s">
        <v>526</v>
      </c>
      <c r="R15" s="3">
        <v>1</v>
      </c>
      <c r="S15" s="3">
        <v>5.2488000000000001</v>
      </c>
      <c r="T15" s="507">
        <v>216358.09609091096</v>
      </c>
      <c r="U15" s="507">
        <v>0</v>
      </c>
      <c r="V15" s="507">
        <v>216358.09609091096</v>
      </c>
      <c r="W15" s="507">
        <v>552.79493551227756</v>
      </c>
      <c r="X15" s="507">
        <v>217753.2451981924</v>
      </c>
      <c r="Y15" s="507">
        <v>216910.89102642323</v>
      </c>
      <c r="Z15" s="507">
        <v>1142943.2333962722</v>
      </c>
      <c r="AA15" s="507">
        <v>1138521.8848194904</v>
      </c>
      <c r="AB15" s="507">
        <v>1138521.8848194904</v>
      </c>
      <c r="AC15" s="507">
        <v>4421.3500000000004</v>
      </c>
      <c r="AD15" s="507">
        <v>4421.3500000000004</v>
      </c>
      <c r="AE15" s="507">
        <v>0</v>
      </c>
      <c r="AF15" s="507">
        <v>4421.3500000000004</v>
      </c>
      <c r="AG15" s="507"/>
      <c r="AH15" s="507">
        <v>0</v>
      </c>
      <c r="AI15" s="507">
        <v>0</v>
      </c>
      <c r="AJ15" s="507">
        <v>0</v>
      </c>
      <c r="AK15" s="507">
        <v>0</v>
      </c>
      <c r="AL15" s="507">
        <v>0</v>
      </c>
      <c r="AM15" s="507">
        <v>0</v>
      </c>
      <c r="AN15" s="507"/>
      <c r="AO15" s="507"/>
    </row>
    <row r="16" spans="1:41">
      <c r="A16" s="2" t="s">
        <v>845</v>
      </c>
      <c r="B16" s="2" t="s">
        <v>22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>
        <v>1</v>
      </c>
      <c r="I16" s="2" t="s">
        <v>526</v>
      </c>
      <c r="J16" s="3">
        <v>1</v>
      </c>
      <c r="K16" s="3">
        <v>5.2488000000000001</v>
      </c>
      <c r="L16" s="507">
        <v>282206.21229249256</v>
      </c>
      <c r="M16" s="507">
        <v>0</v>
      </c>
      <c r="N16" s="507">
        <v>282206.21229249256</v>
      </c>
      <c r="O16" s="507">
        <v>1613.7491906259031</v>
      </c>
      <c r="P16">
        <v>1</v>
      </c>
      <c r="Q16" s="2" t="s">
        <v>526</v>
      </c>
      <c r="R16" s="3">
        <v>1</v>
      </c>
      <c r="S16" s="3">
        <v>5.2488000000000001</v>
      </c>
      <c r="T16" s="507">
        <v>282206.21229249256</v>
      </c>
      <c r="U16" s="507">
        <v>0</v>
      </c>
      <c r="V16" s="507">
        <v>282206.21229249256</v>
      </c>
      <c r="W16" s="507">
        <v>515.02633743379886</v>
      </c>
      <c r="X16" s="507">
        <v>283819.96148311847</v>
      </c>
      <c r="Y16" s="507">
        <v>282721.23862992635</v>
      </c>
      <c r="Z16" s="507">
        <v>1489714.2138325924</v>
      </c>
      <c r="AA16" s="507">
        <v>1483947.2373207575</v>
      </c>
      <c r="AB16" s="507">
        <v>1483947.2373207575</v>
      </c>
      <c r="AC16" s="507">
        <v>5766.98</v>
      </c>
      <c r="AD16" s="507">
        <v>5766.98</v>
      </c>
      <c r="AE16" s="507">
        <v>0</v>
      </c>
      <c r="AF16" s="507">
        <v>5766.98</v>
      </c>
      <c r="AG16" s="507"/>
      <c r="AH16" s="507">
        <v>0</v>
      </c>
      <c r="AI16" s="507">
        <v>0</v>
      </c>
      <c r="AJ16" s="507">
        <v>0</v>
      </c>
      <c r="AK16" s="507">
        <v>0</v>
      </c>
      <c r="AL16" s="507">
        <v>0</v>
      </c>
      <c r="AM16" s="507">
        <v>0</v>
      </c>
      <c r="AN16" s="507"/>
      <c r="AO16" s="507"/>
    </row>
    <row r="17" spans="1:41">
      <c r="A17" s="2"/>
      <c r="B17" s="2"/>
      <c r="C17" s="2"/>
      <c r="D17" s="2"/>
      <c r="E17" s="2"/>
      <c r="F17" s="2"/>
      <c r="G17" s="2"/>
      <c r="I17" s="2"/>
      <c r="J17" s="3"/>
      <c r="K17" s="3"/>
      <c r="L17" s="507"/>
      <c r="M17" s="507"/>
      <c r="N17" s="507"/>
      <c r="O17" s="507"/>
      <c r="P17">
        <v>1</v>
      </c>
      <c r="Q17" s="2" t="s">
        <v>526</v>
      </c>
      <c r="R17" s="3">
        <v>1</v>
      </c>
      <c r="S17" s="3">
        <v>5.2488000000000001</v>
      </c>
      <c r="T17" s="507">
        <v>28366.031913984494</v>
      </c>
      <c r="U17" s="507">
        <v>0</v>
      </c>
      <c r="V17" s="507">
        <v>28366.031913984494</v>
      </c>
      <c r="W17" s="507">
        <v>101.27316145005562</v>
      </c>
      <c r="X17" s="507"/>
      <c r="Y17" s="507">
        <v>28467.30507543455</v>
      </c>
      <c r="Z17" s="507"/>
      <c r="AA17" s="507">
        <v>149419.19087994087</v>
      </c>
      <c r="AB17" s="507"/>
      <c r="AC17" s="507"/>
      <c r="AD17" s="507"/>
      <c r="AE17" s="507"/>
      <c r="AF17" s="507"/>
      <c r="AG17" s="507"/>
      <c r="AH17" s="507"/>
      <c r="AI17" s="507">
        <v>0</v>
      </c>
      <c r="AJ17" s="507"/>
      <c r="AK17" s="507"/>
      <c r="AL17" s="507"/>
      <c r="AM17" s="507"/>
      <c r="AN17" s="507"/>
      <c r="AO17" s="507"/>
    </row>
    <row r="18" spans="1:41">
      <c r="A18" s="2" t="s">
        <v>846</v>
      </c>
      <c r="B18" s="2" t="s">
        <v>22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>
        <v>1</v>
      </c>
      <c r="I18" s="2" t="s">
        <v>526</v>
      </c>
      <c r="J18" s="3">
        <v>1</v>
      </c>
      <c r="K18" s="3">
        <v>5.2488000000000001</v>
      </c>
      <c r="L18" s="507">
        <v>136399.66927470473</v>
      </c>
      <c r="M18" s="507">
        <v>0</v>
      </c>
      <c r="N18" s="507">
        <v>136399.66927470473</v>
      </c>
      <c r="O18" s="507">
        <v>680.40703257677512</v>
      </c>
      <c r="P18">
        <v>1</v>
      </c>
      <c r="Q18" s="2" t="s">
        <v>526</v>
      </c>
      <c r="R18" s="3">
        <v>1</v>
      </c>
      <c r="S18" s="3">
        <v>5.2488000000000001</v>
      </c>
      <c r="T18" s="507">
        <v>136399.66927470473</v>
      </c>
      <c r="U18" s="507">
        <v>0</v>
      </c>
      <c r="V18" s="507">
        <v>136399.66927470473</v>
      </c>
      <c r="W18" s="507">
        <v>149.3576378558017</v>
      </c>
      <c r="X18" s="507">
        <v>137080.0763072815</v>
      </c>
      <c r="Y18" s="507">
        <v>136549.02691256054</v>
      </c>
      <c r="Z18" s="507">
        <v>719505.90452165913</v>
      </c>
      <c r="AA18" s="507">
        <v>716718.53245864774</v>
      </c>
      <c r="AB18" s="507">
        <v>716718.53245864774</v>
      </c>
      <c r="AC18" s="507">
        <v>2787.37</v>
      </c>
      <c r="AD18" s="507">
        <v>2787.37</v>
      </c>
      <c r="AE18" s="507">
        <v>0</v>
      </c>
      <c r="AF18" s="507">
        <v>2787.37</v>
      </c>
      <c r="AG18" s="507"/>
      <c r="AH18" s="507">
        <v>0</v>
      </c>
      <c r="AI18" s="507">
        <v>0</v>
      </c>
      <c r="AJ18" s="507">
        <v>0</v>
      </c>
      <c r="AK18" s="507">
        <v>0</v>
      </c>
      <c r="AL18" s="507">
        <v>0</v>
      </c>
      <c r="AM18" s="507">
        <v>0</v>
      </c>
      <c r="AN18" s="507"/>
      <c r="AO18" s="507"/>
    </row>
    <row r="19" spans="1:41">
      <c r="A19" s="2"/>
      <c r="B19" s="2"/>
      <c r="C19" s="2"/>
      <c r="D19" s="2"/>
      <c r="E19" s="2"/>
      <c r="F19" s="2"/>
      <c r="G19" s="2"/>
      <c r="I19" s="2"/>
      <c r="J19" s="3"/>
      <c r="K19" s="3"/>
      <c r="L19" s="507"/>
      <c r="M19" s="507"/>
      <c r="N19" s="507"/>
      <c r="O19" s="507"/>
      <c r="P19">
        <v>1</v>
      </c>
      <c r="Q19" s="2" t="s">
        <v>526</v>
      </c>
      <c r="R19" s="3">
        <v>1</v>
      </c>
      <c r="S19" s="3">
        <v>5.2488000000000001</v>
      </c>
      <c r="T19" s="507">
        <v>16389.004972513561</v>
      </c>
      <c r="U19" s="507">
        <v>0</v>
      </c>
      <c r="V19" s="507">
        <v>16389.004972513561</v>
      </c>
      <c r="W19" s="507">
        <v>3.6419033890528465</v>
      </c>
      <c r="X19" s="507"/>
      <c r="Y19" s="507">
        <v>16392.646875902614</v>
      </c>
      <c r="Z19" s="507"/>
      <c r="AA19" s="507">
        <v>86041.724922237641</v>
      </c>
      <c r="AB19" s="507"/>
      <c r="AC19" s="507"/>
      <c r="AD19" s="507"/>
      <c r="AE19" s="507"/>
      <c r="AF19" s="507"/>
      <c r="AG19" s="507"/>
      <c r="AH19" s="507"/>
      <c r="AI19" s="507">
        <v>0</v>
      </c>
      <c r="AJ19" s="507"/>
      <c r="AK19" s="507"/>
      <c r="AL19" s="507"/>
      <c r="AM19" s="507"/>
      <c r="AN19" s="507"/>
      <c r="AO19" s="507"/>
    </row>
    <row r="20" spans="1:41">
      <c r="A20" s="2" t="s">
        <v>28</v>
      </c>
      <c r="B20" s="2" t="s">
        <v>29</v>
      </c>
      <c r="C20" s="2" t="s">
        <v>17</v>
      </c>
      <c r="D20" s="2" t="s">
        <v>30</v>
      </c>
      <c r="E20" s="2" t="s">
        <v>19</v>
      </c>
      <c r="F20" s="2" t="s">
        <v>20</v>
      </c>
      <c r="G20" s="2" t="s">
        <v>21</v>
      </c>
      <c r="H20">
        <v>1</v>
      </c>
      <c r="I20" s="2" t="s">
        <v>526</v>
      </c>
      <c r="J20" s="3">
        <v>1</v>
      </c>
      <c r="K20" s="3">
        <v>5.2488000000000001</v>
      </c>
      <c r="L20" s="507">
        <v>1713.447985250152</v>
      </c>
      <c r="M20" s="507">
        <v>0</v>
      </c>
      <c r="N20" s="507">
        <v>1713.447985250152</v>
      </c>
      <c r="O20" s="507">
        <v>1.8489605807503029</v>
      </c>
      <c r="P20">
        <v>1</v>
      </c>
      <c r="Q20" s="2" t="s">
        <v>526</v>
      </c>
      <c r="R20" s="3">
        <v>1</v>
      </c>
      <c r="S20" s="3">
        <v>5.2488000000000001</v>
      </c>
      <c r="T20" s="507">
        <v>2056.1376929832463</v>
      </c>
      <c r="U20" s="507">
        <v>0</v>
      </c>
      <c r="V20" s="507">
        <v>2056.1376929832463</v>
      </c>
      <c r="W20" s="507">
        <v>1.5849814735914001</v>
      </c>
      <c r="X20" s="507">
        <v>1715.2969458309024</v>
      </c>
      <c r="Y20" s="507">
        <v>2057.7226744568379</v>
      </c>
      <c r="Z20" s="507">
        <v>9003.2506092772401</v>
      </c>
      <c r="AA20" s="507">
        <v>10800.574773689052</v>
      </c>
      <c r="AB20" s="507">
        <v>10800.574773689052</v>
      </c>
      <c r="AC20" s="507">
        <v>-1797.32</v>
      </c>
      <c r="AD20" s="507">
        <v>-1797.32</v>
      </c>
      <c r="AE20" s="507">
        <v>0</v>
      </c>
      <c r="AF20" s="507"/>
      <c r="AG20" s="507">
        <v>-1797.32</v>
      </c>
      <c r="AH20" s="507">
        <v>0</v>
      </c>
      <c r="AI20" s="507">
        <v>0</v>
      </c>
      <c r="AJ20" s="507">
        <v>0</v>
      </c>
      <c r="AK20" s="507">
        <v>0</v>
      </c>
      <c r="AL20" s="507">
        <v>0</v>
      </c>
      <c r="AM20" s="507">
        <v>0</v>
      </c>
      <c r="AN20" s="507"/>
      <c r="AO20" s="507"/>
    </row>
    <row r="21" spans="1:41">
      <c r="A21" s="2" t="s">
        <v>31</v>
      </c>
      <c r="B21" s="2" t="s">
        <v>29</v>
      </c>
      <c r="C21" s="2" t="s">
        <v>17</v>
      </c>
      <c r="D21" s="2" t="s">
        <v>30</v>
      </c>
      <c r="E21" s="2" t="s">
        <v>19</v>
      </c>
      <c r="F21" s="2" t="s">
        <v>20</v>
      </c>
      <c r="G21" s="2" t="s">
        <v>21</v>
      </c>
      <c r="H21">
        <v>1</v>
      </c>
      <c r="I21" s="2" t="s">
        <v>526</v>
      </c>
      <c r="J21" s="3">
        <v>1</v>
      </c>
      <c r="K21" s="3">
        <v>5.2488000000000001</v>
      </c>
      <c r="L21" s="507">
        <v>1635.2360118783722</v>
      </c>
      <c r="M21" s="507">
        <v>0</v>
      </c>
      <c r="N21" s="507">
        <v>1635.2360118783722</v>
      </c>
      <c r="O21" s="507">
        <v>1.7645647446041126</v>
      </c>
      <c r="P21">
        <v>1</v>
      </c>
      <c r="Q21" s="2" t="s">
        <v>526</v>
      </c>
      <c r="R21" s="3">
        <v>1</v>
      </c>
      <c r="S21" s="3">
        <v>5.2488000000000001</v>
      </c>
      <c r="T21" s="507">
        <v>1962.2831589125149</v>
      </c>
      <c r="U21" s="507">
        <v>0</v>
      </c>
      <c r="V21" s="507">
        <v>1962.2831589125149</v>
      </c>
      <c r="W21" s="507">
        <v>1.5124840668035253</v>
      </c>
      <c r="X21" s="507">
        <v>1637.0005766229763</v>
      </c>
      <c r="Y21" s="507">
        <v>1963.7956429793185</v>
      </c>
      <c r="Z21" s="507">
        <v>8592.2886265786783</v>
      </c>
      <c r="AA21" s="507">
        <v>10307.570570869848</v>
      </c>
      <c r="AB21" s="507">
        <v>10307.570570869848</v>
      </c>
      <c r="AC21" s="507">
        <v>-1715.28</v>
      </c>
      <c r="AD21" s="507">
        <v>-1715.28</v>
      </c>
      <c r="AE21" s="507">
        <v>0</v>
      </c>
      <c r="AF21" s="507"/>
      <c r="AG21" s="507">
        <v>-1715.28</v>
      </c>
      <c r="AH21" s="507">
        <v>0</v>
      </c>
      <c r="AI21" s="507">
        <v>0</v>
      </c>
      <c r="AJ21" s="507">
        <v>0</v>
      </c>
      <c r="AK21" s="507">
        <v>0</v>
      </c>
      <c r="AL21" s="507">
        <v>0</v>
      </c>
      <c r="AM21" s="507">
        <v>0</v>
      </c>
      <c r="AN21" s="507"/>
      <c r="AO21" s="507"/>
    </row>
    <row r="22" spans="1:41">
      <c r="A22" s="2" t="s">
        <v>32</v>
      </c>
      <c r="B22" s="2" t="s">
        <v>29</v>
      </c>
      <c r="C22" s="2" t="s">
        <v>17</v>
      </c>
      <c r="D22" s="2" t="s">
        <v>30</v>
      </c>
      <c r="E22" s="2" t="s">
        <v>19</v>
      </c>
      <c r="F22" s="2" t="s">
        <v>20</v>
      </c>
      <c r="G22" s="2" t="s">
        <v>21</v>
      </c>
      <c r="H22">
        <v>1</v>
      </c>
      <c r="I22" s="2" t="s">
        <v>526</v>
      </c>
      <c r="J22" s="3">
        <v>1</v>
      </c>
      <c r="K22" s="3">
        <v>5.2488000000000001</v>
      </c>
      <c r="L22" s="507">
        <v>8647.6168603504357</v>
      </c>
      <c r="M22" s="507">
        <v>0</v>
      </c>
      <c r="N22" s="507">
        <v>8647.6168603504357</v>
      </c>
      <c r="O22" s="507">
        <v>9.3322425241521572</v>
      </c>
      <c r="P22">
        <v>1</v>
      </c>
      <c r="Q22" s="2" t="s">
        <v>526</v>
      </c>
      <c r="R22" s="3">
        <v>1</v>
      </c>
      <c r="S22" s="3">
        <v>5.2488000000000001</v>
      </c>
      <c r="T22" s="507">
        <v>10377.140177078991</v>
      </c>
      <c r="U22" s="507">
        <v>0</v>
      </c>
      <c r="V22" s="507">
        <v>10377.140177078991</v>
      </c>
      <c r="W22" s="507">
        <v>7.999065020701849</v>
      </c>
      <c r="X22" s="507">
        <v>8656.949102874587</v>
      </c>
      <c r="Y22" s="507">
        <v>10385.139242099693</v>
      </c>
      <c r="Z22" s="507">
        <v>45438.59445116813</v>
      </c>
      <c r="AA22" s="507">
        <v>54509.518853932866</v>
      </c>
      <c r="AB22" s="507">
        <v>54509.518853932866</v>
      </c>
      <c r="AC22" s="507">
        <v>-9070.92</v>
      </c>
      <c r="AD22" s="507">
        <v>-9070.92</v>
      </c>
      <c r="AE22" s="507">
        <v>0</v>
      </c>
      <c r="AF22" s="507"/>
      <c r="AG22" s="507">
        <v>-9070.92</v>
      </c>
      <c r="AH22" s="507">
        <v>0</v>
      </c>
      <c r="AI22" s="507">
        <v>0</v>
      </c>
      <c r="AJ22" s="507">
        <v>0</v>
      </c>
      <c r="AK22" s="507">
        <v>0</v>
      </c>
      <c r="AL22" s="507">
        <v>0</v>
      </c>
      <c r="AM22" s="507">
        <v>0</v>
      </c>
      <c r="AN22" s="507"/>
      <c r="AO22" s="507"/>
    </row>
    <row r="23" spans="1:41">
      <c r="A23" s="2" t="s">
        <v>33</v>
      </c>
      <c r="B23" s="2" t="s">
        <v>29</v>
      </c>
      <c r="C23" s="2" t="s">
        <v>17</v>
      </c>
      <c r="D23" s="2" t="s">
        <v>30</v>
      </c>
      <c r="E23" s="2" t="s">
        <v>19</v>
      </c>
      <c r="F23" s="2" t="s">
        <v>20</v>
      </c>
      <c r="G23" s="2" t="s">
        <v>21</v>
      </c>
      <c r="H23">
        <v>1</v>
      </c>
      <c r="I23" s="2" t="s">
        <v>526</v>
      </c>
      <c r="J23" s="3">
        <v>1</v>
      </c>
      <c r="K23" s="3">
        <v>5.2488000000000001</v>
      </c>
      <c r="L23" s="507">
        <v>287.35094291054816</v>
      </c>
      <c r="M23" s="507">
        <v>0</v>
      </c>
      <c r="N23" s="507">
        <v>287.35094291054816</v>
      </c>
      <c r="O23" s="507">
        <v>0.31018928629468567</v>
      </c>
      <c r="P23">
        <v>1</v>
      </c>
      <c r="Q23" s="2" t="s">
        <v>526</v>
      </c>
      <c r="R23" s="3">
        <v>1</v>
      </c>
      <c r="S23" s="3">
        <v>5.2488000000000001</v>
      </c>
      <c r="T23" s="507">
        <v>344.82091012653012</v>
      </c>
      <c r="U23" s="507">
        <v>0</v>
      </c>
      <c r="V23" s="507">
        <v>344.82091012653012</v>
      </c>
      <c r="W23" s="507">
        <v>0.26591606077537278</v>
      </c>
      <c r="X23" s="507">
        <v>287.66113219684286</v>
      </c>
      <c r="Y23" s="507">
        <v>345.08682618730552</v>
      </c>
      <c r="Z23" s="507">
        <v>1509.8757506747888</v>
      </c>
      <c r="AA23" s="507">
        <v>1811.2917332919292</v>
      </c>
      <c r="AB23" s="507">
        <v>1811.2917332919292</v>
      </c>
      <c r="AC23" s="507">
        <v>-301.42</v>
      </c>
      <c r="AD23" s="507">
        <v>-301.42</v>
      </c>
      <c r="AE23" s="507">
        <v>0</v>
      </c>
      <c r="AF23" s="507"/>
      <c r="AG23" s="507">
        <v>-301.42</v>
      </c>
      <c r="AH23" s="507">
        <v>0</v>
      </c>
      <c r="AI23" s="507">
        <v>0</v>
      </c>
      <c r="AJ23" s="507">
        <v>0</v>
      </c>
      <c r="AK23" s="507">
        <v>0</v>
      </c>
      <c r="AL23" s="507">
        <v>0</v>
      </c>
      <c r="AM23" s="507">
        <v>0</v>
      </c>
      <c r="AN23" s="507"/>
      <c r="AO23" s="507"/>
    </row>
    <row r="24" spans="1:41">
      <c r="A24" s="2" t="s">
        <v>34</v>
      </c>
      <c r="B24" s="2" t="s">
        <v>29</v>
      </c>
      <c r="C24" s="2" t="s">
        <v>17</v>
      </c>
      <c r="D24" s="2" t="s">
        <v>30</v>
      </c>
      <c r="E24" s="2" t="s">
        <v>19</v>
      </c>
      <c r="F24" s="2" t="s">
        <v>20</v>
      </c>
      <c r="G24" s="2" t="s">
        <v>21</v>
      </c>
      <c r="H24">
        <v>1</v>
      </c>
      <c r="I24" s="2" t="s">
        <v>526</v>
      </c>
      <c r="J24" s="3">
        <v>1</v>
      </c>
      <c r="K24" s="3">
        <v>5.2488000000000001</v>
      </c>
      <c r="L24" s="507">
        <v>633.44802876267249</v>
      </c>
      <c r="M24" s="507">
        <v>0</v>
      </c>
      <c r="N24" s="507">
        <v>633.44802876267249</v>
      </c>
      <c r="O24" s="507">
        <v>0.68346791895439218</v>
      </c>
      <c r="P24">
        <v>1</v>
      </c>
      <c r="Q24" s="2" t="s">
        <v>526</v>
      </c>
      <c r="R24" s="3">
        <v>1</v>
      </c>
      <c r="S24" s="3">
        <v>5.2488000000000001</v>
      </c>
      <c r="T24" s="507">
        <v>760.13752383214319</v>
      </c>
      <c r="U24" s="507">
        <v>0</v>
      </c>
      <c r="V24" s="507">
        <v>760.13752383214319</v>
      </c>
      <c r="W24" s="507">
        <v>0.58606682281190381</v>
      </c>
      <c r="X24" s="507">
        <v>634.13149668162691</v>
      </c>
      <c r="Y24" s="507">
        <v>760.72359065495505</v>
      </c>
      <c r="Z24" s="507">
        <v>3328.4293997825234</v>
      </c>
      <c r="AA24" s="507">
        <v>3992.885982629728</v>
      </c>
      <c r="AB24" s="507">
        <v>3992.885982629728</v>
      </c>
      <c r="AC24" s="507">
        <v>-664.46</v>
      </c>
      <c r="AD24" s="507">
        <v>-664.46</v>
      </c>
      <c r="AE24" s="507">
        <v>0</v>
      </c>
      <c r="AF24" s="507"/>
      <c r="AG24" s="507">
        <v>-664.46</v>
      </c>
      <c r="AH24" s="507">
        <v>0</v>
      </c>
      <c r="AI24" s="507">
        <v>0</v>
      </c>
      <c r="AJ24" s="507">
        <v>0</v>
      </c>
      <c r="AK24" s="507">
        <v>0</v>
      </c>
      <c r="AL24" s="507">
        <v>0</v>
      </c>
      <c r="AM24" s="507">
        <v>0</v>
      </c>
      <c r="AN24" s="507"/>
      <c r="AO24" s="507"/>
    </row>
    <row r="25" spans="1:41">
      <c r="A25" s="2" t="s">
        <v>35</v>
      </c>
      <c r="B25" s="2" t="s">
        <v>29</v>
      </c>
      <c r="C25" s="2" t="s">
        <v>17</v>
      </c>
      <c r="D25" s="2" t="s">
        <v>30</v>
      </c>
      <c r="E25" s="2" t="s">
        <v>19</v>
      </c>
      <c r="F25" s="2" t="s">
        <v>20</v>
      </c>
      <c r="G25" s="2" t="s">
        <v>21</v>
      </c>
      <c r="H25">
        <v>1</v>
      </c>
      <c r="I25" s="2" t="s">
        <v>526</v>
      </c>
      <c r="J25" s="3">
        <v>1</v>
      </c>
      <c r="K25" s="3">
        <v>5.2488000000000001</v>
      </c>
      <c r="L25" s="507">
        <v>875.354719338922</v>
      </c>
      <c r="M25" s="507">
        <v>0</v>
      </c>
      <c r="N25" s="507">
        <v>875.354719338922</v>
      </c>
      <c r="O25" s="507">
        <v>0.944679949518338</v>
      </c>
      <c r="P25">
        <v>1</v>
      </c>
      <c r="Q25" s="2" t="s">
        <v>526</v>
      </c>
      <c r="R25" s="3">
        <v>1</v>
      </c>
      <c r="S25" s="3">
        <v>5.2488000000000001</v>
      </c>
      <c r="T25" s="507">
        <v>1050.4254418405785</v>
      </c>
      <c r="U25" s="507">
        <v>0</v>
      </c>
      <c r="V25" s="507">
        <v>1050.4254418405785</v>
      </c>
      <c r="W25" s="507">
        <v>0.80964661168443386</v>
      </c>
      <c r="X25" s="507">
        <v>876.29939928844033</v>
      </c>
      <c r="Y25" s="507">
        <v>1051.235088452263</v>
      </c>
      <c r="Z25" s="507">
        <v>4599.5202869851655</v>
      </c>
      <c r="AA25" s="507">
        <v>5517.7227322682384</v>
      </c>
      <c r="AB25" s="507">
        <v>5517.7227322682384</v>
      </c>
      <c r="AC25" s="507">
        <v>-918.2</v>
      </c>
      <c r="AD25" s="507">
        <v>-918.2</v>
      </c>
      <c r="AE25" s="507">
        <v>0</v>
      </c>
      <c r="AF25" s="507"/>
      <c r="AG25" s="507">
        <v>-918.2</v>
      </c>
      <c r="AH25" s="507">
        <v>0</v>
      </c>
      <c r="AI25" s="507">
        <v>0</v>
      </c>
      <c r="AJ25" s="507">
        <v>0</v>
      </c>
      <c r="AK25" s="507">
        <v>0</v>
      </c>
      <c r="AL25" s="507">
        <v>0</v>
      </c>
      <c r="AM25" s="507">
        <v>0</v>
      </c>
      <c r="AN25" s="507"/>
      <c r="AO25" s="507"/>
    </row>
    <row r="26" spans="1:41">
      <c r="A26" s="2" t="s">
        <v>36</v>
      </c>
      <c r="B26" s="2" t="s">
        <v>29</v>
      </c>
      <c r="C26" s="2" t="s">
        <v>17</v>
      </c>
      <c r="D26" s="2" t="s">
        <v>30</v>
      </c>
      <c r="E26" s="2" t="s">
        <v>19</v>
      </c>
      <c r="F26" s="2" t="s">
        <v>20</v>
      </c>
      <c r="G26" s="2" t="s">
        <v>21</v>
      </c>
      <c r="H26">
        <v>1</v>
      </c>
      <c r="I26" s="2" t="s">
        <v>526</v>
      </c>
      <c r="J26" s="3">
        <v>1</v>
      </c>
      <c r="K26" s="3">
        <v>5.2488000000000001</v>
      </c>
      <c r="L26" s="507">
        <v>17879.571674056246</v>
      </c>
      <c r="M26" s="507">
        <v>0</v>
      </c>
      <c r="N26" s="507">
        <v>17879.571674056246</v>
      </c>
      <c r="O26" s="507">
        <v>19.295101804295026</v>
      </c>
      <c r="P26">
        <v>1</v>
      </c>
      <c r="Q26" s="2" t="s">
        <v>526</v>
      </c>
      <c r="R26" s="3">
        <v>1</v>
      </c>
      <c r="S26" s="3">
        <v>5.2488000000000001</v>
      </c>
      <c r="T26" s="507">
        <v>21455.486064209028</v>
      </c>
      <c r="U26" s="507">
        <v>0</v>
      </c>
      <c r="V26" s="507">
        <v>21455.486064209028</v>
      </c>
      <c r="W26" s="507">
        <v>16.538540100398812</v>
      </c>
      <c r="X26" s="507">
        <v>17898.866775860541</v>
      </c>
      <c r="Y26" s="507">
        <v>21472.024604309427</v>
      </c>
      <c r="Z26" s="507">
        <v>93947.571933136802</v>
      </c>
      <c r="AA26" s="507">
        <v>112702.36274309932</v>
      </c>
      <c r="AB26" s="507">
        <v>112702.36274309932</v>
      </c>
      <c r="AC26" s="507">
        <v>-18754.79</v>
      </c>
      <c r="AD26" s="507">
        <v>-18754.79</v>
      </c>
      <c r="AE26" s="507">
        <v>0</v>
      </c>
      <c r="AF26" s="507"/>
      <c r="AG26" s="507">
        <v>-18754.79</v>
      </c>
      <c r="AH26" s="507">
        <v>0</v>
      </c>
      <c r="AI26" s="507">
        <v>0</v>
      </c>
      <c r="AJ26" s="507">
        <v>0</v>
      </c>
      <c r="AK26" s="507">
        <v>0</v>
      </c>
      <c r="AL26" s="507">
        <v>0</v>
      </c>
      <c r="AM26" s="507">
        <v>0</v>
      </c>
      <c r="AN26" s="507"/>
      <c r="AO26" s="507"/>
    </row>
    <row r="27" spans="1:41">
      <c r="A27" s="2" t="s">
        <v>37</v>
      </c>
      <c r="B27" s="2" t="s">
        <v>29</v>
      </c>
      <c r="C27" s="2" t="s">
        <v>17</v>
      </c>
      <c r="D27" s="2" t="s">
        <v>30</v>
      </c>
      <c r="E27" s="2" t="s">
        <v>19</v>
      </c>
      <c r="F27" s="2" t="s">
        <v>20</v>
      </c>
      <c r="G27" s="2" t="s">
        <v>21</v>
      </c>
      <c r="H27">
        <v>1</v>
      </c>
      <c r="I27" s="2" t="s">
        <v>526</v>
      </c>
      <c r="J27" s="3">
        <v>1</v>
      </c>
      <c r="K27" s="3">
        <v>5.2488000000000001</v>
      </c>
      <c r="L27" s="507">
        <v>515.52850625325868</v>
      </c>
      <c r="M27" s="507">
        <v>0</v>
      </c>
      <c r="N27" s="507">
        <v>515.52850625325868</v>
      </c>
      <c r="O27" s="507">
        <v>0.55645910324586345</v>
      </c>
      <c r="P27">
        <v>1</v>
      </c>
      <c r="Q27" s="2" t="s">
        <v>526</v>
      </c>
      <c r="R27" s="3">
        <v>1</v>
      </c>
      <c r="S27" s="3">
        <v>5.2488000000000001</v>
      </c>
      <c r="T27" s="507">
        <v>618.63393079625098</v>
      </c>
      <c r="U27" s="507">
        <v>0</v>
      </c>
      <c r="V27" s="507">
        <v>618.63393079625098</v>
      </c>
      <c r="W27" s="507">
        <v>0.47676729731110024</v>
      </c>
      <c r="X27" s="507">
        <v>516.08496535650454</v>
      </c>
      <c r="Y27" s="507">
        <v>619.11069809356206</v>
      </c>
      <c r="Z27" s="507">
        <v>2708.8267661632212</v>
      </c>
      <c r="AA27" s="507">
        <v>3249.5882321534887</v>
      </c>
      <c r="AB27" s="507">
        <v>3249.5882321534887</v>
      </c>
      <c r="AC27" s="507">
        <v>-540.76</v>
      </c>
      <c r="AD27" s="507">
        <v>-540.76</v>
      </c>
      <c r="AE27" s="507">
        <v>0</v>
      </c>
      <c r="AF27" s="507"/>
      <c r="AG27" s="507">
        <v>-540.76</v>
      </c>
      <c r="AH27" s="507">
        <v>0</v>
      </c>
      <c r="AI27" s="507">
        <v>0</v>
      </c>
      <c r="AJ27" s="507">
        <v>0</v>
      </c>
      <c r="AK27" s="507">
        <v>0</v>
      </c>
      <c r="AL27" s="507">
        <v>0</v>
      </c>
      <c r="AM27" s="507">
        <v>0</v>
      </c>
      <c r="AN27" s="507"/>
      <c r="AO27" s="507"/>
    </row>
    <row r="28" spans="1:41">
      <c r="A28" s="2" t="s">
        <v>38</v>
      </c>
      <c r="B28" s="2" t="s">
        <v>29</v>
      </c>
      <c r="C28" s="2" t="s">
        <v>17</v>
      </c>
      <c r="D28" s="2" t="s">
        <v>30</v>
      </c>
      <c r="E28" s="2" t="s">
        <v>19</v>
      </c>
      <c r="F28" s="2" t="s">
        <v>20</v>
      </c>
      <c r="G28" s="2" t="s">
        <v>21</v>
      </c>
      <c r="H28">
        <v>1</v>
      </c>
      <c r="I28" s="2" t="s">
        <v>526</v>
      </c>
      <c r="J28" s="3">
        <v>1</v>
      </c>
      <c r="K28" s="3">
        <v>5.2488000000000001</v>
      </c>
      <c r="L28" s="507">
        <v>1433.9804435586366</v>
      </c>
      <c r="M28" s="507">
        <v>0</v>
      </c>
      <c r="N28" s="507">
        <v>1433.9804435586366</v>
      </c>
      <c r="O28" s="507">
        <v>1.5476259395594796</v>
      </c>
      <c r="P28">
        <v>1</v>
      </c>
      <c r="Q28" s="2" t="s">
        <v>526</v>
      </c>
      <c r="R28" s="3">
        <v>1</v>
      </c>
      <c r="S28" s="3">
        <v>5.2488000000000001</v>
      </c>
      <c r="T28" s="507">
        <v>1720.7763109042362</v>
      </c>
      <c r="U28" s="507">
        <v>0</v>
      </c>
      <c r="V28" s="507">
        <v>1720.7763109042362</v>
      </c>
      <c r="W28" s="507">
        <v>1.3265365196224113</v>
      </c>
      <c r="X28" s="507">
        <v>1435.5280694981961</v>
      </c>
      <c r="Y28" s="507">
        <v>1722.1028474238585</v>
      </c>
      <c r="Z28" s="507">
        <v>7534.7997311821318</v>
      </c>
      <c r="AA28" s="507">
        <v>9038.973425558348</v>
      </c>
      <c r="AB28" s="507">
        <v>9038.973425558348</v>
      </c>
      <c r="AC28" s="507">
        <v>-1504.17</v>
      </c>
      <c r="AD28" s="507">
        <v>-1504.17</v>
      </c>
      <c r="AE28" s="507">
        <v>0</v>
      </c>
      <c r="AF28" s="507"/>
      <c r="AG28" s="507">
        <v>-1504.17</v>
      </c>
      <c r="AH28" s="507">
        <v>0</v>
      </c>
      <c r="AI28" s="507">
        <v>0</v>
      </c>
      <c r="AJ28" s="507">
        <v>0</v>
      </c>
      <c r="AK28" s="507">
        <v>0</v>
      </c>
      <c r="AL28" s="507">
        <v>0</v>
      </c>
      <c r="AM28" s="507">
        <v>0</v>
      </c>
      <c r="AN28" s="507"/>
      <c r="AO28" s="507"/>
    </row>
    <row r="29" spans="1:41">
      <c r="A29" s="2" t="s">
        <v>39</v>
      </c>
      <c r="B29" s="2" t="s">
        <v>29</v>
      </c>
      <c r="C29" s="2" t="s">
        <v>17</v>
      </c>
      <c r="D29" s="2" t="s">
        <v>30</v>
      </c>
      <c r="E29" s="2" t="s">
        <v>19</v>
      </c>
      <c r="F29" s="2" t="s">
        <v>20</v>
      </c>
      <c r="G29" s="2" t="s">
        <v>21</v>
      </c>
      <c r="H29">
        <v>1</v>
      </c>
      <c r="I29" s="2" t="s">
        <v>526</v>
      </c>
      <c r="J29" s="3">
        <v>1</v>
      </c>
      <c r="K29" s="3">
        <v>5.2488000000000001</v>
      </c>
      <c r="L29" s="507">
        <v>7151.8290570132212</v>
      </c>
      <c r="M29" s="507">
        <v>0</v>
      </c>
      <c r="N29" s="507">
        <v>7151.8290570132212</v>
      </c>
      <c r="O29" s="507">
        <v>7.717930038654214</v>
      </c>
      <c r="P29">
        <v>1</v>
      </c>
      <c r="Q29" s="2" t="s">
        <v>526</v>
      </c>
      <c r="R29" s="3">
        <v>1</v>
      </c>
      <c r="S29" s="3">
        <v>5.2488000000000001</v>
      </c>
      <c r="T29" s="507">
        <v>7151.8290570132212</v>
      </c>
      <c r="U29" s="507">
        <v>0</v>
      </c>
      <c r="V29" s="507">
        <v>7151.8290570132212</v>
      </c>
      <c r="W29" s="507">
        <v>5.5128467001329371</v>
      </c>
      <c r="X29" s="507">
        <v>7159.5469870518755</v>
      </c>
      <c r="Y29" s="507">
        <v>7157.3419037133544</v>
      </c>
      <c r="Z29" s="507">
        <v>37579.030225637885</v>
      </c>
      <c r="AA29" s="507">
        <v>37567.456184210656</v>
      </c>
      <c r="AB29" s="507">
        <v>37567.456184210656</v>
      </c>
      <c r="AC29" s="507">
        <v>11.57</v>
      </c>
      <c r="AD29" s="507">
        <v>11.57</v>
      </c>
      <c r="AE29" s="507">
        <v>0</v>
      </c>
      <c r="AF29" s="507">
        <v>11.57</v>
      </c>
      <c r="AG29" s="507"/>
      <c r="AH29" s="507">
        <v>0</v>
      </c>
      <c r="AI29" s="507">
        <v>0</v>
      </c>
      <c r="AJ29" s="507">
        <v>0</v>
      </c>
      <c r="AK29" s="507">
        <v>0</v>
      </c>
      <c r="AL29" s="507">
        <v>0</v>
      </c>
      <c r="AM29" s="507">
        <v>0</v>
      </c>
      <c r="AN29" s="507"/>
      <c r="AO29" s="507"/>
    </row>
    <row r="30" spans="1:41">
      <c r="A30" s="2" t="s">
        <v>40</v>
      </c>
      <c r="B30" s="2" t="s">
        <v>29</v>
      </c>
      <c r="C30" s="2" t="s">
        <v>17</v>
      </c>
      <c r="D30" s="2" t="s">
        <v>30</v>
      </c>
      <c r="E30" s="2" t="s">
        <v>19</v>
      </c>
      <c r="F30" s="2" t="s">
        <v>20</v>
      </c>
      <c r="G30" s="2" t="s">
        <v>21</v>
      </c>
      <c r="H30">
        <v>1</v>
      </c>
      <c r="I30" s="2" t="s">
        <v>526</v>
      </c>
      <c r="J30" s="3">
        <v>1</v>
      </c>
      <c r="K30" s="3">
        <v>5.2488000000000001</v>
      </c>
      <c r="L30" s="507">
        <v>1787.9576101378798</v>
      </c>
      <c r="M30" s="507">
        <v>0</v>
      </c>
      <c r="N30" s="507">
        <v>1787.9576101378798</v>
      </c>
      <c r="O30" s="507">
        <v>1.9294825096635535</v>
      </c>
      <c r="P30">
        <v>1</v>
      </c>
      <c r="Q30" s="2" t="s">
        <v>526</v>
      </c>
      <c r="R30" s="3">
        <v>1</v>
      </c>
      <c r="S30" s="3">
        <v>5.2488000000000001</v>
      </c>
      <c r="T30" s="507">
        <v>1787.9576101378798</v>
      </c>
      <c r="U30" s="507">
        <v>0</v>
      </c>
      <c r="V30" s="507">
        <v>1787.9576101378798</v>
      </c>
      <c r="W30" s="507">
        <v>1.3782808519481082</v>
      </c>
      <c r="X30" s="507">
        <v>1789.8870926475433</v>
      </c>
      <c r="Y30" s="507">
        <v>1789.3358909898279</v>
      </c>
      <c r="Z30" s="507">
        <v>9394.7593718884254</v>
      </c>
      <c r="AA30" s="507">
        <v>9391.8662246274089</v>
      </c>
      <c r="AB30" s="507">
        <v>9391.8662246274089</v>
      </c>
      <c r="AC30" s="507">
        <v>2.89</v>
      </c>
      <c r="AD30" s="507">
        <v>2.89</v>
      </c>
      <c r="AE30" s="507">
        <v>0</v>
      </c>
      <c r="AF30" s="507">
        <v>2.89</v>
      </c>
      <c r="AG30" s="507"/>
      <c r="AH30" s="507">
        <v>0</v>
      </c>
      <c r="AI30" s="507">
        <v>0</v>
      </c>
      <c r="AJ30" s="507">
        <v>0</v>
      </c>
      <c r="AK30" s="507">
        <v>0</v>
      </c>
      <c r="AL30" s="507">
        <v>0</v>
      </c>
      <c r="AM30" s="507">
        <v>0</v>
      </c>
      <c r="AN30" s="507"/>
      <c r="AO30" s="507"/>
    </row>
    <row r="31" spans="1:41">
      <c r="A31" s="2" t="s">
        <v>41</v>
      </c>
      <c r="B31" s="2" t="s">
        <v>29</v>
      </c>
      <c r="C31" s="2" t="s">
        <v>17</v>
      </c>
      <c r="D31" s="2" t="s">
        <v>30</v>
      </c>
      <c r="E31" s="2" t="s">
        <v>19</v>
      </c>
      <c r="F31" s="2" t="s">
        <v>20</v>
      </c>
      <c r="G31" s="2" t="s">
        <v>21</v>
      </c>
      <c r="H31">
        <v>1</v>
      </c>
      <c r="I31" s="2" t="s">
        <v>526</v>
      </c>
      <c r="J31" s="3">
        <v>1</v>
      </c>
      <c r="K31" s="3">
        <v>5.2488000000000001</v>
      </c>
      <c r="L31" s="507">
        <v>1936.9536164699371</v>
      </c>
      <c r="M31" s="507">
        <v>0</v>
      </c>
      <c r="N31" s="507">
        <v>1936.9536164699371</v>
      </c>
      <c r="O31" s="507">
        <v>2.0902496598305582</v>
      </c>
      <c r="P31">
        <v>1</v>
      </c>
      <c r="Q31" s="2" t="s">
        <v>526</v>
      </c>
      <c r="R31" s="3">
        <v>1</v>
      </c>
      <c r="S31" s="3">
        <v>5.2488000000000001</v>
      </c>
      <c r="T31" s="507">
        <v>1936.9536164699371</v>
      </c>
      <c r="U31" s="507">
        <v>0</v>
      </c>
      <c r="V31" s="507">
        <v>1936.9536164699371</v>
      </c>
      <c r="W31" s="507">
        <v>1.4931145306388258</v>
      </c>
      <c r="X31" s="507">
        <v>1939.0438661297676</v>
      </c>
      <c r="Y31" s="507">
        <v>1938.4467310005759</v>
      </c>
      <c r="Z31" s="507">
        <v>10177.653444541924</v>
      </c>
      <c r="AA31" s="507">
        <v>10174.519201675823</v>
      </c>
      <c r="AB31" s="507">
        <v>10174.519201675823</v>
      </c>
      <c r="AC31" s="507">
        <v>3.13</v>
      </c>
      <c r="AD31" s="507">
        <v>3.13</v>
      </c>
      <c r="AE31" s="507">
        <v>0</v>
      </c>
      <c r="AF31" s="507">
        <v>3.13</v>
      </c>
      <c r="AG31" s="507"/>
      <c r="AH31" s="507">
        <v>0</v>
      </c>
      <c r="AI31" s="507">
        <v>0</v>
      </c>
      <c r="AJ31" s="507">
        <v>0</v>
      </c>
      <c r="AK31" s="507">
        <v>0</v>
      </c>
      <c r="AL31" s="507">
        <v>0</v>
      </c>
      <c r="AM31" s="507">
        <v>0</v>
      </c>
      <c r="AN31" s="507"/>
      <c r="AO31" s="507"/>
    </row>
    <row r="32" spans="1:41">
      <c r="A32" s="2" t="s">
        <v>43</v>
      </c>
      <c r="B32" s="2" t="s">
        <v>42</v>
      </c>
      <c r="C32" s="2" t="s">
        <v>17</v>
      </c>
      <c r="D32" s="2" t="s">
        <v>25</v>
      </c>
      <c r="E32" s="2" t="s">
        <v>19</v>
      </c>
      <c r="F32" s="2" t="s">
        <v>20</v>
      </c>
      <c r="G32" s="2" t="s">
        <v>21</v>
      </c>
      <c r="H32">
        <v>1</v>
      </c>
      <c r="I32" s="2" t="s">
        <v>526</v>
      </c>
      <c r="J32" s="3">
        <v>1</v>
      </c>
      <c r="K32" s="3">
        <v>5.2488000000000001</v>
      </c>
      <c r="L32" s="507">
        <v>52218.735717963093</v>
      </c>
      <c r="M32" s="507">
        <v>0</v>
      </c>
      <c r="N32" s="507">
        <v>52218.735717963093</v>
      </c>
      <c r="O32" s="507">
        <v>60.075725429432282</v>
      </c>
      <c r="P32">
        <v>1</v>
      </c>
      <c r="Q32" s="2" t="s">
        <v>526</v>
      </c>
      <c r="R32" s="3">
        <v>1</v>
      </c>
      <c r="S32" s="3">
        <v>5.2488000000000001</v>
      </c>
      <c r="T32" s="507">
        <v>96275.652642656525</v>
      </c>
      <c r="U32" s="507">
        <v>0</v>
      </c>
      <c r="V32" s="507">
        <v>96275.652642656525</v>
      </c>
      <c r="W32" s="507">
        <v>877.23166006019494</v>
      </c>
      <c r="X32" s="507">
        <v>52278.811443392522</v>
      </c>
      <c r="Y32" s="507">
        <v>97152.884302716717</v>
      </c>
      <c r="Z32" s="507">
        <v>274401.02550407866</v>
      </c>
      <c r="AA32" s="507">
        <v>509936.05912809953</v>
      </c>
      <c r="AB32" s="507">
        <v>509936.05912809953</v>
      </c>
      <c r="AC32" s="507">
        <v>-235535.03</v>
      </c>
      <c r="AD32" s="507">
        <v>-235535.03</v>
      </c>
      <c r="AE32" s="507">
        <v>0</v>
      </c>
      <c r="AF32" s="507"/>
      <c r="AG32" s="507">
        <v>-235535.03</v>
      </c>
      <c r="AH32" s="507">
        <v>0</v>
      </c>
      <c r="AI32" s="507">
        <v>0</v>
      </c>
      <c r="AJ32" s="507">
        <v>0</v>
      </c>
      <c r="AK32" s="507">
        <v>0</v>
      </c>
      <c r="AL32" s="507">
        <v>0</v>
      </c>
      <c r="AM32" s="507">
        <v>0</v>
      </c>
      <c r="AN32" s="507"/>
      <c r="AO32" s="507"/>
    </row>
    <row r="33" spans="1:41">
      <c r="A33" s="2" t="s">
        <v>46</v>
      </c>
      <c r="B33" s="2" t="s">
        <v>44</v>
      </c>
      <c r="C33" s="2" t="s">
        <v>17</v>
      </c>
      <c r="D33" s="2" t="s">
        <v>30</v>
      </c>
      <c r="E33" s="2" t="s">
        <v>19</v>
      </c>
      <c r="F33" s="2" t="s">
        <v>20</v>
      </c>
      <c r="G33" s="2" t="s">
        <v>21</v>
      </c>
      <c r="H33">
        <v>1</v>
      </c>
      <c r="I33" s="2" t="s">
        <v>526</v>
      </c>
      <c r="J33" s="3">
        <v>1</v>
      </c>
      <c r="K33" s="3">
        <v>5.2488000000000001</v>
      </c>
      <c r="L33" s="507">
        <v>149508.85489527331</v>
      </c>
      <c r="M33" s="507">
        <v>0</v>
      </c>
      <c r="N33" s="507">
        <v>149508.85489527331</v>
      </c>
      <c r="O33" s="507">
        <v>154.07721097591048</v>
      </c>
      <c r="P33">
        <v>1</v>
      </c>
      <c r="Q33" s="2" t="s">
        <v>526</v>
      </c>
      <c r="R33" s="3">
        <v>1</v>
      </c>
      <c r="S33" s="3">
        <v>5.2488000000000001</v>
      </c>
      <c r="T33" s="507">
        <v>149508.85489527331</v>
      </c>
      <c r="U33" s="507">
        <v>0</v>
      </c>
      <c r="V33" s="507">
        <v>149508.85489527331</v>
      </c>
      <c r="W33" s="507">
        <v>111.09342400515324</v>
      </c>
      <c r="X33" s="507">
        <v>149662.93210624921</v>
      </c>
      <c r="Y33" s="507">
        <v>149619.94831927845</v>
      </c>
      <c r="Z33" s="507">
        <v>785550.79803928093</v>
      </c>
      <c r="AA33" s="507">
        <v>785325.1847382288</v>
      </c>
      <c r="AB33" s="507">
        <v>785325.1847382288</v>
      </c>
      <c r="AC33" s="507">
        <v>225.61</v>
      </c>
      <c r="AD33" s="507">
        <v>225.61</v>
      </c>
      <c r="AE33" s="507">
        <v>0</v>
      </c>
      <c r="AF33" s="507">
        <v>225.61</v>
      </c>
      <c r="AG33" s="507"/>
      <c r="AH33" s="507">
        <v>0</v>
      </c>
      <c r="AI33" s="507">
        <v>0</v>
      </c>
      <c r="AJ33" s="507">
        <v>0</v>
      </c>
      <c r="AK33" s="507">
        <v>0</v>
      </c>
      <c r="AL33" s="507">
        <v>0</v>
      </c>
      <c r="AM33" s="507">
        <v>0</v>
      </c>
      <c r="AN33" s="507"/>
      <c r="AO33" s="507"/>
    </row>
    <row r="34" spans="1:41">
      <c r="A34" s="2" t="s">
        <v>47</v>
      </c>
      <c r="B34" s="2" t="s">
        <v>44</v>
      </c>
      <c r="C34" s="2" t="s">
        <v>17</v>
      </c>
      <c r="D34" s="2" t="s">
        <v>30</v>
      </c>
      <c r="E34" s="2" t="s">
        <v>19</v>
      </c>
      <c r="F34" s="2" t="s">
        <v>20</v>
      </c>
      <c r="G34" s="2" t="s">
        <v>21</v>
      </c>
      <c r="H34">
        <v>1</v>
      </c>
      <c r="I34" s="2" t="s">
        <v>526</v>
      </c>
      <c r="J34" s="3">
        <v>1</v>
      </c>
      <c r="K34" s="3">
        <v>5.2488000000000001</v>
      </c>
      <c r="L34" s="507">
        <v>156596.1754390212</v>
      </c>
      <c r="M34" s="507">
        <v>0</v>
      </c>
      <c r="N34" s="507">
        <v>156596.1754390212</v>
      </c>
      <c r="O34" s="507">
        <v>161.38112766524057</v>
      </c>
      <c r="P34">
        <v>1</v>
      </c>
      <c r="Q34" s="2" t="s">
        <v>526</v>
      </c>
      <c r="R34" s="3">
        <v>1</v>
      </c>
      <c r="S34" s="3">
        <v>5.2488000000000001</v>
      </c>
      <c r="T34" s="507">
        <v>156596.1754390212</v>
      </c>
      <c r="U34" s="507">
        <v>0</v>
      </c>
      <c r="V34" s="507">
        <v>156596.1754390212</v>
      </c>
      <c r="W34" s="507">
        <v>116.35972537095526</v>
      </c>
      <c r="X34" s="507">
        <v>156757.55656668643</v>
      </c>
      <c r="Y34" s="507">
        <v>156712.53516439215</v>
      </c>
      <c r="Z34" s="507">
        <v>822789.06290722371</v>
      </c>
      <c r="AA34" s="507">
        <v>822552.75457086146</v>
      </c>
      <c r="AB34" s="507">
        <v>822552.75457086146</v>
      </c>
      <c r="AC34" s="507">
        <v>236.31</v>
      </c>
      <c r="AD34" s="507">
        <v>236.31</v>
      </c>
      <c r="AE34" s="507">
        <v>0</v>
      </c>
      <c r="AF34" s="507">
        <v>236.31</v>
      </c>
      <c r="AG34" s="507"/>
      <c r="AH34" s="507">
        <v>0</v>
      </c>
      <c r="AI34" s="507">
        <v>0</v>
      </c>
      <c r="AJ34" s="507">
        <v>0</v>
      </c>
      <c r="AK34" s="507">
        <v>0</v>
      </c>
      <c r="AL34" s="507">
        <v>0</v>
      </c>
      <c r="AM34" s="507">
        <v>0</v>
      </c>
      <c r="AN34" s="507"/>
      <c r="AO34" s="507"/>
    </row>
    <row r="35" spans="1:41">
      <c r="A35" s="2" t="s">
        <v>48</v>
      </c>
      <c r="B35" s="2" t="s">
        <v>44</v>
      </c>
      <c r="C35" s="2" t="s">
        <v>17</v>
      </c>
      <c r="D35" s="2" t="s">
        <v>30</v>
      </c>
      <c r="E35" s="2" t="s">
        <v>19</v>
      </c>
      <c r="F35" s="2" t="s">
        <v>20</v>
      </c>
      <c r="G35" s="2" t="s">
        <v>21</v>
      </c>
      <c r="H35">
        <v>1</v>
      </c>
      <c r="I35" s="2" t="s">
        <v>526</v>
      </c>
      <c r="J35" s="3">
        <v>1</v>
      </c>
      <c r="K35" s="3">
        <v>5.2488000000000001</v>
      </c>
      <c r="L35" s="507">
        <v>200504.64372779927</v>
      </c>
      <c r="M35" s="507">
        <v>0</v>
      </c>
      <c r="N35" s="507">
        <v>200504.64372779927</v>
      </c>
      <c r="O35" s="507">
        <v>206.63110623449208</v>
      </c>
      <c r="P35">
        <v>1</v>
      </c>
      <c r="Q35" s="2" t="s">
        <v>526</v>
      </c>
      <c r="R35" s="3">
        <v>1</v>
      </c>
      <c r="S35" s="3">
        <v>5.2488000000000001</v>
      </c>
      <c r="T35" s="507">
        <v>200504.64372779927</v>
      </c>
      <c r="U35" s="507">
        <v>0</v>
      </c>
      <c r="V35" s="507">
        <v>200504.64372779927</v>
      </c>
      <c r="W35" s="507">
        <v>148.98612680311567</v>
      </c>
      <c r="X35" s="507">
        <v>200711.27483403377</v>
      </c>
      <c r="Y35" s="507">
        <v>200653.62985460239</v>
      </c>
      <c r="Z35" s="507">
        <v>1053493.3393488764</v>
      </c>
      <c r="AA35" s="507">
        <v>1053190.772380837</v>
      </c>
      <c r="AB35" s="507">
        <v>1053190.772380837</v>
      </c>
      <c r="AC35" s="507">
        <v>302.57</v>
      </c>
      <c r="AD35" s="507">
        <v>302.57</v>
      </c>
      <c r="AE35" s="507">
        <v>0</v>
      </c>
      <c r="AF35" s="507">
        <v>302.57</v>
      </c>
      <c r="AG35" s="507"/>
      <c r="AH35" s="507">
        <v>0</v>
      </c>
      <c r="AI35" s="507">
        <v>0</v>
      </c>
      <c r="AJ35" s="507">
        <v>0</v>
      </c>
      <c r="AK35" s="507">
        <v>0</v>
      </c>
      <c r="AL35" s="507">
        <v>0</v>
      </c>
      <c r="AM35" s="507">
        <v>0</v>
      </c>
      <c r="AN35" s="507"/>
      <c r="AO35" s="507"/>
    </row>
    <row r="36" spans="1:41">
      <c r="A36" s="2"/>
      <c r="B36" s="2"/>
      <c r="C36" s="2"/>
      <c r="D36" s="2"/>
      <c r="E36" s="2"/>
      <c r="F36" s="2"/>
      <c r="G36" s="2"/>
      <c r="I36" s="2"/>
      <c r="J36" s="3"/>
      <c r="K36" s="3"/>
      <c r="L36" s="507"/>
      <c r="M36" s="507"/>
      <c r="N36" s="507"/>
      <c r="O36" s="507"/>
      <c r="P36">
        <v>1</v>
      </c>
      <c r="Q36" s="2" t="s">
        <v>526</v>
      </c>
      <c r="R36" s="3">
        <v>1</v>
      </c>
      <c r="S36" s="3">
        <v>5.2488000000000001</v>
      </c>
      <c r="T36" s="507">
        <v>63885.466122770798</v>
      </c>
      <c r="U36" s="507">
        <v>0</v>
      </c>
      <c r="V36" s="507">
        <v>63885.466122770798</v>
      </c>
      <c r="W36" s="507">
        <v>41.725301390676393</v>
      </c>
      <c r="X36" s="507"/>
      <c r="Y36" s="507">
        <v>63927.191424161472</v>
      </c>
      <c r="Z36" s="507"/>
      <c r="AA36" s="507">
        <v>335541.04234713875</v>
      </c>
      <c r="AB36" s="507"/>
      <c r="AC36" s="507"/>
      <c r="AD36" s="507"/>
      <c r="AE36" s="507"/>
      <c r="AF36" s="507"/>
      <c r="AG36" s="507"/>
      <c r="AH36" s="507"/>
      <c r="AI36" s="507">
        <v>0</v>
      </c>
      <c r="AJ36" s="507"/>
      <c r="AK36" s="507"/>
      <c r="AL36" s="507"/>
      <c r="AM36" s="507"/>
      <c r="AN36" s="507"/>
      <c r="AO36" s="507"/>
    </row>
    <row r="37" spans="1:41">
      <c r="A37" s="2" t="s">
        <v>49</v>
      </c>
      <c r="B37" s="2" t="s">
        <v>44</v>
      </c>
      <c r="C37" s="2" t="s">
        <v>17</v>
      </c>
      <c r="D37" s="2" t="s">
        <v>30</v>
      </c>
      <c r="E37" s="2" t="s">
        <v>19</v>
      </c>
      <c r="F37" s="2" t="s">
        <v>20</v>
      </c>
      <c r="G37" s="2" t="s">
        <v>21</v>
      </c>
      <c r="H37">
        <v>1</v>
      </c>
      <c r="I37" s="2" t="s">
        <v>526</v>
      </c>
      <c r="J37" s="3">
        <v>1</v>
      </c>
      <c r="K37" s="3">
        <v>5.2488000000000001</v>
      </c>
      <c r="L37" s="507">
        <v>54136.940870230923</v>
      </c>
      <c r="M37" s="507">
        <v>0</v>
      </c>
      <c r="N37" s="507">
        <v>54136.940870230923</v>
      </c>
      <c r="O37" s="507">
        <v>55.791074441928679</v>
      </c>
      <c r="P37">
        <v>1</v>
      </c>
      <c r="Q37" s="2" t="s">
        <v>526</v>
      </c>
      <c r="R37" s="3">
        <v>1</v>
      </c>
      <c r="S37" s="3">
        <v>5.2488000000000001</v>
      </c>
      <c r="T37" s="507">
        <v>54136.940870230923</v>
      </c>
      <c r="U37" s="507">
        <v>0</v>
      </c>
      <c r="V37" s="507">
        <v>54136.940870230923</v>
      </c>
      <c r="W37" s="507">
        <v>40.226839525041264</v>
      </c>
      <c r="X37" s="507">
        <v>54192.731944672851</v>
      </c>
      <c r="Y37" s="507">
        <v>54177.167709755966</v>
      </c>
      <c r="Z37" s="507">
        <v>284446.81143119885</v>
      </c>
      <c r="AA37" s="507">
        <v>284365.11787496711</v>
      </c>
      <c r="AB37" s="507">
        <v>284365.11787496711</v>
      </c>
      <c r="AC37" s="507">
        <v>81.69</v>
      </c>
      <c r="AD37" s="507">
        <v>81.69</v>
      </c>
      <c r="AE37" s="507">
        <v>0</v>
      </c>
      <c r="AF37" s="507">
        <v>81.69</v>
      </c>
      <c r="AG37" s="507"/>
      <c r="AH37" s="507">
        <v>0</v>
      </c>
      <c r="AI37" s="507">
        <v>0</v>
      </c>
      <c r="AJ37" s="507">
        <v>0</v>
      </c>
      <c r="AK37" s="507">
        <v>0</v>
      </c>
      <c r="AL37" s="507">
        <v>0</v>
      </c>
      <c r="AM37" s="507">
        <v>0</v>
      </c>
      <c r="AN37" s="507"/>
      <c r="AO37" s="507"/>
    </row>
    <row r="38" spans="1:41">
      <c r="A38" s="2"/>
      <c r="B38" s="2"/>
      <c r="C38" s="2"/>
      <c r="D38" s="2"/>
      <c r="E38" s="2"/>
      <c r="F38" s="2"/>
      <c r="G38" s="2"/>
      <c r="I38" s="2"/>
      <c r="J38" s="3"/>
      <c r="K38" s="3"/>
      <c r="L38" s="507"/>
      <c r="M38" s="507"/>
      <c r="N38" s="507"/>
      <c r="O38" s="507"/>
      <c r="P38">
        <v>1</v>
      </c>
      <c r="Q38" s="2" t="s">
        <v>526</v>
      </c>
      <c r="R38" s="3">
        <v>1</v>
      </c>
      <c r="S38" s="3">
        <v>5.2488000000000001</v>
      </c>
      <c r="T38" s="507">
        <v>10515.417375815032</v>
      </c>
      <c r="U38" s="507">
        <v>0</v>
      </c>
      <c r="V38" s="507">
        <v>10515.417375815032</v>
      </c>
      <c r="W38" s="507">
        <v>13.144208936545947</v>
      </c>
      <c r="X38" s="507"/>
      <c r="Y38" s="507">
        <v>10528.561584751578</v>
      </c>
      <c r="Z38" s="507"/>
      <c r="AA38" s="507">
        <v>55262.314046044085</v>
      </c>
      <c r="AB38" s="507"/>
      <c r="AC38" s="507"/>
      <c r="AD38" s="507"/>
      <c r="AE38" s="507"/>
      <c r="AF38" s="507"/>
      <c r="AG38" s="507"/>
      <c r="AH38" s="507"/>
      <c r="AI38" s="507">
        <v>0</v>
      </c>
      <c r="AJ38" s="507"/>
      <c r="AK38" s="507"/>
      <c r="AL38" s="507"/>
      <c r="AM38" s="507"/>
      <c r="AN38" s="507"/>
      <c r="AO38" s="507"/>
    </row>
    <row r="39" spans="1:41">
      <c r="A39" s="2" t="s">
        <v>853</v>
      </c>
      <c r="B39" s="2" t="s">
        <v>29</v>
      </c>
      <c r="C39" s="2" t="s">
        <v>17</v>
      </c>
      <c r="D39" s="2" t="s">
        <v>30</v>
      </c>
      <c r="E39" s="2" t="s">
        <v>19</v>
      </c>
      <c r="F39" s="2" t="s">
        <v>20</v>
      </c>
      <c r="G39" s="2" t="s">
        <v>21</v>
      </c>
      <c r="H39">
        <v>1</v>
      </c>
      <c r="I39" s="2" t="s">
        <v>526</v>
      </c>
      <c r="J39" s="3">
        <v>1</v>
      </c>
      <c r="K39" s="3">
        <v>5.2488000000000001</v>
      </c>
      <c r="L39" s="507">
        <v>11573.989627556615</v>
      </c>
      <c r="M39" s="507">
        <v>0</v>
      </c>
      <c r="N39" s="507">
        <v>11573.989627556615</v>
      </c>
      <c r="O39" s="507">
        <v>10.470341127657994</v>
      </c>
      <c r="P39">
        <v>1</v>
      </c>
      <c r="Q39" s="2" t="s">
        <v>526</v>
      </c>
      <c r="R39" s="3">
        <v>1</v>
      </c>
      <c r="S39" s="3">
        <v>5.2488000000000001</v>
      </c>
      <c r="T39" s="507">
        <v>11573.989627556615</v>
      </c>
      <c r="U39" s="507">
        <v>0</v>
      </c>
      <c r="V39" s="507">
        <v>11573.989627556615</v>
      </c>
      <c r="W39" s="507">
        <v>7.559376549763174</v>
      </c>
      <c r="X39" s="507">
        <v>11584.459968684274</v>
      </c>
      <c r="Y39" s="507">
        <v>11581.549004106379</v>
      </c>
      <c r="Z39" s="507">
        <v>60804.51348363002</v>
      </c>
      <c r="AA39" s="507">
        <v>60789.234412753562</v>
      </c>
      <c r="AB39" s="507">
        <v>60789.234412753562</v>
      </c>
      <c r="AC39" s="507">
        <v>15.28</v>
      </c>
      <c r="AD39" s="507">
        <v>15.28</v>
      </c>
      <c r="AE39" s="507">
        <v>0</v>
      </c>
      <c r="AF39" s="507">
        <v>15.28</v>
      </c>
      <c r="AG39" s="507"/>
      <c r="AH39" s="507">
        <v>0</v>
      </c>
      <c r="AI39" s="507">
        <v>0</v>
      </c>
      <c r="AJ39" s="507">
        <v>0</v>
      </c>
      <c r="AK39" s="507">
        <v>0</v>
      </c>
      <c r="AL39" s="507">
        <v>0</v>
      </c>
      <c r="AM39" s="507">
        <v>0</v>
      </c>
      <c r="AN39" s="507"/>
      <c r="AO39" s="507"/>
    </row>
    <row r="40" spans="1:41">
      <c r="A40" s="2"/>
      <c r="B40" s="2"/>
      <c r="C40" s="2"/>
      <c r="D40" s="2"/>
      <c r="E40" s="2"/>
      <c r="F40" s="2"/>
      <c r="G40" s="2"/>
      <c r="I40" s="2"/>
      <c r="J40" s="3"/>
      <c r="K40" s="3"/>
      <c r="L40" s="507"/>
      <c r="M40" s="507"/>
      <c r="N40" s="507"/>
      <c r="O40" s="507"/>
      <c r="P40">
        <v>1</v>
      </c>
      <c r="Q40" s="2" t="s">
        <v>526</v>
      </c>
      <c r="R40" s="3">
        <v>1</v>
      </c>
      <c r="S40" s="3">
        <v>5.2488000000000001</v>
      </c>
      <c r="T40" s="507">
        <v>18683.322475639805</v>
      </c>
      <c r="U40" s="507">
        <v>0</v>
      </c>
      <c r="V40" s="507">
        <v>18683.322475639805</v>
      </c>
      <c r="W40" s="507">
        <v>12.20253107610111</v>
      </c>
      <c r="X40" s="507"/>
      <c r="Y40" s="507">
        <v>18695.525006715907</v>
      </c>
      <c r="Z40" s="507"/>
      <c r="AA40" s="507">
        <v>98129.07165525046</v>
      </c>
      <c r="AB40" s="507"/>
      <c r="AC40" s="507"/>
      <c r="AD40" s="507"/>
      <c r="AE40" s="507"/>
      <c r="AF40" s="507"/>
      <c r="AG40" s="507"/>
      <c r="AH40" s="507"/>
      <c r="AI40" s="507">
        <v>0</v>
      </c>
      <c r="AJ40" s="507"/>
      <c r="AK40" s="507"/>
      <c r="AL40" s="507"/>
      <c r="AM40" s="507"/>
      <c r="AN40" s="507"/>
      <c r="AO40" s="507"/>
    </row>
    <row r="41" spans="1:41">
      <c r="A41" s="2" t="s">
        <v>854</v>
      </c>
      <c r="B41" s="2" t="s">
        <v>44</v>
      </c>
      <c r="C41" s="2" t="s">
        <v>17</v>
      </c>
      <c r="D41" s="2" t="s">
        <v>30</v>
      </c>
      <c r="E41" s="2" t="s">
        <v>19</v>
      </c>
      <c r="F41" s="2" t="s">
        <v>20</v>
      </c>
      <c r="G41" s="2" t="s">
        <v>21</v>
      </c>
      <c r="H41">
        <v>1</v>
      </c>
      <c r="I41" s="2" t="s">
        <v>526</v>
      </c>
      <c r="J41" s="3">
        <v>1</v>
      </c>
      <c r="K41" s="3">
        <v>5.2488000000000001</v>
      </c>
      <c r="L41" s="507">
        <v>37975.497075912164</v>
      </c>
      <c r="M41" s="507">
        <v>0</v>
      </c>
      <c r="N41" s="507">
        <v>37975.497075912164</v>
      </c>
      <c r="O41" s="507">
        <v>39.135840164156221</v>
      </c>
      <c r="P41">
        <v>1</v>
      </c>
      <c r="Q41" s="2" t="s">
        <v>526</v>
      </c>
      <c r="R41" s="3">
        <v>1</v>
      </c>
      <c r="S41" s="3">
        <v>5.2488000000000001</v>
      </c>
      <c r="T41" s="507">
        <v>37975.497075912164</v>
      </c>
      <c r="U41" s="507">
        <v>0</v>
      </c>
      <c r="V41" s="507">
        <v>37975.497075912164</v>
      </c>
      <c r="W41" s="507">
        <v>28.217907314737449</v>
      </c>
      <c r="X41" s="507">
        <v>38014.63291607632</v>
      </c>
      <c r="Y41" s="507">
        <v>38003.714983226899</v>
      </c>
      <c r="Z41" s="507">
        <v>199531.2052499014</v>
      </c>
      <c r="AA41" s="507">
        <v>199473.89920396134</v>
      </c>
      <c r="AB41" s="507">
        <v>199473.89920396134</v>
      </c>
      <c r="AC41" s="507">
        <v>57.31</v>
      </c>
      <c r="AD41" s="507">
        <v>57.31</v>
      </c>
      <c r="AE41" s="507">
        <v>0</v>
      </c>
      <c r="AF41" s="507">
        <v>57.31</v>
      </c>
      <c r="AG41" s="507"/>
      <c r="AH41" s="507">
        <v>0</v>
      </c>
      <c r="AI41" s="507">
        <v>0</v>
      </c>
      <c r="AJ41" s="507">
        <v>0</v>
      </c>
      <c r="AK41" s="507">
        <v>0</v>
      </c>
      <c r="AL41" s="507">
        <v>0</v>
      </c>
      <c r="AM41" s="507">
        <v>0</v>
      </c>
      <c r="AN41" s="507"/>
      <c r="AO41" s="507"/>
    </row>
    <row r="42" spans="1:41">
      <c r="A42" s="2"/>
      <c r="B42" s="2"/>
      <c r="C42" s="2"/>
      <c r="D42" s="2"/>
      <c r="E42" s="2"/>
      <c r="F42" s="2"/>
      <c r="G42" s="2"/>
      <c r="I42" s="2"/>
      <c r="J42" s="3"/>
      <c r="K42" s="3"/>
      <c r="L42" s="507"/>
      <c r="M42" s="507"/>
      <c r="N42" s="507"/>
      <c r="O42" s="507"/>
      <c r="P42">
        <v>1</v>
      </c>
      <c r="Q42" s="2" t="s">
        <v>526</v>
      </c>
      <c r="R42" s="3">
        <v>1</v>
      </c>
      <c r="S42" s="3">
        <v>5.2488000000000001</v>
      </c>
      <c r="T42" s="507">
        <v>1300525.9996298151</v>
      </c>
      <c r="U42" s="507">
        <v>0</v>
      </c>
      <c r="V42" s="507">
        <v>1300525.9996298151</v>
      </c>
      <c r="W42" s="507">
        <v>20429.096003087565</v>
      </c>
      <c r="X42" s="507"/>
      <c r="Y42" s="507">
        <v>1320955.0956329026</v>
      </c>
      <c r="Z42" s="507"/>
      <c r="AA42" s="507">
        <v>6933429.1059579793</v>
      </c>
      <c r="AB42" s="507"/>
      <c r="AC42" s="507"/>
      <c r="AD42" s="507"/>
      <c r="AE42" s="507"/>
      <c r="AF42" s="507"/>
      <c r="AG42" s="507"/>
      <c r="AH42" s="507"/>
      <c r="AI42" s="507">
        <v>0</v>
      </c>
      <c r="AJ42" s="507"/>
      <c r="AK42" s="507"/>
      <c r="AL42" s="507"/>
      <c r="AM42" s="507"/>
      <c r="AN42" s="507"/>
      <c r="AO42" s="507"/>
    </row>
    <row r="43" spans="1:41">
      <c r="A43" s="2" t="s">
        <v>855</v>
      </c>
      <c r="B43" s="2" t="s">
        <v>29</v>
      </c>
      <c r="C43" s="2" t="s">
        <v>17</v>
      </c>
      <c r="D43" s="2" t="s">
        <v>30</v>
      </c>
      <c r="E43" s="2" t="s">
        <v>19</v>
      </c>
      <c r="F43" s="2" t="s">
        <v>20</v>
      </c>
      <c r="G43" s="2" t="s">
        <v>21</v>
      </c>
      <c r="H43">
        <v>1</v>
      </c>
      <c r="I43" s="2" t="s">
        <v>526</v>
      </c>
      <c r="J43" s="3">
        <v>1</v>
      </c>
      <c r="K43" s="3">
        <v>5.2488000000000001</v>
      </c>
      <c r="L43" s="507">
        <v>11068.306379828213</v>
      </c>
      <c r="M43" s="507">
        <v>0</v>
      </c>
      <c r="N43" s="507">
        <v>11068.306379828213</v>
      </c>
      <c r="O43" s="507">
        <v>10.012943366511593</v>
      </c>
      <c r="P43">
        <v>1</v>
      </c>
      <c r="Q43" s="2" t="s">
        <v>526</v>
      </c>
      <c r="R43" s="3">
        <v>1</v>
      </c>
      <c r="S43" s="3">
        <v>5.2488000000000001</v>
      </c>
      <c r="T43" s="507">
        <v>11068.306379828213</v>
      </c>
      <c r="U43" s="507">
        <v>0</v>
      </c>
      <c r="V43" s="507">
        <v>11068.306379828213</v>
      </c>
      <c r="W43" s="507">
        <v>7.228987604325301</v>
      </c>
      <c r="X43" s="507">
        <v>11078.319323194724</v>
      </c>
      <c r="Y43" s="507">
        <v>11075.535367432538</v>
      </c>
      <c r="Z43" s="507">
        <v>58147.882463584472</v>
      </c>
      <c r="AA43" s="507">
        <v>58133.270036579903</v>
      </c>
      <c r="AB43" s="507">
        <v>58133.270036579903</v>
      </c>
      <c r="AC43" s="507">
        <v>14.61</v>
      </c>
      <c r="AD43" s="507">
        <v>14.61</v>
      </c>
      <c r="AE43" s="507">
        <v>0</v>
      </c>
      <c r="AF43" s="507">
        <v>14.61</v>
      </c>
      <c r="AG43" s="507"/>
      <c r="AH43" s="507">
        <v>0</v>
      </c>
      <c r="AI43" s="507">
        <v>0</v>
      </c>
      <c r="AJ43" s="507">
        <v>0</v>
      </c>
      <c r="AK43" s="507">
        <v>0</v>
      </c>
      <c r="AL43" s="507">
        <v>0</v>
      </c>
      <c r="AM43" s="507">
        <v>0</v>
      </c>
      <c r="AN43" s="507"/>
      <c r="AO43" s="507"/>
    </row>
    <row r="44" spans="1:41">
      <c r="A44" s="2" t="s">
        <v>856</v>
      </c>
      <c r="B44" s="2" t="s">
        <v>44</v>
      </c>
      <c r="C44" s="2" t="s">
        <v>17</v>
      </c>
      <c r="D44" s="2" t="s">
        <v>30</v>
      </c>
      <c r="E44" s="2" t="s">
        <v>19</v>
      </c>
      <c r="F44" s="2" t="s">
        <v>20</v>
      </c>
      <c r="G44" s="2" t="s">
        <v>21</v>
      </c>
      <c r="H44">
        <v>1</v>
      </c>
      <c r="I44" s="2" t="s">
        <v>526</v>
      </c>
      <c r="J44" s="3">
        <v>1</v>
      </c>
      <c r="K44" s="3">
        <v>5.2488000000000001</v>
      </c>
      <c r="L44" s="507">
        <v>52225.614861789218</v>
      </c>
      <c r="M44" s="507">
        <v>0</v>
      </c>
      <c r="N44" s="507">
        <v>52225.614861789218</v>
      </c>
      <c r="O44" s="507">
        <v>53.821404246985082</v>
      </c>
      <c r="P44">
        <v>1</v>
      </c>
      <c r="Q44" s="2" t="s">
        <v>526</v>
      </c>
      <c r="R44" s="3">
        <v>1</v>
      </c>
      <c r="S44" s="3">
        <v>5.2488000000000001</v>
      </c>
      <c r="T44" s="507">
        <v>52225.614861789218</v>
      </c>
      <c r="U44" s="507">
        <v>0</v>
      </c>
      <c r="V44" s="507">
        <v>52225.614861789218</v>
      </c>
      <c r="W44" s="507">
        <v>38.806453997322755</v>
      </c>
      <c r="X44" s="507">
        <v>52279.436266036202</v>
      </c>
      <c r="Y44" s="507">
        <v>52264.421315786538</v>
      </c>
      <c r="Z44" s="507">
        <v>274404.30507317081</v>
      </c>
      <c r="AA44" s="507">
        <v>274325.4946023004</v>
      </c>
      <c r="AB44" s="507">
        <v>274325.4946023004</v>
      </c>
      <c r="AC44" s="507">
        <v>78.81</v>
      </c>
      <c r="AD44" s="507">
        <v>78.81</v>
      </c>
      <c r="AE44" s="507">
        <v>0</v>
      </c>
      <c r="AF44" s="507">
        <v>78.81</v>
      </c>
      <c r="AG44" s="507"/>
      <c r="AH44" s="507">
        <v>0</v>
      </c>
      <c r="AI44" s="507">
        <v>0</v>
      </c>
      <c r="AJ44" s="507">
        <v>0</v>
      </c>
      <c r="AK44" s="507">
        <v>0</v>
      </c>
      <c r="AL44" s="507">
        <v>0</v>
      </c>
      <c r="AM44" s="507">
        <v>0</v>
      </c>
      <c r="AN44" s="507"/>
      <c r="AO44" s="507"/>
    </row>
    <row r="45" spans="1:41">
      <c r="A45" s="2" t="s">
        <v>857</v>
      </c>
      <c r="B45" s="2" t="s">
        <v>29</v>
      </c>
      <c r="C45" s="2" t="s">
        <v>17</v>
      </c>
      <c r="D45" s="2" t="s">
        <v>30</v>
      </c>
      <c r="E45" s="2" t="s">
        <v>19</v>
      </c>
      <c r="F45" s="2" t="s">
        <v>20</v>
      </c>
      <c r="G45" s="2" t="s">
        <v>21</v>
      </c>
      <c r="H45">
        <v>1</v>
      </c>
      <c r="I45" s="2" t="s">
        <v>526</v>
      </c>
      <c r="J45" s="3">
        <v>1</v>
      </c>
      <c r="K45" s="3">
        <v>5.2488000000000001</v>
      </c>
      <c r="L45" s="507">
        <v>23969.801003815475</v>
      </c>
      <c r="M45" s="507">
        <v>0</v>
      </c>
      <c r="N45" s="507">
        <v>23969.801003815475</v>
      </c>
      <c r="O45" s="507">
        <v>21.684472444040441</v>
      </c>
      <c r="P45">
        <v>1</v>
      </c>
      <c r="Q45" s="2" t="s">
        <v>526</v>
      </c>
      <c r="R45" s="3">
        <v>1</v>
      </c>
      <c r="S45" s="3">
        <v>5.2488000000000001</v>
      </c>
      <c r="T45" s="507">
        <v>23969.801003815475</v>
      </c>
      <c r="U45" s="507">
        <v>0</v>
      </c>
      <c r="V45" s="507">
        <v>23969.801003815475</v>
      </c>
      <c r="W45" s="507">
        <v>15.655289251288519</v>
      </c>
      <c r="X45" s="507">
        <v>23991.485476259517</v>
      </c>
      <c r="Y45" s="507">
        <v>23985.456293066763</v>
      </c>
      <c r="Z45" s="507">
        <v>125926.50896779096</v>
      </c>
      <c r="AA45" s="507">
        <v>125894.86299104884</v>
      </c>
      <c r="AB45" s="507">
        <v>125894.86299104884</v>
      </c>
      <c r="AC45" s="507">
        <v>31.65</v>
      </c>
      <c r="AD45" s="507">
        <v>31.65</v>
      </c>
      <c r="AE45" s="507">
        <v>0</v>
      </c>
      <c r="AF45" s="507">
        <v>31.65</v>
      </c>
      <c r="AG45" s="507"/>
      <c r="AH45" s="507">
        <v>0</v>
      </c>
      <c r="AI45" s="507">
        <v>0</v>
      </c>
      <c r="AJ45" s="507">
        <v>0</v>
      </c>
      <c r="AK45" s="507">
        <v>0</v>
      </c>
      <c r="AL45" s="507">
        <v>0</v>
      </c>
      <c r="AM45" s="507">
        <v>0</v>
      </c>
      <c r="AN45" s="507"/>
      <c r="AO45" s="507"/>
    </row>
    <row r="46" spans="1:41">
      <c r="A46" s="2" t="s">
        <v>858</v>
      </c>
      <c r="B46" s="2" t="s">
        <v>44</v>
      </c>
      <c r="C46" s="2" t="s">
        <v>17</v>
      </c>
      <c r="D46" s="2" t="s">
        <v>30</v>
      </c>
      <c r="E46" s="2" t="s">
        <v>19</v>
      </c>
      <c r="F46" s="2" t="s">
        <v>20</v>
      </c>
      <c r="G46" s="2" t="s">
        <v>21</v>
      </c>
      <c r="H46">
        <v>1</v>
      </c>
      <c r="I46" s="2" t="s">
        <v>526</v>
      </c>
      <c r="J46" s="3">
        <v>1</v>
      </c>
      <c r="K46" s="3">
        <v>5.2488000000000001</v>
      </c>
      <c r="L46" s="507">
        <v>99685.010043163216</v>
      </c>
      <c r="M46" s="507">
        <v>0</v>
      </c>
      <c r="N46" s="507">
        <v>99685.010043163216</v>
      </c>
      <c r="O46" s="507">
        <v>102.73100345121762</v>
      </c>
      <c r="P46">
        <v>1</v>
      </c>
      <c r="Q46" s="2" t="s">
        <v>526</v>
      </c>
      <c r="R46" s="3">
        <v>1</v>
      </c>
      <c r="S46" s="3">
        <v>5.2488000000000001</v>
      </c>
      <c r="T46" s="507">
        <v>99685.010043163216</v>
      </c>
      <c r="U46" s="507">
        <v>0</v>
      </c>
      <c r="V46" s="507">
        <v>99685.010043163216</v>
      </c>
      <c r="W46" s="507">
        <v>74.071452800681044</v>
      </c>
      <c r="X46" s="507">
        <v>99787.741046614436</v>
      </c>
      <c r="Y46" s="507">
        <v>99759.081495963896</v>
      </c>
      <c r="Z46" s="507">
        <v>523765.89520546986</v>
      </c>
      <c r="AA46" s="507">
        <v>523615.46695601533</v>
      </c>
      <c r="AB46" s="507">
        <v>523615.46695601533</v>
      </c>
      <c r="AC46" s="507">
        <v>150.43</v>
      </c>
      <c r="AD46" s="507">
        <v>150.43</v>
      </c>
      <c r="AE46" s="507">
        <v>0</v>
      </c>
      <c r="AF46" s="507">
        <v>150.43</v>
      </c>
      <c r="AG46" s="507"/>
      <c r="AH46" s="507">
        <v>0</v>
      </c>
      <c r="AI46" s="507">
        <v>0</v>
      </c>
      <c r="AJ46" s="507">
        <v>0</v>
      </c>
      <c r="AK46" s="507">
        <v>0</v>
      </c>
      <c r="AL46" s="507">
        <v>0</v>
      </c>
      <c r="AM46" s="507">
        <v>0</v>
      </c>
      <c r="AN46" s="507"/>
      <c r="AO46" s="507"/>
    </row>
    <row r="47" spans="1:41">
      <c r="A47" s="2" t="s">
        <v>859</v>
      </c>
      <c r="B47" s="2" t="s">
        <v>29</v>
      </c>
      <c r="C47" s="2" t="s">
        <v>17</v>
      </c>
      <c r="D47" s="2" t="s">
        <v>30</v>
      </c>
      <c r="E47" s="2" t="s">
        <v>19</v>
      </c>
      <c r="F47" s="2" t="s">
        <v>20</v>
      </c>
      <c r="G47" s="2" t="s">
        <v>21</v>
      </c>
      <c r="H47">
        <v>1</v>
      </c>
      <c r="I47" s="2" t="s">
        <v>526</v>
      </c>
      <c r="J47" s="3">
        <v>1</v>
      </c>
      <c r="K47" s="3">
        <v>5.2488000000000001</v>
      </c>
      <c r="L47" s="507">
        <v>55985.370853933127</v>
      </c>
      <c r="M47" s="507">
        <v>0</v>
      </c>
      <c r="N47" s="507">
        <v>55985.370853933127</v>
      </c>
      <c r="O47" s="507">
        <v>50.647186455796422</v>
      </c>
      <c r="P47">
        <v>1</v>
      </c>
      <c r="Q47" s="2" t="s">
        <v>526</v>
      </c>
      <c r="R47" s="3">
        <v>1</v>
      </c>
      <c r="S47" s="3">
        <v>5.2488000000000001</v>
      </c>
      <c r="T47" s="507">
        <v>55985.370853933127</v>
      </c>
      <c r="U47" s="507">
        <v>0</v>
      </c>
      <c r="V47" s="507">
        <v>55985.370853933127</v>
      </c>
      <c r="W47" s="507">
        <v>36.565533664059984</v>
      </c>
      <c r="X47" s="507">
        <v>56036.018040388924</v>
      </c>
      <c r="Y47" s="507">
        <v>56021.93638759719</v>
      </c>
      <c r="Z47" s="507">
        <v>294121.8514903934</v>
      </c>
      <c r="AA47" s="507">
        <v>294047.93971122016</v>
      </c>
      <c r="AB47" s="507">
        <v>294047.93971122016</v>
      </c>
      <c r="AC47" s="507">
        <v>73.91</v>
      </c>
      <c r="AD47" s="507">
        <v>73.91</v>
      </c>
      <c r="AE47" s="507">
        <v>0</v>
      </c>
      <c r="AF47" s="507">
        <v>73.91</v>
      </c>
      <c r="AG47" s="507"/>
      <c r="AH47" s="507">
        <v>0</v>
      </c>
      <c r="AI47" s="507">
        <v>0</v>
      </c>
      <c r="AJ47" s="507">
        <v>0</v>
      </c>
      <c r="AK47" s="507">
        <v>0</v>
      </c>
      <c r="AL47" s="507">
        <v>0</v>
      </c>
      <c r="AM47" s="507">
        <v>0</v>
      </c>
      <c r="AN47" s="507"/>
      <c r="AO47" s="507"/>
    </row>
    <row r="48" spans="1:41">
      <c r="A48" s="2" t="s">
        <v>860</v>
      </c>
      <c r="B48" s="2" t="s">
        <v>44</v>
      </c>
      <c r="C48" s="2" t="s">
        <v>17</v>
      </c>
      <c r="D48" s="2" t="s">
        <v>30</v>
      </c>
      <c r="E48" s="2" t="s">
        <v>19</v>
      </c>
      <c r="F48" s="2" t="s">
        <v>20</v>
      </c>
      <c r="G48" s="2" t="s">
        <v>21</v>
      </c>
      <c r="H48">
        <v>1</v>
      </c>
      <c r="I48" s="2" t="s">
        <v>526</v>
      </c>
      <c r="J48" s="3">
        <v>1</v>
      </c>
      <c r="K48" s="3">
        <v>5.2488000000000001</v>
      </c>
      <c r="L48" s="507">
        <v>186112.00937301473</v>
      </c>
      <c r="M48" s="507">
        <v>0</v>
      </c>
      <c r="N48" s="507">
        <v>186112.00937301473</v>
      </c>
      <c r="O48" s="507">
        <v>191.79875851790058</v>
      </c>
      <c r="P48">
        <v>1</v>
      </c>
      <c r="Q48" s="2" t="s">
        <v>526</v>
      </c>
      <c r="R48" s="3">
        <v>1</v>
      </c>
      <c r="S48" s="3">
        <v>5.2488000000000001</v>
      </c>
      <c r="T48" s="507">
        <v>186112.00937301473</v>
      </c>
      <c r="U48" s="507">
        <v>0</v>
      </c>
      <c r="V48" s="507">
        <v>186112.00937301473</v>
      </c>
      <c r="W48" s="507">
        <v>138.29160049061869</v>
      </c>
      <c r="X48" s="507">
        <v>186303.80813153263</v>
      </c>
      <c r="Y48" s="507">
        <v>186250.30097350536</v>
      </c>
      <c r="Z48" s="507">
        <v>977871.42812078854</v>
      </c>
      <c r="AA48" s="507">
        <v>977590.57974973496</v>
      </c>
      <c r="AB48" s="507">
        <v>977590.57974973496</v>
      </c>
      <c r="AC48" s="507">
        <v>280.85000000000002</v>
      </c>
      <c r="AD48" s="507">
        <v>280.85000000000002</v>
      </c>
      <c r="AE48" s="507">
        <v>0</v>
      </c>
      <c r="AF48" s="507">
        <v>280.85000000000002</v>
      </c>
      <c r="AG48" s="507"/>
      <c r="AH48" s="507">
        <v>0</v>
      </c>
      <c r="AI48" s="507">
        <v>0</v>
      </c>
      <c r="AJ48" s="507">
        <v>0</v>
      </c>
      <c r="AK48" s="507">
        <v>0</v>
      </c>
      <c r="AL48" s="507">
        <v>0</v>
      </c>
      <c r="AM48" s="507">
        <v>0</v>
      </c>
      <c r="AN48" s="507"/>
      <c r="AO48" s="507"/>
    </row>
    <row r="49" spans="1:41">
      <c r="A49" s="2" t="s">
        <v>861</v>
      </c>
      <c r="B49" s="2" t="s">
        <v>29</v>
      </c>
      <c r="C49" s="2" t="s">
        <v>17</v>
      </c>
      <c r="D49" s="2" t="s">
        <v>30</v>
      </c>
      <c r="E49" s="2" t="s">
        <v>19</v>
      </c>
      <c r="F49" s="2" t="s">
        <v>20</v>
      </c>
      <c r="G49" s="2" t="s">
        <v>21</v>
      </c>
      <c r="H49">
        <v>1</v>
      </c>
      <c r="I49" s="2" t="s">
        <v>526</v>
      </c>
      <c r="J49" s="3">
        <v>1</v>
      </c>
      <c r="K49" s="3">
        <v>5.2488000000000001</v>
      </c>
      <c r="L49" s="507">
        <v>8050.4238992578685</v>
      </c>
      <c r="M49" s="507">
        <v>0</v>
      </c>
      <c r="N49" s="507">
        <v>8050.4238992578685</v>
      </c>
      <c r="O49" s="507">
        <v>7.2829455979269646</v>
      </c>
      <c r="P49">
        <v>1</v>
      </c>
      <c r="Q49" s="2" t="s">
        <v>526</v>
      </c>
      <c r="R49" s="3">
        <v>1</v>
      </c>
      <c r="S49" s="3">
        <v>5.2488000000000001</v>
      </c>
      <c r="T49" s="507">
        <v>8050.4238992578685</v>
      </c>
      <c r="U49" s="507">
        <v>0</v>
      </c>
      <c r="V49" s="507">
        <v>8050.4238992578685</v>
      </c>
      <c r="W49" s="507">
        <v>5.2579989457373921</v>
      </c>
      <c r="X49" s="507">
        <v>8057.7068448557957</v>
      </c>
      <c r="Y49" s="507">
        <v>8055.6818982036057</v>
      </c>
      <c r="Z49" s="507">
        <v>42293.291687279103</v>
      </c>
      <c r="AA49" s="507">
        <v>42282.663147291089</v>
      </c>
      <c r="AB49" s="507">
        <v>42282.663147291089</v>
      </c>
      <c r="AC49" s="507">
        <v>10.63</v>
      </c>
      <c r="AD49" s="507">
        <v>10.63</v>
      </c>
      <c r="AE49" s="507">
        <v>0</v>
      </c>
      <c r="AF49" s="507">
        <v>10.63</v>
      </c>
      <c r="AG49" s="507"/>
      <c r="AH49" s="507">
        <v>0</v>
      </c>
      <c r="AI49" s="507">
        <v>0</v>
      </c>
      <c r="AJ49" s="507">
        <v>0</v>
      </c>
      <c r="AK49" s="507">
        <v>0</v>
      </c>
      <c r="AL49" s="507">
        <v>0</v>
      </c>
      <c r="AM49" s="507">
        <v>0</v>
      </c>
      <c r="AN49" s="507"/>
      <c r="AO49" s="507"/>
    </row>
    <row r="50" spans="1:41">
      <c r="A50" s="2"/>
      <c r="B50" s="2"/>
      <c r="C50" s="2"/>
      <c r="D50" s="2"/>
      <c r="E50" s="2"/>
      <c r="F50" s="2"/>
      <c r="G50" s="2"/>
      <c r="I50" s="2"/>
      <c r="J50" s="3"/>
      <c r="K50" s="3"/>
      <c r="L50" s="507"/>
      <c r="M50" s="507"/>
      <c r="N50" s="507"/>
      <c r="O50" s="507"/>
      <c r="P50">
        <v>1</v>
      </c>
      <c r="Q50" s="2" t="s">
        <v>526</v>
      </c>
      <c r="R50" s="3">
        <v>1</v>
      </c>
      <c r="S50" s="3">
        <v>5.2488000000000001</v>
      </c>
      <c r="T50" s="507">
        <v>21649.387186721266</v>
      </c>
      <c r="U50" s="507">
        <v>0</v>
      </c>
      <c r="V50" s="507">
        <v>21649.387186721266</v>
      </c>
      <c r="W50" s="507">
        <v>423.3658900931589</v>
      </c>
      <c r="X50" s="507"/>
      <c r="Y50" s="507">
        <v>22072.753076814424</v>
      </c>
      <c r="Z50" s="507"/>
      <c r="AA50" s="507">
        <v>115855.46634958356</v>
      </c>
      <c r="AB50" s="507"/>
      <c r="AC50" s="507"/>
      <c r="AD50" s="507"/>
      <c r="AE50" s="507"/>
      <c r="AF50" s="507"/>
      <c r="AG50" s="507"/>
      <c r="AH50" s="507"/>
      <c r="AI50" s="507">
        <v>0</v>
      </c>
      <c r="AJ50" s="507"/>
      <c r="AK50" s="507"/>
      <c r="AL50" s="507"/>
      <c r="AM50" s="507"/>
      <c r="AN50" s="507"/>
      <c r="AO50" s="507"/>
    </row>
    <row r="51" spans="1:41">
      <c r="A51" s="2" t="s">
        <v>862</v>
      </c>
      <c r="B51" s="2" t="s">
        <v>29</v>
      </c>
      <c r="C51" s="2" t="s">
        <v>17</v>
      </c>
      <c r="D51" s="2" t="s">
        <v>30</v>
      </c>
      <c r="E51" s="2" t="s">
        <v>19</v>
      </c>
      <c r="F51" s="2" t="s">
        <v>20</v>
      </c>
      <c r="G51" s="2" t="s">
        <v>21</v>
      </c>
      <c r="H51">
        <v>1</v>
      </c>
      <c r="I51" s="2" t="s">
        <v>526</v>
      </c>
      <c r="J51" s="3">
        <v>1</v>
      </c>
      <c r="K51" s="3">
        <v>5.2488000000000001</v>
      </c>
      <c r="L51" s="507">
        <v>5282.8749643260562</v>
      </c>
      <c r="M51" s="507">
        <v>0</v>
      </c>
      <c r="N51" s="507">
        <v>5282.8749643260562</v>
      </c>
      <c r="O51" s="507">
        <v>4.7792946948098223</v>
      </c>
      <c r="P51">
        <v>1</v>
      </c>
      <c r="Q51" s="2" t="s">
        <v>526</v>
      </c>
      <c r="R51" s="3">
        <v>1</v>
      </c>
      <c r="S51" s="3">
        <v>5.2488000000000001</v>
      </c>
      <c r="T51" s="507">
        <v>5282.8749643260562</v>
      </c>
      <c r="U51" s="507">
        <v>0</v>
      </c>
      <c r="V51" s="507">
        <v>5282.8749643260562</v>
      </c>
      <c r="W51" s="507">
        <v>3.4502678062519494</v>
      </c>
      <c r="X51" s="507">
        <v>5287.6542590208664</v>
      </c>
      <c r="Y51" s="507">
        <v>5286.325232132308</v>
      </c>
      <c r="Z51" s="507">
        <v>27753.839674748724</v>
      </c>
      <c r="AA51" s="507">
        <v>27746.863878416058</v>
      </c>
      <c r="AB51" s="507">
        <v>27746.863878416058</v>
      </c>
      <c r="AC51" s="507">
        <v>6.98</v>
      </c>
      <c r="AD51" s="507">
        <v>6.98</v>
      </c>
      <c r="AE51" s="507">
        <v>0</v>
      </c>
      <c r="AF51" s="507">
        <v>6.98</v>
      </c>
      <c r="AG51" s="507"/>
      <c r="AH51" s="507">
        <v>0</v>
      </c>
      <c r="AI51" s="507">
        <v>0</v>
      </c>
      <c r="AJ51" s="507">
        <v>0</v>
      </c>
      <c r="AK51" s="507">
        <v>0</v>
      </c>
      <c r="AL51" s="507">
        <v>0</v>
      </c>
      <c r="AM51" s="507">
        <v>0</v>
      </c>
      <c r="AN51" s="507"/>
      <c r="AO51" s="507"/>
    </row>
    <row r="52" spans="1:41">
      <c r="A52" s="2" t="s">
        <v>863</v>
      </c>
      <c r="B52" s="2" t="s">
        <v>864</v>
      </c>
      <c r="C52" s="2" t="s">
        <v>17</v>
      </c>
      <c r="D52" s="2" t="s">
        <v>25</v>
      </c>
      <c r="E52" s="2" t="s">
        <v>19</v>
      </c>
      <c r="F52" s="2" t="s">
        <v>20</v>
      </c>
      <c r="G52" s="2" t="s">
        <v>21</v>
      </c>
      <c r="H52">
        <v>1</v>
      </c>
      <c r="I52" s="2" t="s">
        <v>526</v>
      </c>
      <c r="J52" s="3">
        <v>1</v>
      </c>
      <c r="K52" s="3">
        <v>5.2488000000000001</v>
      </c>
      <c r="L52" s="507">
        <v>1298963.2312032757</v>
      </c>
      <c r="M52" s="507">
        <v>0</v>
      </c>
      <c r="N52" s="507">
        <v>1298963.2312032757</v>
      </c>
      <c r="O52" s="507">
        <v>1786.0744429045042</v>
      </c>
      <c r="P52">
        <v>1</v>
      </c>
      <c r="Q52" s="2" t="s">
        <v>526</v>
      </c>
      <c r="R52" s="3">
        <v>1</v>
      </c>
      <c r="S52" s="3">
        <v>5.2488000000000001</v>
      </c>
      <c r="T52" s="507">
        <v>1298963.2312032757</v>
      </c>
      <c r="U52" s="507">
        <v>0</v>
      </c>
      <c r="V52" s="507">
        <v>1298963.2312032757</v>
      </c>
      <c r="W52" s="507">
        <v>11365.928273028665</v>
      </c>
      <c r="X52" s="507">
        <v>1300749.3056461802</v>
      </c>
      <c r="Y52" s="507">
        <v>1310329.1594763044</v>
      </c>
      <c r="Z52" s="507">
        <v>6827372.9554756703</v>
      </c>
      <c r="AA52" s="507">
        <v>6877655.6922592269</v>
      </c>
      <c r="AB52" s="507">
        <v>6877655.6922592269</v>
      </c>
      <c r="AC52" s="507">
        <v>-50282.74</v>
      </c>
      <c r="AD52" s="507">
        <v>-50282.74</v>
      </c>
      <c r="AE52" s="507">
        <v>0</v>
      </c>
      <c r="AF52" s="507"/>
      <c r="AG52" s="507">
        <v>-50282.74</v>
      </c>
      <c r="AH52" s="507">
        <v>0</v>
      </c>
      <c r="AI52" s="507">
        <v>0</v>
      </c>
      <c r="AJ52" s="507">
        <v>0</v>
      </c>
      <c r="AK52" s="507">
        <v>0</v>
      </c>
      <c r="AL52" s="507">
        <v>0</v>
      </c>
      <c r="AM52" s="507">
        <v>0</v>
      </c>
      <c r="AN52" s="507"/>
      <c r="AO52" s="507"/>
    </row>
    <row r="53" spans="1:41">
      <c r="A53" s="2" t="s">
        <v>865</v>
      </c>
      <c r="B53" s="2" t="s">
        <v>29</v>
      </c>
      <c r="C53" s="2" t="s">
        <v>17</v>
      </c>
      <c r="D53" s="2" t="s">
        <v>30</v>
      </c>
      <c r="E53" s="2" t="s">
        <v>19</v>
      </c>
      <c r="F53" s="2" t="s">
        <v>20</v>
      </c>
      <c r="G53" s="2" t="s">
        <v>21</v>
      </c>
      <c r="H53">
        <v>1</v>
      </c>
      <c r="I53" s="2" t="s">
        <v>526</v>
      </c>
      <c r="J53" s="3">
        <v>1</v>
      </c>
      <c r="K53" s="3">
        <v>5.2488000000000001</v>
      </c>
      <c r="L53" s="507">
        <v>24106.771295265848</v>
      </c>
      <c r="M53" s="507">
        <v>0</v>
      </c>
      <c r="N53" s="507">
        <v>24106.771295265848</v>
      </c>
      <c r="O53" s="507">
        <v>21.80816076783502</v>
      </c>
      <c r="P53">
        <v>1</v>
      </c>
      <c r="Q53" s="2" t="s">
        <v>526</v>
      </c>
      <c r="R53" s="3">
        <v>1</v>
      </c>
      <c r="S53" s="3">
        <v>5.2488000000000001</v>
      </c>
      <c r="T53" s="507">
        <v>24106.771295265848</v>
      </c>
      <c r="U53" s="507">
        <v>0</v>
      </c>
      <c r="V53" s="507">
        <v>24106.771295265848</v>
      </c>
      <c r="W53" s="507">
        <v>15.744665825305631</v>
      </c>
      <c r="X53" s="507">
        <v>24128.579456033684</v>
      </c>
      <c r="Y53" s="507">
        <v>24122.515961091154</v>
      </c>
      <c r="Z53" s="507">
        <v>126646.0878488296</v>
      </c>
      <c r="AA53" s="507">
        <v>126614.26177657525</v>
      </c>
      <c r="AB53" s="507">
        <v>126614.26177657525</v>
      </c>
      <c r="AC53" s="507">
        <v>31.83</v>
      </c>
      <c r="AD53" s="507">
        <v>31.83</v>
      </c>
      <c r="AE53" s="507">
        <v>0</v>
      </c>
      <c r="AF53" s="507">
        <v>31.83</v>
      </c>
      <c r="AG53" s="507"/>
      <c r="AH53" s="507">
        <v>0</v>
      </c>
      <c r="AI53" s="507">
        <v>0</v>
      </c>
      <c r="AJ53" s="507">
        <v>0</v>
      </c>
      <c r="AK53" s="507">
        <v>0</v>
      </c>
      <c r="AL53" s="507">
        <v>0</v>
      </c>
      <c r="AM53" s="507">
        <v>0</v>
      </c>
      <c r="AN53" s="507"/>
      <c r="AO53" s="507"/>
    </row>
    <row r="54" spans="1:41">
      <c r="A54" s="2" t="s">
        <v>866</v>
      </c>
      <c r="B54" s="2" t="s">
        <v>864</v>
      </c>
      <c r="C54" s="2" t="s">
        <v>17</v>
      </c>
      <c r="D54" s="2" t="s">
        <v>25</v>
      </c>
      <c r="E54" s="2" t="s">
        <v>19</v>
      </c>
      <c r="F54" s="2" t="s">
        <v>20</v>
      </c>
      <c r="G54" s="2" t="s">
        <v>21</v>
      </c>
      <c r="H54">
        <v>1</v>
      </c>
      <c r="I54" s="2" t="s">
        <v>526</v>
      </c>
      <c r="J54" s="3">
        <v>1</v>
      </c>
      <c r="K54" s="3">
        <v>5.2488000000000001</v>
      </c>
      <c r="L54" s="507">
        <v>865975.48746885045</v>
      </c>
      <c r="M54" s="507">
        <v>0</v>
      </c>
      <c r="N54" s="507">
        <v>865975.48746885045</v>
      </c>
      <c r="O54" s="507">
        <v>1190.7162952696694</v>
      </c>
      <c r="P54">
        <v>1</v>
      </c>
      <c r="Q54" s="2" t="s">
        <v>526</v>
      </c>
      <c r="R54" s="3">
        <v>1</v>
      </c>
      <c r="S54" s="3">
        <v>5.2488000000000001</v>
      </c>
      <c r="T54" s="507">
        <v>865975.48746885045</v>
      </c>
      <c r="U54" s="507">
        <v>0</v>
      </c>
      <c r="V54" s="507">
        <v>865975.48746885045</v>
      </c>
      <c r="W54" s="507">
        <v>6494.816156016378</v>
      </c>
      <c r="X54" s="507">
        <v>867166.20376412012</v>
      </c>
      <c r="Y54" s="507">
        <v>872470.30362486688</v>
      </c>
      <c r="Z54" s="507">
        <v>4551581.9703171141</v>
      </c>
      <c r="AA54" s="507">
        <v>4579422.1296662018</v>
      </c>
      <c r="AB54" s="507">
        <v>4579422.1296662018</v>
      </c>
      <c r="AC54" s="507">
        <v>-27840.16</v>
      </c>
      <c r="AD54" s="507">
        <v>-27840.16</v>
      </c>
      <c r="AE54" s="507">
        <v>0</v>
      </c>
      <c r="AF54" s="507"/>
      <c r="AG54" s="507">
        <v>-27840.16</v>
      </c>
      <c r="AH54" s="507">
        <v>0</v>
      </c>
      <c r="AI54" s="507">
        <v>0</v>
      </c>
      <c r="AJ54" s="507">
        <v>0</v>
      </c>
      <c r="AK54" s="507">
        <v>0</v>
      </c>
      <c r="AL54" s="507">
        <v>0</v>
      </c>
      <c r="AM54" s="507">
        <v>0</v>
      </c>
      <c r="AN54" s="507"/>
      <c r="AO54" s="507"/>
    </row>
    <row r="55" spans="1:41">
      <c r="A55" s="2" t="s">
        <v>867</v>
      </c>
      <c r="B55" s="2" t="s">
        <v>29</v>
      </c>
      <c r="C55" s="2" t="s">
        <v>17</v>
      </c>
      <c r="D55" s="2" t="s">
        <v>30</v>
      </c>
      <c r="E55" s="2" t="s">
        <v>19</v>
      </c>
      <c r="F55" s="2" t="s">
        <v>20</v>
      </c>
      <c r="G55" s="2" t="s">
        <v>21</v>
      </c>
      <c r="H55">
        <v>1</v>
      </c>
      <c r="I55" s="2" t="s">
        <v>526</v>
      </c>
      <c r="J55" s="3">
        <v>1</v>
      </c>
      <c r="K55" s="3">
        <v>5.2488000000000001</v>
      </c>
      <c r="L55" s="507">
        <v>27339.270173494675</v>
      </c>
      <c r="M55" s="507">
        <v>0</v>
      </c>
      <c r="N55" s="507">
        <v>27339.270173494675</v>
      </c>
      <c r="O55" s="507">
        <v>26.579984355838462</v>
      </c>
      <c r="P55">
        <v>1</v>
      </c>
      <c r="Q55" s="2" t="s">
        <v>526</v>
      </c>
      <c r="R55" s="3">
        <v>1</v>
      </c>
      <c r="S55" s="3">
        <v>5.2488000000000001</v>
      </c>
      <c r="T55" s="507">
        <v>27339.270173494675</v>
      </c>
      <c r="U55" s="507">
        <v>0</v>
      </c>
      <c r="V55" s="507">
        <v>27339.270173494675</v>
      </c>
      <c r="W55" s="507">
        <v>18.985742640978831</v>
      </c>
      <c r="X55" s="507">
        <v>27365.850157850513</v>
      </c>
      <c r="Y55" s="507">
        <v>27358.255916135655</v>
      </c>
      <c r="Z55" s="507">
        <v>143637.87430852579</v>
      </c>
      <c r="AA55" s="507">
        <v>143598.01365261283</v>
      </c>
      <c r="AB55" s="507">
        <v>143598.01365261283</v>
      </c>
      <c r="AC55" s="507">
        <v>39.86</v>
      </c>
      <c r="AD55" s="507">
        <v>39.86</v>
      </c>
      <c r="AE55" s="507">
        <v>0</v>
      </c>
      <c r="AF55" s="507">
        <v>39.86</v>
      </c>
      <c r="AG55" s="507"/>
      <c r="AH55" s="507">
        <v>0</v>
      </c>
      <c r="AI55" s="507">
        <v>0</v>
      </c>
      <c r="AJ55" s="507">
        <v>0</v>
      </c>
      <c r="AK55" s="507">
        <v>0</v>
      </c>
      <c r="AL55" s="507">
        <v>0</v>
      </c>
      <c r="AM55" s="507">
        <v>0</v>
      </c>
      <c r="AN55" s="507"/>
      <c r="AO55" s="507"/>
    </row>
    <row r="56" spans="1:41">
      <c r="A56" s="2"/>
      <c r="B56" s="2"/>
      <c r="C56" s="2"/>
      <c r="D56" s="2"/>
      <c r="E56" s="2"/>
      <c r="F56" s="2"/>
      <c r="G56" s="2"/>
      <c r="I56" s="2"/>
      <c r="J56" s="3"/>
      <c r="K56" s="3"/>
      <c r="L56" s="507"/>
      <c r="M56" s="507"/>
      <c r="N56" s="507"/>
      <c r="O56" s="507"/>
      <c r="P56">
        <v>1</v>
      </c>
      <c r="Q56" s="2" t="s">
        <v>526</v>
      </c>
      <c r="R56" s="3">
        <v>1</v>
      </c>
      <c r="S56" s="3">
        <v>5.2488000000000001</v>
      </c>
      <c r="T56" s="507">
        <v>21649.387186721266</v>
      </c>
      <c r="U56" s="507">
        <v>0</v>
      </c>
      <c r="V56" s="507">
        <v>21649.387186721266</v>
      </c>
      <c r="W56" s="507">
        <v>341.57926816690707</v>
      </c>
      <c r="X56" s="507"/>
      <c r="Y56" s="507">
        <v>21990.966454888174</v>
      </c>
      <c r="Z56" s="507"/>
      <c r="AA56" s="507">
        <v>115426.18472841705</v>
      </c>
      <c r="AB56" s="507"/>
      <c r="AC56" s="507"/>
      <c r="AD56" s="507"/>
      <c r="AE56" s="507"/>
      <c r="AF56" s="507"/>
      <c r="AG56" s="507"/>
      <c r="AH56" s="507"/>
      <c r="AI56" s="507">
        <v>0</v>
      </c>
      <c r="AJ56" s="507"/>
      <c r="AK56" s="507"/>
      <c r="AL56" s="507"/>
      <c r="AM56" s="507"/>
      <c r="AN56" s="507"/>
      <c r="AO56" s="507"/>
    </row>
    <row r="57" spans="1:41">
      <c r="A57" s="2"/>
      <c r="B57" s="2"/>
      <c r="C57" s="2"/>
      <c r="D57" s="2"/>
      <c r="E57" s="2"/>
      <c r="F57" s="2"/>
      <c r="G57" s="2"/>
      <c r="I57" s="2"/>
      <c r="J57" s="3"/>
      <c r="K57" s="3"/>
      <c r="L57" s="507"/>
      <c r="M57" s="507"/>
      <c r="N57" s="507"/>
      <c r="O57" s="507"/>
      <c r="P57">
        <v>1</v>
      </c>
      <c r="Q57" s="2" t="s">
        <v>526</v>
      </c>
      <c r="R57" s="3">
        <v>1</v>
      </c>
      <c r="S57" s="3">
        <v>5.2488000000000001</v>
      </c>
      <c r="T57" s="507">
        <v>30309.142061409766</v>
      </c>
      <c r="U57" s="507">
        <v>0</v>
      </c>
      <c r="V57" s="507">
        <v>30309.142061409766</v>
      </c>
      <c r="W57" s="507">
        <v>437.79867055505849</v>
      </c>
      <c r="X57" s="507"/>
      <c r="Y57" s="507">
        <v>30746.940731964823</v>
      </c>
      <c r="Z57" s="507"/>
      <c r="AA57" s="507">
        <v>161384.54251393696</v>
      </c>
      <c r="AB57" s="507"/>
      <c r="AC57" s="507"/>
      <c r="AD57" s="507"/>
      <c r="AE57" s="507"/>
      <c r="AF57" s="507"/>
      <c r="AG57" s="507"/>
      <c r="AH57" s="507"/>
      <c r="AI57" s="507">
        <v>0</v>
      </c>
      <c r="AJ57" s="507"/>
      <c r="AK57" s="507"/>
      <c r="AL57" s="507"/>
      <c r="AM57" s="507"/>
      <c r="AN57" s="507"/>
      <c r="AO57" s="507"/>
    </row>
    <row r="58" spans="1:41">
      <c r="A58" s="2"/>
      <c r="B58" s="2"/>
      <c r="C58" s="2"/>
      <c r="D58" s="2"/>
      <c r="E58" s="2"/>
      <c r="F58" s="2"/>
      <c r="G58" s="2"/>
      <c r="I58" s="2"/>
      <c r="J58" s="3"/>
      <c r="K58" s="3"/>
      <c r="L58" s="507"/>
      <c r="M58" s="507"/>
      <c r="N58" s="507"/>
      <c r="O58" s="507"/>
      <c r="P58">
        <v>1</v>
      </c>
      <c r="Q58" s="2" t="s">
        <v>526</v>
      </c>
      <c r="R58" s="3">
        <v>1</v>
      </c>
      <c r="S58" s="3">
        <v>5.2488000000000001</v>
      </c>
      <c r="T58" s="507">
        <v>17319.509749377012</v>
      </c>
      <c r="U58" s="507">
        <v>0</v>
      </c>
      <c r="V58" s="507">
        <v>17319.509749377012</v>
      </c>
      <c r="W58" s="507">
        <v>230.92665232911222</v>
      </c>
      <c r="X58" s="507"/>
      <c r="Y58" s="507">
        <v>17550.436401706123</v>
      </c>
      <c r="Z58" s="507"/>
      <c r="AA58" s="507">
        <v>92118.730585275101</v>
      </c>
      <c r="AB58" s="507"/>
      <c r="AC58" s="507"/>
      <c r="AD58" s="507"/>
      <c r="AE58" s="507"/>
      <c r="AF58" s="507"/>
      <c r="AG58" s="507"/>
      <c r="AH58" s="507"/>
      <c r="AI58" s="507">
        <v>0</v>
      </c>
      <c r="AJ58" s="507"/>
      <c r="AK58" s="507"/>
      <c r="AL58" s="507"/>
      <c r="AM58" s="507"/>
      <c r="AN58" s="507"/>
      <c r="AO58" s="507"/>
    </row>
    <row r="59" spans="1:41">
      <c r="A59" s="2"/>
      <c r="B59" s="2"/>
      <c r="C59" s="2"/>
      <c r="D59" s="2"/>
      <c r="E59" s="2"/>
      <c r="F59" s="2"/>
      <c r="G59" s="2"/>
      <c r="I59" s="2"/>
      <c r="J59" s="3"/>
      <c r="K59" s="3"/>
      <c r="L59" s="507"/>
      <c r="M59" s="507"/>
      <c r="N59" s="507"/>
      <c r="O59" s="507"/>
      <c r="P59">
        <v>1</v>
      </c>
      <c r="Q59" s="2" t="s">
        <v>526</v>
      </c>
      <c r="R59" s="3">
        <v>1</v>
      </c>
      <c r="S59" s="3">
        <v>5.2488000000000001</v>
      </c>
      <c r="T59" s="507">
        <v>1258.5026914900125</v>
      </c>
      <c r="U59" s="507">
        <v>0</v>
      </c>
      <c r="V59" s="507">
        <v>1258.5026914900125</v>
      </c>
      <c r="W59" s="507">
        <v>526.30829317827477</v>
      </c>
      <c r="X59" s="507"/>
      <c r="Y59" s="507">
        <v>1784.8109846682873</v>
      </c>
      <c r="Z59" s="507"/>
      <c r="AA59" s="507">
        <v>9368.1158963269063</v>
      </c>
      <c r="AB59" s="507"/>
      <c r="AC59" s="507"/>
      <c r="AD59" s="507"/>
      <c r="AE59" s="507"/>
      <c r="AF59" s="507"/>
      <c r="AG59" s="507"/>
      <c r="AH59" s="507"/>
      <c r="AI59" s="507">
        <v>0</v>
      </c>
      <c r="AJ59" s="507"/>
      <c r="AK59" s="507"/>
      <c r="AL59" s="507"/>
      <c r="AM59" s="507"/>
      <c r="AN59" s="507"/>
      <c r="AO59" s="507"/>
    </row>
    <row r="60" spans="1:41">
      <c r="A60" s="2"/>
      <c r="B60" s="2"/>
      <c r="C60" s="2"/>
      <c r="D60" s="2"/>
      <c r="E60" s="2"/>
      <c r="F60" s="2"/>
      <c r="G60" s="2"/>
      <c r="I60" s="2"/>
      <c r="J60" s="3"/>
      <c r="K60" s="3"/>
      <c r="L60" s="507"/>
      <c r="M60" s="507"/>
      <c r="N60" s="507"/>
      <c r="O60" s="507"/>
      <c r="P60">
        <v>1</v>
      </c>
      <c r="Q60" s="2" t="s">
        <v>526</v>
      </c>
      <c r="R60" s="3">
        <v>1</v>
      </c>
      <c r="S60" s="3">
        <v>5.2488000000000001</v>
      </c>
      <c r="T60" s="507">
        <v>25739.197167478425</v>
      </c>
      <c r="U60" s="507">
        <v>0</v>
      </c>
      <c r="V60" s="507">
        <v>25739.197167478425</v>
      </c>
      <c r="W60" s="507">
        <v>218.47002792961655</v>
      </c>
      <c r="X60" s="507"/>
      <c r="Y60" s="507">
        <v>25957.667195408041</v>
      </c>
      <c r="Z60" s="507"/>
      <c r="AA60" s="507">
        <v>136246.60357525773</v>
      </c>
      <c r="AB60" s="507"/>
      <c r="AC60" s="507"/>
      <c r="AD60" s="507"/>
      <c r="AE60" s="507"/>
      <c r="AF60" s="507"/>
      <c r="AG60" s="507"/>
      <c r="AH60" s="507"/>
      <c r="AI60" s="507">
        <v>0</v>
      </c>
      <c r="AJ60" s="507"/>
      <c r="AK60" s="507"/>
      <c r="AL60" s="507"/>
      <c r="AM60" s="507"/>
      <c r="AN60" s="507"/>
      <c r="AO60" s="507"/>
    </row>
    <row r="61" spans="1:41">
      <c r="A61" s="2"/>
      <c r="B61" s="2"/>
      <c r="C61" s="2"/>
      <c r="D61" s="2"/>
      <c r="E61" s="2"/>
      <c r="F61" s="2"/>
      <c r="G61" s="2"/>
      <c r="I61" s="2"/>
      <c r="J61" s="3"/>
      <c r="K61" s="3"/>
      <c r="L61" s="507"/>
      <c r="M61" s="507"/>
      <c r="N61" s="507"/>
      <c r="O61" s="507"/>
      <c r="P61">
        <v>1</v>
      </c>
      <c r="Q61" s="2" t="s">
        <v>526</v>
      </c>
      <c r="R61" s="3">
        <v>1</v>
      </c>
      <c r="S61" s="3">
        <v>5.2488000000000001</v>
      </c>
      <c r="T61" s="507">
        <v>182240.72949523595</v>
      </c>
      <c r="U61" s="507">
        <v>0</v>
      </c>
      <c r="V61" s="507">
        <v>182240.72949523595</v>
      </c>
      <c r="W61" s="507">
        <v>850.45666055444747</v>
      </c>
      <c r="X61" s="507"/>
      <c r="Y61" s="507">
        <v>183091.1861557904</v>
      </c>
      <c r="Z61" s="507"/>
      <c r="AA61" s="507">
        <v>961009.01789451274</v>
      </c>
      <c r="AB61" s="507"/>
      <c r="AC61" s="507"/>
      <c r="AD61" s="507"/>
      <c r="AE61" s="507"/>
      <c r="AF61" s="507"/>
      <c r="AG61" s="507"/>
      <c r="AH61" s="507"/>
      <c r="AI61" s="507">
        <v>0</v>
      </c>
      <c r="AJ61" s="507"/>
      <c r="AK61" s="507"/>
      <c r="AL61" s="507"/>
      <c r="AM61" s="507"/>
      <c r="AN61" s="507"/>
      <c r="AO61" s="507"/>
    </row>
    <row r="62" spans="1:41">
      <c r="A62" s="2"/>
      <c r="B62" s="2"/>
      <c r="C62" s="2"/>
      <c r="D62" s="2"/>
      <c r="E62" s="2"/>
      <c r="F62" s="2"/>
      <c r="G62" s="2"/>
      <c r="I62" s="2"/>
      <c r="J62" s="3"/>
      <c r="K62" s="3"/>
      <c r="L62" s="507"/>
      <c r="M62" s="507"/>
      <c r="N62" s="507"/>
      <c r="O62" s="507"/>
      <c r="P62">
        <v>1</v>
      </c>
      <c r="Q62" s="2" t="s">
        <v>526</v>
      </c>
      <c r="R62" s="3">
        <v>1</v>
      </c>
      <c r="S62" s="3">
        <v>5.2488000000000001</v>
      </c>
      <c r="T62" s="507">
        <v>156940.99067560968</v>
      </c>
      <c r="U62" s="507">
        <v>0</v>
      </c>
      <c r="V62" s="507">
        <v>156940.99067560968</v>
      </c>
      <c r="W62" s="507">
        <v>558.01230496247217</v>
      </c>
      <c r="X62" s="507"/>
      <c r="Y62" s="507">
        <v>157499.00298057214</v>
      </c>
      <c r="Z62" s="507"/>
      <c r="AA62" s="507">
        <v>826680.7668444271</v>
      </c>
      <c r="AB62" s="507"/>
      <c r="AC62" s="507"/>
      <c r="AD62" s="507"/>
      <c r="AE62" s="507"/>
      <c r="AF62" s="507"/>
      <c r="AG62" s="507"/>
      <c r="AH62" s="507"/>
      <c r="AI62" s="507">
        <v>0</v>
      </c>
      <c r="AJ62" s="507"/>
      <c r="AK62" s="507"/>
      <c r="AL62" s="507"/>
      <c r="AM62" s="507"/>
      <c r="AN62" s="507"/>
      <c r="AO62" s="507"/>
    </row>
    <row r="63" spans="1:41">
      <c r="A63" s="2"/>
      <c r="B63" s="2"/>
      <c r="C63" s="2"/>
      <c r="D63" s="2"/>
      <c r="E63" s="2"/>
      <c r="F63" s="2"/>
      <c r="G63" s="2"/>
      <c r="I63" s="2"/>
      <c r="J63" s="3"/>
      <c r="K63" s="3"/>
      <c r="L63" s="507"/>
      <c r="M63" s="507"/>
      <c r="N63" s="507"/>
      <c r="O63" s="507"/>
      <c r="P63">
        <v>1</v>
      </c>
      <c r="Q63" s="2" t="s">
        <v>526</v>
      </c>
      <c r="R63" s="3">
        <v>1</v>
      </c>
      <c r="S63" s="3">
        <v>5.2488000000000001</v>
      </c>
      <c r="T63" s="507">
        <v>86164.561003150622</v>
      </c>
      <c r="U63" s="507">
        <v>0</v>
      </c>
      <c r="V63" s="507">
        <v>86164.561003150622</v>
      </c>
      <c r="W63" s="507">
        <v>306.36307600575503</v>
      </c>
      <c r="X63" s="507"/>
      <c r="Y63" s="507">
        <v>86470.924079156379</v>
      </c>
      <c r="Z63" s="507"/>
      <c r="AA63" s="507">
        <v>453868.58630667604</v>
      </c>
      <c r="AB63" s="507"/>
      <c r="AC63" s="507"/>
      <c r="AD63" s="507"/>
      <c r="AE63" s="507"/>
      <c r="AF63" s="507"/>
      <c r="AG63" s="507"/>
      <c r="AH63" s="507"/>
      <c r="AI63" s="507">
        <v>0</v>
      </c>
      <c r="AJ63" s="507"/>
      <c r="AK63" s="507"/>
      <c r="AL63" s="507"/>
      <c r="AM63" s="507"/>
      <c r="AN63" s="507"/>
      <c r="AO63" s="507"/>
    </row>
    <row r="64" spans="1:41">
      <c r="A64" s="2"/>
      <c r="B64" s="2"/>
      <c r="C64" s="2"/>
      <c r="D64" s="2"/>
      <c r="E64" s="2"/>
      <c r="F64" s="2"/>
      <c r="G64" s="2"/>
      <c r="I64" s="2"/>
      <c r="J64" s="3"/>
      <c r="K64" s="3"/>
      <c r="L64" s="507"/>
      <c r="M64" s="507"/>
      <c r="N64" s="507"/>
      <c r="O64" s="507"/>
      <c r="P64">
        <v>1</v>
      </c>
      <c r="Q64" s="2" t="s">
        <v>526</v>
      </c>
      <c r="R64" s="3">
        <v>1</v>
      </c>
      <c r="S64" s="3">
        <v>5.2488000000000001</v>
      </c>
      <c r="T64" s="507">
        <v>6061.8284122819541</v>
      </c>
      <c r="U64" s="507">
        <v>0</v>
      </c>
      <c r="V64" s="507">
        <v>6061.8284122819541</v>
      </c>
      <c r="W64" s="507">
        <v>21.553263907612219</v>
      </c>
      <c r="X64" s="507"/>
      <c r="Y64" s="507">
        <v>6083.381676189566</v>
      </c>
      <c r="Z64" s="507"/>
      <c r="AA64" s="507">
        <v>31930.453741983794</v>
      </c>
      <c r="AB64" s="507"/>
      <c r="AC64" s="507"/>
      <c r="AD64" s="507"/>
      <c r="AE64" s="507"/>
      <c r="AF64" s="507"/>
      <c r="AG64" s="507"/>
      <c r="AH64" s="507"/>
      <c r="AI64" s="507">
        <v>0</v>
      </c>
      <c r="AJ64" s="507"/>
      <c r="AK64" s="507"/>
      <c r="AL64" s="507"/>
      <c r="AM64" s="507"/>
      <c r="AN64" s="507"/>
      <c r="AO64" s="507"/>
    </row>
    <row r="65" spans="1:41">
      <c r="A65" s="2"/>
      <c r="B65" s="2"/>
      <c r="C65" s="2"/>
      <c r="D65" s="2"/>
      <c r="E65" s="2"/>
      <c r="F65" s="2"/>
      <c r="G65" s="2"/>
      <c r="I65" s="2"/>
      <c r="J65" s="3"/>
      <c r="K65" s="3"/>
      <c r="L65" s="507"/>
      <c r="M65" s="507"/>
      <c r="N65" s="507"/>
      <c r="O65" s="507"/>
      <c r="P65">
        <v>1</v>
      </c>
      <c r="Q65" s="2" t="s">
        <v>526</v>
      </c>
      <c r="R65" s="3">
        <v>1</v>
      </c>
      <c r="S65" s="3">
        <v>5.2488000000000001</v>
      </c>
      <c r="T65" s="507">
        <v>21346.295766107163</v>
      </c>
      <c r="U65" s="507">
        <v>0</v>
      </c>
      <c r="V65" s="507">
        <v>21346.295766107163</v>
      </c>
      <c r="W65" s="507">
        <v>75.897988611463688</v>
      </c>
      <c r="X65" s="507"/>
      <c r="Y65" s="507">
        <v>21422.193754718628</v>
      </c>
      <c r="Z65" s="507"/>
      <c r="AA65" s="507">
        <v>112440.81057976713</v>
      </c>
      <c r="AB65" s="507"/>
      <c r="AC65" s="507"/>
      <c r="AD65" s="507"/>
      <c r="AE65" s="507"/>
      <c r="AF65" s="507"/>
      <c r="AG65" s="507"/>
      <c r="AH65" s="507"/>
      <c r="AI65" s="507">
        <v>0</v>
      </c>
      <c r="AJ65" s="507"/>
      <c r="AK65" s="507"/>
      <c r="AL65" s="507"/>
      <c r="AM65" s="507"/>
      <c r="AN65" s="507"/>
      <c r="AO65" s="507"/>
    </row>
    <row r="66" spans="1:41">
      <c r="A66" s="2"/>
      <c r="B66" s="2"/>
      <c r="C66" s="2"/>
      <c r="D66" s="2"/>
      <c r="E66" s="2"/>
      <c r="F66" s="2"/>
      <c r="G66" s="2"/>
      <c r="I66" s="2"/>
      <c r="J66" s="3"/>
      <c r="K66" s="3"/>
      <c r="L66" s="507"/>
      <c r="M66" s="507"/>
      <c r="N66" s="507"/>
      <c r="O66" s="507"/>
      <c r="P66">
        <v>1</v>
      </c>
      <c r="Q66" s="2" t="s">
        <v>526</v>
      </c>
      <c r="R66" s="3">
        <v>1</v>
      </c>
      <c r="S66" s="3">
        <v>5.2488000000000001</v>
      </c>
      <c r="T66" s="507">
        <v>188449.38227770192</v>
      </c>
      <c r="U66" s="507">
        <v>0</v>
      </c>
      <c r="V66" s="507">
        <v>188449.38227770192</v>
      </c>
      <c r="W66" s="507">
        <v>670.04233185377666</v>
      </c>
      <c r="X66" s="507"/>
      <c r="Y66" s="507">
        <v>189119.42460955569</v>
      </c>
      <c r="Z66" s="507"/>
      <c r="AA66" s="507">
        <v>992650.03589063592</v>
      </c>
      <c r="AB66" s="507"/>
      <c r="AC66" s="507"/>
      <c r="AD66" s="507"/>
      <c r="AE66" s="507"/>
      <c r="AF66" s="507"/>
      <c r="AG66" s="507"/>
      <c r="AH66" s="507"/>
      <c r="AI66" s="507">
        <v>0</v>
      </c>
      <c r="AJ66" s="507"/>
      <c r="AK66" s="507"/>
      <c r="AL66" s="507"/>
      <c r="AM66" s="507"/>
      <c r="AN66" s="507"/>
      <c r="AO66" s="507"/>
    </row>
    <row r="67" spans="1:41">
      <c r="A67" s="2"/>
      <c r="B67" s="2"/>
      <c r="C67" s="2"/>
      <c r="D67" s="2"/>
      <c r="E67" s="2"/>
      <c r="F67" s="2"/>
      <c r="G67" s="2"/>
      <c r="I67" s="2"/>
      <c r="J67" s="3"/>
      <c r="K67" s="3"/>
      <c r="L67" s="507"/>
      <c r="M67" s="507"/>
      <c r="N67" s="507"/>
      <c r="O67" s="507"/>
      <c r="P67">
        <v>1</v>
      </c>
      <c r="Q67" s="2" t="s">
        <v>526</v>
      </c>
      <c r="R67" s="3">
        <v>1</v>
      </c>
      <c r="S67" s="3">
        <v>5.2488000000000001</v>
      </c>
      <c r="T67" s="507">
        <v>160392.46989238771</v>
      </c>
      <c r="U67" s="507">
        <v>0</v>
      </c>
      <c r="V67" s="507">
        <v>160392.46989238771</v>
      </c>
      <c r="W67" s="507">
        <v>534.64167323627225</v>
      </c>
      <c r="X67" s="507"/>
      <c r="Y67" s="507">
        <v>160927.11156562399</v>
      </c>
      <c r="Z67" s="507"/>
      <c r="AA67" s="507">
        <v>844674.22318564716</v>
      </c>
      <c r="AB67" s="507"/>
      <c r="AC67" s="507"/>
      <c r="AD67" s="507"/>
      <c r="AE67" s="507"/>
      <c r="AF67" s="507"/>
      <c r="AG67" s="507"/>
      <c r="AH67" s="507"/>
      <c r="AI67" s="507">
        <v>0</v>
      </c>
      <c r="AJ67" s="507"/>
      <c r="AK67" s="507"/>
      <c r="AL67" s="507"/>
      <c r="AM67" s="507"/>
      <c r="AN67" s="507"/>
      <c r="AO67" s="507"/>
    </row>
    <row r="68" spans="1:41">
      <c r="A68" s="2"/>
      <c r="B68" s="2"/>
      <c r="C68" s="2"/>
      <c r="D68" s="2"/>
      <c r="E68" s="2"/>
      <c r="F68" s="2"/>
      <c r="G68" s="2"/>
      <c r="I68" s="2"/>
      <c r="J68" s="3"/>
      <c r="K68" s="3"/>
      <c r="L68" s="507"/>
      <c r="M68" s="507"/>
      <c r="N68" s="507"/>
      <c r="O68" s="507"/>
      <c r="P68">
        <v>1</v>
      </c>
      <c r="Q68" s="2" t="s">
        <v>526</v>
      </c>
      <c r="R68" s="3">
        <v>1</v>
      </c>
      <c r="S68" s="3">
        <v>5.2488000000000001</v>
      </c>
      <c r="T68" s="507">
        <v>21728.734355699315</v>
      </c>
      <c r="U68" s="507">
        <v>0</v>
      </c>
      <c r="V68" s="507">
        <v>21728.734355699315</v>
      </c>
      <c r="W68" s="507">
        <v>191.55594276682842</v>
      </c>
      <c r="X68" s="507"/>
      <c r="Y68" s="507">
        <v>21920.290298466141</v>
      </c>
      <c r="Z68" s="507"/>
      <c r="AA68" s="507">
        <v>115055.21971858908</v>
      </c>
      <c r="AB68" s="507"/>
      <c r="AC68" s="507"/>
      <c r="AD68" s="507"/>
      <c r="AE68" s="507"/>
      <c r="AF68" s="507"/>
      <c r="AG68" s="507"/>
      <c r="AH68" s="507"/>
      <c r="AI68" s="507">
        <v>0</v>
      </c>
      <c r="AJ68" s="507"/>
      <c r="AK68" s="507"/>
      <c r="AL68" s="507"/>
      <c r="AM68" s="507"/>
      <c r="AN68" s="507"/>
      <c r="AO68" s="507"/>
    </row>
    <row r="69" spans="1:41">
      <c r="A69" s="2"/>
      <c r="B69" s="2"/>
      <c r="C69" s="2"/>
      <c r="D69" s="2"/>
      <c r="E69" s="2"/>
      <c r="F69" s="2"/>
      <c r="G69" s="2"/>
      <c r="I69" s="2"/>
      <c r="J69" s="3"/>
      <c r="K69" s="3"/>
      <c r="L69" s="507"/>
      <c r="M69" s="507"/>
      <c r="N69" s="507"/>
      <c r="O69" s="507"/>
      <c r="P69">
        <v>1</v>
      </c>
      <c r="Q69" s="2" t="s">
        <v>526</v>
      </c>
      <c r="R69" s="3">
        <v>1</v>
      </c>
      <c r="S69" s="3">
        <v>5.2488000000000001</v>
      </c>
      <c r="T69" s="507">
        <v>70636.260662050656</v>
      </c>
      <c r="U69" s="507">
        <v>0</v>
      </c>
      <c r="V69" s="507">
        <v>70636.260662050656</v>
      </c>
      <c r="W69" s="507">
        <v>172.66662149045325</v>
      </c>
      <c r="X69" s="507"/>
      <c r="Y69" s="507">
        <v>70808.92728354111</v>
      </c>
      <c r="Z69" s="507"/>
      <c r="AA69" s="507">
        <v>371661.89752585057</v>
      </c>
      <c r="AB69" s="507"/>
      <c r="AC69" s="507"/>
      <c r="AD69" s="507"/>
      <c r="AE69" s="507"/>
      <c r="AF69" s="507"/>
      <c r="AG69" s="507"/>
      <c r="AH69" s="507"/>
      <c r="AI69" s="507">
        <v>0</v>
      </c>
      <c r="AJ69" s="507"/>
      <c r="AK69" s="507"/>
      <c r="AL69" s="507"/>
      <c r="AM69" s="507"/>
      <c r="AN69" s="507"/>
      <c r="AO69" s="507"/>
    </row>
    <row r="70" spans="1:41">
      <c r="A70" s="2"/>
      <c r="B70" s="2"/>
      <c r="C70" s="2"/>
      <c r="D70" s="2"/>
      <c r="E70" s="2"/>
      <c r="F70" s="2"/>
      <c r="G70" s="2"/>
      <c r="I70" s="2"/>
      <c r="J70" s="3"/>
      <c r="K70" s="3"/>
      <c r="L70" s="507"/>
      <c r="M70" s="507"/>
      <c r="N70" s="507"/>
      <c r="O70" s="507"/>
      <c r="P70">
        <v>1</v>
      </c>
      <c r="Q70" s="2" t="s">
        <v>526</v>
      </c>
      <c r="R70" s="3">
        <v>1</v>
      </c>
      <c r="S70" s="3">
        <v>5.2488000000000001</v>
      </c>
      <c r="T70" s="507">
        <v>122672.78989968845</v>
      </c>
      <c r="U70" s="507">
        <v>0</v>
      </c>
      <c r="V70" s="507">
        <v>122672.78989968845</v>
      </c>
      <c r="W70" s="507">
        <v>299.86695176748151</v>
      </c>
      <c r="X70" s="507"/>
      <c r="Y70" s="507">
        <v>122972.65685145593</v>
      </c>
      <c r="Z70" s="507"/>
      <c r="AA70" s="507">
        <v>645458.88128192187</v>
      </c>
      <c r="AB70" s="507"/>
      <c r="AC70" s="507"/>
      <c r="AD70" s="507"/>
      <c r="AE70" s="507"/>
      <c r="AF70" s="507"/>
      <c r="AG70" s="507"/>
      <c r="AH70" s="507"/>
      <c r="AI70" s="507">
        <v>0</v>
      </c>
      <c r="AJ70" s="507"/>
      <c r="AK70" s="507"/>
      <c r="AL70" s="507"/>
      <c r="AM70" s="507"/>
      <c r="AN70" s="507"/>
      <c r="AO70" s="507"/>
    </row>
    <row r="71" spans="1:41">
      <c r="A71" s="2"/>
      <c r="B71" s="2"/>
      <c r="C71" s="2"/>
      <c r="D71" s="2"/>
      <c r="E71" s="2"/>
      <c r="F71" s="2"/>
      <c r="G71" s="2"/>
      <c r="I71" s="2"/>
      <c r="J71" s="3"/>
      <c r="K71" s="3"/>
      <c r="L71" s="507"/>
      <c r="M71" s="507"/>
      <c r="N71" s="507"/>
      <c r="O71" s="507"/>
      <c r="P71">
        <v>1</v>
      </c>
      <c r="Q71" s="2" t="s">
        <v>526</v>
      </c>
      <c r="R71" s="3">
        <v>1</v>
      </c>
      <c r="S71" s="3">
        <v>5.2488000000000001</v>
      </c>
      <c r="T71" s="507">
        <v>343292.93204156146</v>
      </c>
      <c r="U71" s="507">
        <v>0</v>
      </c>
      <c r="V71" s="507">
        <v>343292.93204156146</v>
      </c>
      <c r="W71" s="507">
        <v>839.16057683335714</v>
      </c>
      <c r="X71" s="507"/>
      <c r="Y71" s="507">
        <v>344132.09261839482</v>
      </c>
      <c r="Z71" s="507"/>
      <c r="AA71" s="507">
        <v>1806280.5277354307</v>
      </c>
      <c r="AB71" s="507"/>
      <c r="AC71" s="507"/>
      <c r="AD71" s="507"/>
      <c r="AE71" s="507"/>
      <c r="AF71" s="507"/>
      <c r="AG71" s="507"/>
      <c r="AH71" s="507"/>
      <c r="AI71" s="507">
        <v>0</v>
      </c>
      <c r="AJ71" s="507"/>
      <c r="AK71" s="507"/>
      <c r="AL71" s="507"/>
      <c r="AM71" s="507"/>
      <c r="AN71" s="507"/>
      <c r="AO71" s="507"/>
    </row>
    <row r="72" spans="1:41">
      <c r="A72" s="2"/>
      <c r="B72" s="2"/>
      <c r="C72" s="2"/>
      <c r="D72" s="2"/>
      <c r="E72" s="2"/>
      <c r="F72" s="2"/>
      <c r="G72" s="2"/>
      <c r="I72" s="2"/>
      <c r="J72" s="3"/>
      <c r="K72" s="3"/>
      <c r="L72" s="507"/>
      <c r="M72" s="507"/>
      <c r="N72" s="507"/>
      <c r="O72" s="507"/>
      <c r="P72">
        <v>1</v>
      </c>
      <c r="Q72" s="2" t="s">
        <v>526</v>
      </c>
      <c r="R72" s="3">
        <v>1</v>
      </c>
      <c r="S72" s="3">
        <v>5.2488000000000001</v>
      </c>
      <c r="T72" s="507">
        <v>43255.475599069083</v>
      </c>
      <c r="U72" s="507">
        <v>0</v>
      </c>
      <c r="V72" s="507">
        <v>43255.475599069083</v>
      </c>
      <c r="W72" s="507">
        <v>105.73560701994664</v>
      </c>
      <c r="X72" s="507"/>
      <c r="Y72" s="507">
        <v>43361.211206089029</v>
      </c>
      <c r="Z72" s="507"/>
      <c r="AA72" s="507">
        <v>227594.32537852009</v>
      </c>
      <c r="AB72" s="507"/>
      <c r="AC72" s="507"/>
      <c r="AD72" s="507"/>
      <c r="AE72" s="507"/>
      <c r="AF72" s="507"/>
      <c r="AG72" s="507"/>
      <c r="AH72" s="507"/>
      <c r="AI72" s="507">
        <v>0</v>
      </c>
      <c r="AJ72" s="507"/>
      <c r="AK72" s="507"/>
      <c r="AL72" s="507"/>
      <c r="AM72" s="507"/>
      <c r="AN72" s="507"/>
      <c r="AO72" s="507"/>
    </row>
    <row r="73" spans="1:41">
      <c r="A73" s="2"/>
      <c r="B73" s="2"/>
      <c r="C73" s="2"/>
      <c r="D73" s="2"/>
      <c r="E73" s="2"/>
      <c r="F73" s="2"/>
      <c r="G73" s="2"/>
      <c r="I73" s="2"/>
      <c r="J73" s="3"/>
      <c r="K73" s="3"/>
      <c r="L73" s="507"/>
      <c r="M73" s="507"/>
      <c r="N73" s="507"/>
      <c r="O73" s="507"/>
      <c r="P73">
        <v>1</v>
      </c>
      <c r="Q73" s="2" t="s">
        <v>526</v>
      </c>
      <c r="R73" s="3">
        <v>1</v>
      </c>
      <c r="S73" s="3">
        <v>5.2488000000000001</v>
      </c>
      <c r="T73" s="507">
        <v>243376.55037780799</v>
      </c>
      <c r="U73" s="507">
        <v>0</v>
      </c>
      <c r="V73" s="507">
        <v>243376.55037780799</v>
      </c>
      <c r="W73" s="507">
        <v>749.03880682194006</v>
      </c>
      <c r="X73" s="507"/>
      <c r="Y73" s="507">
        <v>244125.58918462993</v>
      </c>
      <c r="Z73" s="507"/>
      <c r="AA73" s="507">
        <v>1281366.3925122856</v>
      </c>
      <c r="AB73" s="507"/>
      <c r="AC73" s="507"/>
      <c r="AD73" s="507"/>
      <c r="AE73" s="507"/>
      <c r="AF73" s="507"/>
      <c r="AG73" s="507"/>
      <c r="AH73" s="507"/>
      <c r="AI73" s="507">
        <v>0</v>
      </c>
      <c r="AJ73" s="507"/>
      <c r="AK73" s="507"/>
      <c r="AL73" s="507"/>
      <c r="AM73" s="507"/>
      <c r="AN73" s="507"/>
      <c r="AO73" s="507"/>
    </row>
    <row r="74" spans="1:41">
      <c r="A74" s="2"/>
      <c r="B74" s="2"/>
      <c r="C74" s="2"/>
      <c r="D74" s="2"/>
      <c r="E74" s="2"/>
      <c r="F74" s="2"/>
      <c r="G74" s="2"/>
      <c r="I74" s="2"/>
      <c r="J74" s="3"/>
      <c r="K74" s="3"/>
      <c r="L74" s="507"/>
      <c r="M74" s="507"/>
      <c r="N74" s="507"/>
      <c r="O74" s="507"/>
      <c r="P74">
        <v>1</v>
      </c>
      <c r="Q74" s="2" t="s">
        <v>526</v>
      </c>
      <c r="R74" s="3">
        <v>1</v>
      </c>
      <c r="S74" s="3">
        <v>5.2488000000000001</v>
      </c>
      <c r="T74" s="507">
        <v>9592.507030959312</v>
      </c>
      <c r="U74" s="507">
        <v>0</v>
      </c>
      <c r="V74" s="507">
        <v>9592.507030959312</v>
      </c>
      <c r="W74" s="507">
        <v>81.260108829870802</v>
      </c>
      <c r="X74" s="507"/>
      <c r="Y74" s="507">
        <v>9673.7671397891827</v>
      </c>
      <c r="Z74" s="507"/>
      <c r="AA74" s="507">
        <v>50775.668963325465</v>
      </c>
      <c r="AB74" s="507"/>
      <c r="AC74" s="507"/>
      <c r="AD74" s="507"/>
      <c r="AE74" s="507"/>
      <c r="AF74" s="507"/>
      <c r="AG74" s="507"/>
      <c r="AH74" s="507"/>
      <c r="AI74" s="507">
        <v>0</v>
      </c>
      <c r="AJ74" s="507"/>
      <c r="AK74" s="507"/>
      <c r="AL74" s="507"/>
      <c r="AM74" s="507"/>
      <c r="AN74" s="507"/>
      <c r="AO74" s="507"/>
    </row>
    <row r="75" spans="1:41">
      <c r="A75" s="2"/>
      <c r="B75" s="2"/>
      <c r="C75" s="2"/>
      <c r="D75" s="2"/>
      <c r="E75" s="2"/>
      <c r="F75" s="2"/>
      <c r="G75" s="2"/>
      <c r="I75" s="2"/>
      <c r="J75" s="3"/>
      <c r="K75" s="3"/>
      <c r="L75" s="507"/>
      <c r="M75" s="507"/>
      <c r="N75" s="507"/>
      <c r="O75" s="507"/>
      <c r="P75">
        <v>1</v>
      </c>
      <c r="Q75" s="2" t="s">
        <v>526</v>
      </c>
      <c r="R75" s="3">
        <v>1</v>
      </c>
      <c r="S75" s="3">
        <v>5.2488000000000001</v>
      </c>
      <c r="T75" s="507">
        <v>29914.364828655267</v>
      </c>
      <c r="U75" s="507">
        <v>0</v>
      </c>
      <c r="V75" s="507">
        <v>29914.364828655267</v>
      </c>
      <c r="W75" s="507">
        <v>66.476399724716629</v>
      </c>
      <c r="X75" s="507"/>
      <c r="Y75" s="507">
        <v>29980.841228379984</v>
      </c>
      <c r="Z75" s="507"/>
      <c r="AA75" s="507">
        <v>157363.43943952088</v>
      </c>
      <c r="AB75" s="507"/>
      <c r="AC75" s="507"/>
      <c r="AD75" s="507"/>
      <c r="AE75" s="507"/>
      <c r="AF75" s="507"/>
      <c r="AG75" s="507"/>
      <c r="AH75" s="507"/>
      <c r="AI75" s="507">
        <v>0</v>
      </c>
      <c r="AJ75" s="507"/>
      <c r="AK75" s="507"/>
      <c r="AL75" s="507"/>
      <c r="AM75" s="507"/>
      <c r="AN75" s="507"/>
      <c r="AO75" s="507"/>
    </row>
    <row r="76" spans="1:41">
      <c r="A76" s="2"/>
      <c r="B76" s="2"/>
      <c r="C76" s="2"/>
      <c r="D76" s="2"/>
      <c r="E76" s="2"/>
      <c r="F76" s="2"/>
      <c r="G76" s="2"/>
      <c r="I76" s="2"/>
      <c r="J76" s="3"/>
      <c r="K76" s="3"/>
      <c r="L76" s="507"/>
      <c r="M76" s="507"/>
      <c r="N76" s="507"/>
      <c r="O76" s="507"/>
      <c r="P76">
        <v>1</v>
      </c>
      <c r="Q76" s="2" t="s">
        <v>526</v>
      </c>
      <c r="R76" s="3">
        <v>1</v>
      </c>
      <c r="S76" s="3">
        <v>5.2488000000000001</v>
      </c>
      <c r="T76" s="507">
        <v>7793.7793872196553</v>
      </c>
      <c r="U76" s="507">
        <v>0</v>
      </c>
      <c r="V76" s="507">
        <v>7793.7793872196553</v>
      </c>
      <c r="W76" s="507">
        <v>6.9278038997508045</v>
      </c>
      <c r="X76" s="507"/>
      <c r="Y76" s="507">
        <v>7800.7071911194062</v>
      </c>
      <c r="Z76" s="507"/>
      <c r="AA76" s="507">
        <v>40944.351904747542</v>
      </c>
      <c r="AB76" s="507"/>
      <c r="AC76" s="507"/>
      <c r="AD76" s="507"/>
      <c r="AE76" s="507"/>
      <c r="AF76" s="507"/>
      <c r="AG76" s="507"/>
      <c r="AH76" s="507"/>
      <c r="AI76" s="507">
        <v>0</v>
      </c>
      <c r="AJ76" s="507"/>
      <c r="AK76" s="507"/>
      <c r="AL76" s="507"/>
      <c r="AM76" s="507"/>
      <c r="AN76" s="507"/>
      <c r="AO76" s="507"/>
    </row>
    <row r="77" spans="1:41">
      <c r="A77" s="2"/>
      <c r="B77" s="2"/>
      <c r="C77" s="2"/>
      <c r="D77" s="2"/>
      <c r="E77" s="2"/>
      <c r="F77" s="2"/>
      <c r="G77" s="2"/>
      <c r="I77" s="2"/>
      <c r="J77" s="3"/>
      <c r="K77" s="3"/>
      <c r="L77" s="507"/>
      <c r="M77" s="507"/>
      <c r="N77" s="507"/>
      <c r="O77" s="507"/>
      <c r="P77">
        <v>1</v>
      </c>
      <c r="Q77" s="2" t="s">
        <v>526</v>
      </c>
      <c r="R77" s="3">
        <v>1</v>
      </c>
      <c r="S77" s="3">
        <v>5.2488000000000001</v>
      </c>
      <c r="T77" s="507">
        <v>129896.32312032756</v>
      </c>
      <c r="U77" s="507">
        <v>0</v>
      </c>
      <c r="V77" s="507">
        <v>129896.32312032756</v>
      </c>
      <c r="W77" s="507">
        <v>115.46354265842798</v>
      </c>
      <c r="X77" s="507"/>
      <c r="Y77" s="507">
        <v>130011.78666298599</v>
      </c>
      <c r="Z77" s="507"/>
      <c r="AA77" s="507">
        <v>682405.86583668087</v>
      </c>
      <c r="AB77" s="507"/>
      <c r="AC77" s="507"/>
      <c r="AD77" s="507"/>
      <c r="AE77" s="507"/>
      <c r="AF77" s="507"/>
      <c r="AG77" s="507"/>
      <c r="AH77" s="507"/>
      <c r="AI77" s="507">
        <v>0</v>
      </c>
      <c r="AJ77" s="507"/>
      <c r="AK77" s="507"/>
      <c r="AL77" s="507"/>
      <c r="AM77" s="507"/>
      <c r="AN77" s="507"/>
      <c r="AO77" s="507"/>
    </row>
    <row r="78" spans="1:41">
      <c r="A78" s="2"/>
      <c r="B78" s="2"/>
      <c r="C78" s="2"/>
      <c r="D78" s="2"/>
      <c r="E78" s="2"/>
      <c r="F78" s="2"/>
      <c r="G78" s="2"/>
      <c r="I78" s="2"/>
      <c r="J78" s="3"/>
      <c r="K78" s="3"/>
      <c r="L78" s="507"/>
      <c r="M78" s="507"/>
      <c r="N78" s="507"/>
      <c r="O78" s="507"/>
      <c r="P78">
        <v>1</v>
      </c>
      <c r="Q78" s="2" t="s">
        <v>526</v>
      </c>
      <c r="R78" s="3">
        <v>1</v>
      </c>
      <c r="S78" s="3">
        <v>5.2488000000000001</v>
      </c>
      <c r="T78" s="507">
        <v>216493.87186721261</v>
      </c>
      <c r="U78" s="507">
        <v>0</v>
      </c>
      <c r="V78" s="507">
        <v>216493.87186721261</v>
      </c>
      <c r="W78" s="507">
        <v>192.43880477630287</v>
      </c>
      <c r="X78" s="507"/>
      <c r="Y78" s="507">
        <v>216686.3106719889</v>
      </c>
      <c r="Z78" s="507"/>
      <c r="AA78" s="507">
        <v>1137343.1074551353</v>
      </c>
      <c r="AB78" s="507"/>
      <c r="AC78" s="507"/>
      <c r="AD78" s="507"/>
      <c r="AE78" s="507"/>
      <c r="AF78" s="507"/>
      <c r="AG78" s="507"/>
      <c r="AH78" s="507"/>
      <c r="AI78" s="507">
        <v>0</v>
      </c>
      <c r="AJ78" s="507"/>
      <c r="AK78" s="507"/>
      <c r="AL78" s="507"/>
      <c r="AM78" s="507"/>
      <c r="AN78" s="507"/>
      <c r="AO78" s="507"/>
    </row>
    <row r="79" spans="1:41">
      <c r="A79" s="2"/>
      <c r="B79" s="2"/>
      <c r="C79" s="2"/>
      <c r="D79" s="2"/>
      <c r="E79" s="2"/>
      <c r="F79" s="2"/>
      <c r="G79" s="2"/>
      <c r="I79" s="2"/>
      <c r="J79" s="3"/>
      <c r="K79" s="3"/>
      <c r="L79" s="507"/>
      <c r="M79" s="507"/>
      <c r="N79" s="507"/>
      <c r="O79" s="507"/>
      <c r="P79">
        <v>1</v>
      </c>
      <c r="Q79" s="2" t="s">
        <v>526</v>
      </c>
      <c r="R79" s="3">
        <v>1</v>
      </c>
      <c r="S79" s="3">
        <v>5.2488000000000001</v>
      </c>
      <c r="T79" s="507">
        <v>138556.07799501609</v>
      </c>
      <c r="U79" s="507">
        <v>0</v>
      </c>
      <c r="V79" s="507">
        <v>138556.07799501609</v>
      </c>
      <c r="W79" s="507">
        <v>123.16076577879487</v>
      </c>
      <c r="X79" s="507"/>
      <c r="Y79" s="507">
        <v>138679.23876079489</v>
      </c>
      <c r="Z79" s="507"/>
      <c r="AA79" s="507">
        <v>727899.58840766025</v>
      </c>
      <c r="AB79" s="507"/>
      <c r="AC79" s="507"/>
      <c r="AD79" s="507"/>
      <c r="AE79" s="507"/>
      <c r="AF79" s="507"/>
      <c r="AG79" s="507"/>
      <c r="AH79" s="507"/>
      <c r="AI79" s="507">
        <v>0</v>
      </c>
      <c r="AJ79" s="507"/>
      <c r="AK79" s="507"/>
      <c r="AL79" s="507"/>
      <c r="AM79" s="507"/>
      <c r="AN79" s="507"/>
      <c r="AO79" s="507"/>
    </row>
    <row r="80" spans="1:41">
      <c r="A80" s="2"/>
      <c r="B80" s="2"/>
      <c r="C80" s="2"/>
      <c r="D80" s="2"/>
      <c r="E80" s="2"/>
      <c r="F80" s="2"/>
      <c r="G80" s="2"/>
      <c r="I80" s="2"/>
      <c r="J80" s="3"/>
      <c r="K80" s="3"/>
      <c r="L80" s="507"/>
      <c r="M80" s="507"/>
      <c r="N80" s="507"/>
      <c r="O80" s="507"/>
      <c r="P80">
        <v>1</v>
      </c>
      <c r="Q80" s="2" t="s">
        <v>526</v>
      </c>
      <c r="R80" s="3">
        <v>1</v>
      </c>
      <c r="S80" s="3">
        <v>5.2488000000000001</v>
      </c>
      <c r="T80" s="507">
        <v>346390.19498754025</v>
      </c>
      <c r="U80" s="507">
        <v>0</v>
      </c>
      <c r="V80" s="507">
        <v>346390.19498754025</v>
      </c>
      <c r="W80" s="507">
        <v>307.90234743473087</v>
      </c>
      <c r="X80" s="507"/>
      <c r="Y80" s="507">
        <v>346698.09733497497</v>
      </c>
      <c r="Z80" s="507"/>
      <c r="AA80" s="507">
        <v>1819748.9732918167</v>
      </c>
      <c r="AB80" s="507"/>
      <c r="AC80" s="507"/>
      <c r="AD80" s="507"/>
      <c r="AE80" s="507"/>
      <c r="AF80" s="507"/>
      <c r="AG80" s="507"/>
      <c r="AH80" s="507"/>
      <c r="AI80" s="507">
        <v>0</v>
      </c>
      <c r="AJ80" s="507"/>
      <c r="AK80" s="507"/>
      <c r="AL80" s="507"/>
      <c r="AM80" s="507"/>
      <c r="AN80" s="507"/>
      <c r="AO80" s="507"/>
    </row>
    <row r="81" spans="1:41">
      <c r="A81" s="2" t="s">
        <v>58</v>
      </c>
      <c r="B81" s="2" t="s">
        <v>29</v>
      </c>
      <c r="C81" s="2" t="s">
        <v>17</v>
      </c>
      <c r="D81" s="2" t="s">
        <v>30</v>
      </c>
      <c r="E81" s="2" t="s">
        <v>19</v>
      </c>
      <c r="F81" s="2" t="s">
        <v>20</v>
      </c>
      <c r="G81" s="2" t="s">
        <v>57</v>
      </c>
      <c r="H81">
        <v>1</v>
      </c>
      <c r="I81" s="2" t="s">
        <v>526</v>
      </c>
      <c r="J81" s="3">
        <v>0.15684552284455039</v>
      </c>
      <c r="K81" s="3">
        <v>5.2488000000000001</v>
      </c>
      <c r="L81" s="507">
        <v>18318.488960747905</v>
      </c>
      <c r="M81" s="507">
        <v>0</v>
      </c>
      <c r="N81" s="507">
        <v>18318.488960747905</v>
      </c>
      <c r="O81" s="507">
        <v>7.2251856410838302</v>
      </c>
      <c r="P81">
        <v>1</v>
      </c>
      <c r="Q81" s="2" t="s">
        <v>526</v>
      </c>
      <c r="R81" s="3">
        <v>0.15702038124548567</v>
      </c>
      <c r="S81" s="3">
        <v>5.2488000000000001</v>
      </c>
      <c r="T81" s="507">
        <v>18318.488960747905</v>
      </c>
      <c r="U81" s="507">
        <v>0</v>
      </c>
      <c r="V81" s="507">
        <v>18318.488960747905</v>
      </c>
      <c r="W81" s="507">
        <v>5.161602132374278</v>
      </c>
      <c r="X81" s="507">
        <v>18325.714146388989</v>
      </c>
      <c r="Y81" s="507">
        <v>18323.650562880281</v>
      </c>
      <c r="Z81" s="507">
        <v>96188.008411566523</v>
      </c>
      <c r="AA81" s="507">
        <v>96177.177074446023</v>
      </c>
      <c r="AB81" s="507">
        <v>96284.399691226587</v>
      </c>
      <c r="AC81" s="507">
        <v>10.83</v>
      </c>
      <c r="AD81" s="507">
        <v>-96.39</v>
      </c>
      <c r="AE81" s="507">
        <v>107.22</v>
      </c>
      <c r="AF81" s="507"/>
      <c r="AG81" s="507">
        <v>-96.39</v>
      </c>
      <c r="AH81" s="507">
        <v>0</v>
      </c>
      <c r="AI81" s="507">
        <v>0</v>
      </c>
      <c r="AJ81" s="507">
        <v>0</v>
      </c>
      <c r="AK81" s="507">
        <v>0</v>
      </c>
      <c r="AL81" s="507">
        <v>0</v>
      </c>
      <c r="AM81" s="507">
        <v>0</v>
      </c>
      <c r="AN81" s="507"/>
      <c r="AO81" s="507"/>
    </row>
    <row r="82" spans="1:41">
      <c r="A82" s="2"/>
      <c r="B82" s="2"/>
      <c r="C82" s="2"/>
      <c r="D82" s="2"/>
      <c r="E82" s="2"/>
      <c r="F82" s="2"/>
      <c r="G82" s="2"/>
      <c r="I82" s="2"/>
      <c r="J82" s="3"/>
      <c r="K82" s="3"/>
      <c r="L82" s="507"/>
      <c r="M82" s="507"/>
      <c r="N82" s="507"/>
      <c r="O82" s="507"/>
      <c r="P82">
        <v>1</v>
      </c>
      <c r="Q82" s="2" t="s">
        <v>526</v>
      </c>
      <c r="R82" s="3">
        <v>1</v>
      </c>
      <c r="S82" s="3">
        <v>5.2488000000000001</v>
      </c>
      <c r="T82" s="507">
        <v>60618.284122819532</v>
      </c>
      <c r="U82" s="507">
        <v>0</v>
      </c>
      <c r="V82" s="507">
        <v>60618.284122819532</v>
      </c>
      <c r="W82" s="507">
        <v>40.412045085965119</v>
      </c>
      <c r="X82" s="507"/>
      <c r="Y82" s="507">
        <v>60658.696167905495</v>
      </c>
      <c r="Z82" s="507"/>
      <c r="AA82" s="507">
        <v>318385.36444610235</v>
      </c>
      <c r="AB82" s="507"/>
      <c r="AC82" s="507"/>
      <c r="AD82" s="507"/>
      <c r="AE82" s="507"/>
      <c r="AF82" s="507"/>
      <c r="AG82" s="507"/>
      <c r="AH82" s="507"/>
      <c r="AI82" s="507">
        <v>0</v>
      </c>
      <c r="AJ82" s="507"/>
      <c r="AK82" s="507"/>
      <c r="AL82" s="507"/>
      <c r="AM82" s="507"/>
      <c r="AN82" s="507"/>
      <c r="AO82" s="507"/>
    </row>
    <row r="83" spans="1:41">
      <c r="A83" s="2" t="s">
        <v>905</v>
      </c>
      <c r="B83" s="2" t="s">
        <v>29</v>
      </c>
      <c r="C83" s="2" t="s">
        <v>17</v>
      </c>
      <c r="D83" s="2" t="s">
        <v>30</v>
      </c>
      <c r="E83" s="2" t="s">
        <v>19</v>
      </c>
      <c r="F83" s="2" t="s">
        <v>20</v>
      </c>
      <c r="G83" s="2" t="s">
        <v>57</v>
      </c>
      <c r="H83">
        <v>1</v>
      </c>
      <c r="I83" s="2" t="s">
        <v>526</v>
      </c>
      <c r="J83" s="3">
        <v>0.15684552284455039</v>
      </c>
      <c r="K83" s="3">
        <v>5.2488000000000001</v>
      </c>
      <c r="L83" s="507">
        <v>19016.336159252587</v>
      </c>
      <c r="M83" s="507">
        <v>0</v>
      </c>
      <c r="N83" s="507">
        <v>19016.336159252587</v>
      </c>
      <c r="O83" s="507">
        <v>7.4965706627245385</v>
      </c>
      <c r="P83">
        <v>1</v>
      </c>
      <c r="Q83" s="2" t="s">
        <v>526</v>
      </c>
      <c r="R83" s="3">
        <v>0.15702038124548567</v>
      </c>
      <c r="S83" s="3">
        <v>5.2488000000000001</v>
      </c>
      <c r="T83" s="507">
        <v>19016.336159252587</v>
      </c>
      <c r="U83" s="507">
        <v>0</v>
      </c>
      <c r="V83" s="507">
        <v>19016.336159252587</v>
      </c>
      <c r="W83" s="507">
        <v>5.3536863360030917</v>
      </c>
      <c r="X83" s="507">
        <v>19023.832729915313</v>
      </c>
      <c r="Y83" s="507">
        <v>19021.689845588589</v>
      </c>
      <c r="Z83" s="507">
        <v>99852.293232779499</v>
      </c>
      <c r="AA83" s="507">
        <v>99841.045661525393</v>
      </c>
      <c r="AB83" s="507">
        <v>99952.352922806822</v>
      </c>
      <c r="AC83" s="507">
        <v>11.25</v>
      </c>
      <c r="AD83" s="507">
        <v>-100.06</v>
      </c>
      <c r="AE83" s="507">
        <v>111.31</v>
      </c>
      <c r="AF83" s="507"/>
      <c r="AG83" s="507">
        <v>-100.06</v>
      </c>
      <c r="AH83" s="507">
        <v>0</v>
      </c>
      <c r="AI83" s="507">
        <v>0</v>
      </c>
      <c r="AJ83" s="507">
        <v>0</v>
      </c>
      <c r="AK83" s="507">
        <v>0</v>
      </c>
      <c r="AL83" s="507">
        <v>0</v>
      </c>
      <c r="AM83" s="507">
        <v>0</v>
      </c>
      <c r="AN83" s="507"/>
      <c r="AO83" s="507"/>
    </row>
    <row r="84" spans="1:41">
      <c r="A84" s="2"/>
      <c r="B84" s="2"/>
      <c r="C84" s="2"/>
      <c r="D84" s="2"/>
      <c r="E84" s="2"/>
      <c r="F84" s="2"/>
      <c r="G84" s="2"/>
      <c r="I84" s="2"/>
      <c r="J84" s="3"/>
      <c r="K84" s="3"/>
      <c r="L84" s="507"/>
      <c r="M84" s="507"/>
      <c r="N84" s="507"/>
      <c r="O84" s="507"/>
      <c r="P84">
        <v>1</v>
      </c>
      <c r="Q84" s="2" t="s">
        <v>526</v>
      </c>
      <c r="R84" s="3">
        <v>1</v>
      </c>
      <c r="S84" s="3">
        <v>5.2488000000000001</v>
      </c>
      <c r="T84" s="507">
        <v>2609.3954107155296</v>
      </c>
      <c r="U84" s="507">
        <v>0</v>
      </c>
      <c r="V84" s="507">
        <v>2609.3954107155296</v>
      </c>
      <c r="W84" s="507">
        <v>0.57980163592035927</v>
      </c>
      <c r="X84" s="507"/>
      <c r="Y84" s="507">
        <v>2609.97521235145</v>
      </c>
      <c r="Z84" s="507"/>
      <c r="AA84" s="507">
        <v>13699.237894590291</v>
      </c>
      <c r="AB84" s="507"/>
      <c r="AC84" s="507"/>
      <c r="AD84" s="507"/>
      <c r="AE84" s="507"/>
      <c r="AF84" s="507"/>
      <c r="AG84" s="507"/>
      <c r="AH84" s="507"/>
      <c r="AI84" s="507">
        <v>0</v>
      </c>
      <c r="AJ84" s="507"/>
      <c r="AK84" s="507"/>
      <c r="AL84" s="507"/>
      <c r="AM84" s="507"/>
      <c r="AN84" s="507"/>
      <c r="AO84" s="507"/>
    </row>
    <row r="85" spans="1:41">
      <c r="A85" s="2" t="s">
        <v>906</v>
      </c>
      <c r="B85" s="2" t="s">
        <v>29</v>
      </c>
      <c r="C85" s="2" t="s">
        <v>17</v>
      </c>
      <c r="D85" s="2" t="s">
        <v>30</v>
      </c>
      <c r="E85" s="2" t="s">
        <v>19</v>
      </c>
      <c r="F85" s="2" t="s">
        <v>20</v>
      </c>
      <c r="G85" s="2" t="s">
        <v>57</v>
      </c>
      <c r="H85">
        <v>1</v>
      </c>
      <c r="I85" s="2" t="s">
        <v>526</v>
      </c>
      <c r="J85" s="3">
        <v>0.15684552284455039</v>
      </c>
      <c r="K85" s="3">
        <v>5.2488000000000001</v>
      </c>
      <c r="L85" s="507">
        <v>19016.336159252587</v>
      </c>
      <c r="M85" s="507">
        <v>0</v>
      </c>
      <c r="N85" s="507">
        <v>19016.336159252587</v>
      </c>
      <c r="O85" s="507">
        <v>7.4542768931181964</v>
      </c>
      <c r="P85">
        <v>1</v>
      </c>
      <c r="Q85" s="2" t="s">
        <v>526</v>
      </c>
      <c r="R85" s="3">
        <v>0.15702038124548567</v>
      </c>
      <c r="S85" s="3">
        <v>5.2488000000000001</v>
      </c>
      <c r="T85" s="507">
        <v>19016.336159252587</v>
      </c>
      <c r="U85" s="507">
        <v>0</v>
      </c>
      <c r="V85" s="507">
        <v>19016.336159252587</v>
      </c>
      <c r="W85" s="507">
        <v>5.3237282491985978</v>
      </c>
      <c r="X85" s="507">
        <v>19023.790436145704</v>
      </c>
      <c r="Y85" s="507">
        <v>19021.659887501784</v>
      </c>
      <c r="Z85" s="507">
        <v>99852.071241241574</v>
      </c>
      <c r="AA85" s="507">
        <v>99840.888417519367</v>
      </c>
      <c r="AB85" s="507">
        <v>99952.195503498151</v>
      </c>
      <c r="AC85" s="507">
        <v>11.18</v>
      </c>
      <c r="AD85" s="507">
        <v>-100.12</v>
      </c>
      <c r="AE85" s="507">
        <v>111.3</v>
      </c>
      <c r="AF85" s="507"/>
      <c r="AG85" s="507">
        <v>-100.12</v>
      </c>
      <c r="AH85" s="507">
        <v>0</v>
      </c>
      <c r="AI85" s="507">
        <v>0</v>
      </c>
      <c r="AJ85" s="507">
        <v>0</v>
      </c>
      <c r="AK85" s="507">
        <v>0</v>
      </c>
      <c r="AL85" s="507">
        <v>0</v>
      </c>
      <c r="AM85" s="507">
        <v>0</v>
      </c>
      <c r="AN85" s="507"/>
      <c r="AO85" s="507"/>
    </row>
    <row r="86" spans="1:41">
      <c r="A86" s="2"/>
      <c r="B86" s="2"/>
      <c r="C86" s="2"/>
      <c r="D86" s="2"/>
      <c r="E86" s="2"/>
      <c r="F86" s="2"/>
      <c r="G86" s="2"/>
      <c r="I86" s="2"/>
      <c r="J86" s="3"/>
      <c r="K86" s="3"/>
      <c r="L86" s="507"/>
      <c r="M86" s="507"/>
      <c r="N86" s="507"/>
      <c r="O86" s="507"/>
      <c r="P86">
        <v>1</v>
      </c>
      <c r="Q86" s="2" t="s">
        <v>526</v>
      </c>
      <c r="R86" s="3">
        <v>0.15702038124548567</v>
      </c>
      <c r="S86" s="3">
        <v>5.2488000000000001</v>
      </c>
      <c r="T86" s="507">
        <v>141990.97460730828</v>
      </c>
      <c r="U86" s="507">
        <v>0</v>
      </c>
      <c r="V86" s="507">
        <v>141990.97460730828</v>
      </c>
      <c r="W86" s="507">
        <v>42.402524272543658</v>
      </c>
      <c r="X86" s="507"/>
      <c r="Y86" s="507">
        <v>142033.37713158081</v>
      </c>
      <c r="Z86" s="507"/>
      <c r="AA86" s="507">
        <v>745504.78988824133</v>
      </c>
      <c r="AB86" s="507"/>
      <c r="AC86" s="507"/>
      <c r="AD86" s="507"/>
      <c r="AE86" s="507"/>
      <c r="AF86" s="507"/>
      <c r="AG86" s="507"/>
      <c r="AH86" s="507"/>
      <c r="AI86" s="507">
        <v>0</v>
      </c>
      <c r="AJ86" s="507"/>
      <c r="AK86" s="507"/>
      <c r="AL86" s="507"/>
      <c r="AM86" s="507"/>
      <c r="AN86" s="507"/>
      <c r="AO86" s="507"/>
    </row>
    <row r="87" spans="1:41">
      <c r="A87" s="2" t="s">
        <v>907</v>
      </c>
      <c r="B87" s="2" t="s">
        <v>29</v>
      </c>
      <c r="C87" s="2" t="s">
        <v>17</v>
      </c>
      <c r="D87" s="2" t="s">
        <v>30</v>
      </c>
      <c r="E87" s="2" t="s">
        <v>19</v>
      </c>
      <c r="F87" s="2" t="s">
        <v>20</v>
      </c>
      <c r="G87" s="2" t="s">
        <v>57</v>
      </c>
      <c r="H87">
        <v>1</v>
      </c>
      <c r="I87" s="2" t="s">
        <v>526</v>
      </c>
      <c r="J87" s="3">
        <v>0.15684552284455039</v>
      </c>
      <c r="K87" s="3">
        <v>5.2488000000000001</v>
      </c>
      <c r="L87" s="507">
        <v>5286.7212007930466</v>
      </c>
      <c r="M87" s="507">
        <v>0</v>
      </c>
      <c r="N87" s="507">
        <v>5286.7212007930466</v>
      </c>
      <c r="O87" s="507">
        <v>2.2098494619314932</v>
      </c>
      <c r="P87">
        <v>1</v>
      </c>
      <c r="Q87" s="2" t="s">
        <v>526</v>
      </c>
      <c r="R87" s="3">
        <v>0.15702038124548567</v>
      </c>
      <c r="S87" s="3">
        <v>5.2488000000000001</v>
      </c>
      <c r="T87" s="507">
        <v>5286.7212007930466</v>
      </c>
      <c r="U87" s="507">
        <v>0</v>
      </c>
      <c r="V87" s="507">
        <v>5286.7212007930466</v>
      </c>
      <c r="W87" s="507">
        <v>2.5252904935788121</v>
      </c>
      <c r="X87" s="507">
        <v>5288.9310502549779</v>
      </c>
      <c r="Y87" s="507">
        <v>5289.2464912866253</v>
      </c>
      <c r="Z87" s="507">
        <v>27760.541296578329</v>
      </c>
      <c r="AA87" s="507">
        <v>27762.196983465241</v>
      </c>
      <c r="AB87" s="507">
        <v>27793.147521822593</v>
      </c>
      <c r="AC87" s="507">
        <v>-1.66</v>
      </c>
      <c r="AD87" s="507">
        <v>-32.61</v>
      </c>
      <c r="AE87" s="507">
        <v>30.95</v>
      </c>
      <c r="AF87" s="507"/>
      <c r="AG87" s="507">
        <v>-32.61</v>
      </c>
      <c r="AH87" s="507">
        <v>0</v>
      </c>
      <c r="AI87" s="507">
        <v>0</v>
      </c>
      <c r="AJ87" s="507">
        <v>0</v>
      </c>
      <c r="AK87" s="507">
        <v>0</v>
      </c>
      <c r="AL87" s="507">
        <v>0</v>
      </c>
      <c r="AM87" s="507">
        <v>0</v>
      </c>
      <c r="AN87" s="507"/>
      <c r="AO87" s="507"/>
    </row>
    <row r="88" spans="1:41">
      <c r="A88" s="2" t="s">
        <v>59</v>
      </c>
      <c r="B88" s="2" t="s">
        <v>60</v>
      </c>
      <c r="C88" s="2" t="s">
        <v>17</v>
      </c>
      <c r="D88" s="2" t="s">
        <v>30</v>
      </c>
      <c r="E88" s="2" t="s">
        <v>19</v>
      </c>
      <c r="F88" s="2" t="s">
        <v>20</v>
      </c>
      <c r="G88" s="2" t="s">
        <v>21</v>
      </c>
      <c r="H88">
        <v>1</v>
      </c>
      <c r="I88" s="2" t="s">
        <v>526</v>
      </c>
      <c r="J88" s="3">
        <v>1</v>
      </c>
      <c r="K88" s="3">
        <v>5.2488000000000001</v>
      </c>
      <c r="L88" s="507">
        <v>21283.314878972582</v>
      </c>
      <c r="M88" s="507">
        <v>0</v>
      </c>
      <c r="N88" s="507">
        <v>21283.314878972582</v>
      </c>
      <c r="O88" s="507">
        <v>22.103370173499478</v>
      </c>
      <c r="P88">
        <v>1</v>
      </c>
      <c r="Q88" s="2" t="s">
        <v>526</v>
      </c>
      <c r="R88" s="3">
        <v>1</v>
      </c>
      <c r="S88" s="3">
        <v>5.2488000000000001</v>
      </c>
      <c r="T88" s="507">
        <v>21283.314473074923</v>
      </c>
      <c r="U88" s="507">
        <v>0</v>
      </c>
      <c r="V88" s="507">
        <v>21283.314473074923</v>
      </c>
      <c r="W88" s="507">
        <v>15.788037403157743</v>
      </c>
      <c r="X88" s="507">
        <v>21305.418249146082</v>
      </c>
      <c r="Y88" s="507">
        <v>21299.102510478082</v>
      </c>
      <c r="Z88" s="507">
        <v>111827.87930611796</v>
      </c>
      <c r="AA88" s="507">
        <v>111794.72925699737</v>
      </c>
      <c r="AB88" s="507">
        <v>111794.72925699737</v>
      </c>
      <c r="AC88" s="507">
        <v>33.15</v>
      </c>
      <c r="AD88" s="507">
        <v>33.15</v>
      </c>
      <c r="AE88" s="507">
        <v>0</v>
      </c>
      <c r="AF88" s="507">
        <v>33.15</v>
      </c>
      <c r="AG88" s="507"/>
      <c r="AH88" s="507">
        <v>0</v>
      </c>
      <c r="AI88" s="507">
        <v>0</v>
      </c>
      <c r="AJ88" s="507">
        <v>0</v>
      </c>
      <c r="AK88" s="507">
        <v>0</v>
      </c>
      <c r="AL88" s="507">
        <v>0</v>
      </c>
      <c r="AM88" s="507">
        <v>0</v>
      </c>
      <c r="AN88" s="507"/>
      <c r="AO88" s="507"/>
    </row>
    <row r="89" spans="1:41">
      <c r="A89" s="2" t="s">
        <v>61</v>
      </c>
      <c r="B89" s="2" t="s">
        <v>60</v>
      </c>
      <c r="C89" s="2" t="s">
        <v>17</v>
      </c>
      <c r="D89" s="2" t="s">
        <v>30</v>
      </c>
      <c r="E89" s="2" t="s">
        <v>19</v>
      </c>
      <c r="F89" s="2" t="s">
        <v>20</v>
      </c>
      <c r="G89" s="2" t="s">
        <v>21</v>
      </c>
      <c r="H89">
        <v>1</v>
      </c>
      <c r="I89" s="2" t="s">
        <v>526</v>
      </c>
      <c r="J89" s="3">
        <v>1</v>
      </c>
      <c r="K89" s="3">
        <v>5.2488000000000001</v>
      </c>
      <c r="L89" s="507">
        <v>269458.84242254461</v>
      </c>
      <c r="M89" s="507">
        <v>0</v>
      </c>
      <c r="N89" s="507">
        <v>269458.84242254461</v>
      </c>
      <c r="O89" s="507">
        <v>279.84054265142606</v>
      </c>
      <c r="P89">
        <v>1</v>
      </c>
      <c r="Q89" s="2" t="s">
        <v>526</v>
      </c>
      <c r="R89" s="3">
        <v>1</v>
      </c>
      <c r="S89" s="3">
        <v>5.2488000000000001</v>
      </c>
      <c r="T89" s="507">
        <v>269458.84201665316</v>
      </c>
      <c r="U89" s="507">
        <v>0</v>
      </c>
      <c r="V89" s="507">
        <v>269458.84201665316</v>
      </c>
      <c r="W89" s="507">
        <v>199.8860848221407</v>
      </c>
      <c r="X89" s="507">
        <v>269738.68296519603</v>
      </c>
      <c r="Y89" s="507">
        <v>269658.72810147528</v>
      </c>
      <c r="Z89" s="507">
        <v>1415804.399147721</v>
      </c>
      <c r="AA89" s="507">
        <v>1415384.7320590236</v>
      </c>
      <c r="AB89" s="507">
        <v>1415384.7320590236</v>
      </c>
      <c r="AC89" s="507">
        <v>419.67</v>
      </c>
      <c r="AD89" s="507">
        <v>419.67</v>
      </c>
      <c r="AE89" s="507">
        <v>0</v>
      </c>
      <c r="AF89" s="507">
        <v>419.67</v>
      </c>
      <c r="AG89" s="507"/>
      <c r="AH89" s="507">
        <v>0</v>
      </c>
      <c r="AI89" s="507">
        <v>0</v>
      </c>
      <c r="AJ89" s="507">
        <v>0</v>
      </c>
      <c r="AK89" s="507">
        <v>0</v>
      </c>
      <c r="AL89" s="507">
        <v>0</v>
      </c>
      <c r="AM89" s="507">
        <v>0</v>
      </c>
      <c r="AN89" s="507"/>
      <c r="AO89" s="507"/>
    </row>
    <row r="90" spans="1:41">
      <c r="A90" s="2" t="s">
        <v>62</v>
      </c>
      <c r="B90" s="2" t="s">
        <v>60</v>
      </c>
      <c r="C90" s="2" t="s">
        <v>17</v>
      </c>
      <c r="D90" s="2" t="s">
        <v>30</v>
      </c>
      <c r="E90" s="2" t="s">
        <v>19</v>
      </c>
      <c r="F90" s="2" t="s">
        <v>20</v>
      </c>
      <c r="G90" s="2" t="s">
        <v>21</v>
      </c>
      <c r="H90">
        <v>1</v>
      </c>
      <c r="I90" s="2" t="s">
        <v>526</v>
      </c>
      <c r="J90" s="3">
        <v>1</v>
      </c>
      <c r="K90" s="3">
        <v>5.2488000000000001</v>
      </c>
      <c r="L90" s="507">
        <v>170090.04218331509</v>
      </c>
      <c r="M90" s="507">
        <v>0</v>
      </c>
      <c r="N90" s="507">
        <v>170090.04218331509</v>
      </c>
      <c r="O90" s="507">
        <v>176.64321122389896</v>
      </c>
      <c r="P90">
        <v>1</v>
      </c>
      <c r="Q90" s="2" t="s">
        <v>526</v>
      </c>
      <c r="R90" s="3">
        <v>1</v>
      </c>
      <c r="S90" s="3">
        <v>5.2488000000000001</v>
      </c>
      <c r="T90" s="507">
        <v>170090.04177742382</v>
      </c>
      <c r="U90" s="507">
        <v>0</v>
      </c>
      <c r="V90" s="507">
        <v>170090.04177742382</v>
      </c>
      <c r="W90" s="507">
        <v>126.17370523109989</v>
      </c>
      <c r="X90" s="507">
        <v>170266.685394539</v>
      </c>
      <c r="Y90" s="507">
        <v>170216.21548265492</v>
      </c>
      <c r="Z90" s="507">
        <v>893695.77829885634</v>
      </c>
      <c r="AA90" s="507">
        <v>893430.87182535918</v>
      </c>
      <c r="AB90" s="507">
        <v>893430.87182535918</v>
      </c>
      <c r="AC90" s="507">
        <v>264.91000000000003</v>
      </c>
      <c r="AD90" s="507">
        <v>264.91000000000003</v>
      </c>
      <c r="AE90" s="507">
        <v>0</v>
      </c>
      <c r="AF90" s="507">
        <v>264.91000000000003</v>
      </c>
      <c r="AG90" s="507"/>
      <c r="AH90" s="507">
        <v>0</v>
      </c>
      <c r="AI90" s="507">
        <v>0</v>
      </c>
      <c r="AJ90" s="507">
        <v>0</v>
      </c>
      <c r="AK90" s="507">
        <v>0</v>
      </c>
      <c r="AL90" s="507">
        <v>0</v>
      </c>
      <c r="AM90" s="507">
        <v>0</v>
      </c>
      <c r="AN90" s="507"/>
      <c r="AO90" s="507"/>
    </row>
    <row r="91" spans="1:41">
      <c r="A91" s="2" t="s">
        <v>63</v>
      </c>
      <c r="B91" s="2" t="s">
        <v>60</v>
      </c>
      <c r="C91" s="2" t="s">
        <v>17</v>
      </c>
      <c r="D91" s="2" t="s">
        <v>30</v>
      </c>
      <c r="E91" s="2" t="s">
        <v>19</v>
      </c>
      <c r="F91" s="2" t="s">
        <v>20</v>
      </c>
      <c r="G91" s="2" t="s">
        <v>21</v>
      </c>
      <c r="H91">
        <v>1</v>
      </c>
      <c r="I91" s="2" t="s">
        <v>526</v>
      </c>
      <c r="J91" s="3">
        <v>1</v>
      </c>
      <c r="K91" s="3">
        <v>5.2488000000000001</v>
      </c>
      <c r="L91" s="507">
        <v>13079.531221751522</v>
      </c>
      <c r="M91" s="507">
        <v>0</v>
      </c>
      <c r="N91" s="507">
        <v>13079.531221751522</v>
      </c>
      <c r="O91" s="507">
        <v>13.583421225813055</v>
      </c>
      <c r="P91">
        <v>1</v>
      </c>
      <c r="Q91" s="2" t="s">
        <v>526</v>
      </c>
      <c r="R91" s="3">
        <v>1</v>
      </c>
      <c r="S91" s="3">
        <v>5.2488000000000001</v>
      </c>
      <c r="T91" s="507">
        <v>13079.530815868357</v>
      </c>
      <c r="U91" s="507">
        <v>0</v>
      </c>
      <c r="V91" s="507">
        <v>13079.530815868357</v>
      </c>
      <c r="W91" s="507">
        <v>9.7025105075265419</v>
      </c>
      <c r="X91" s="507">
        <v>13093.114642977334</v>
      </c>
      <c r="Y91" s="507">
        <v>13089.233326375883</v>
      </c>
      <c r="Z91" s="507">
        <v>68723.140138059433</v>
      </c>
      <c r="AA91" s="507">
        <v>68702.767883481734</v>
      </c>
      <c r="AB91" s="507">
        <v>68702.767883481734</v>
      </c>
      <c r="AC91" s="507">
        <v>20.37</v>
      </c>
      <c r="AD91" s="507">
        <v>20.37</v>
      </c>
      <c r="AE91" s="507">
        <v>0</v>
      </c>
      <c r="AF91" s="507">
        <v>20.37</v>
      </c>
      <c r="AG91" s="507"/>
      <c r="AH91" s="507">
        <v>0</v>
      </c>
      <c r="AI91" s="507">
        <v>0</v>
      </c>
      <c r="AJ91" s="507">
        <v>0</v>
      </c>
      <c r="AK91" s="507">
        <v>0</v>
      </c>
      <c r="AL91" s="507">
        <v>0</v>
      </c>
      <c r="AM91" s="507">
        <v>0</v>
      </c>
      <c r="AN91" s="507"/>
      <c r="AO91" s="507"/>
    </row>
    <row r="92" spans="1:41">
      <c r="A92" s="2"/>
      <c r="B92" s="2"/>
      <c r="C92" s="2"/>
      <c r="D92" s="2"/>
      <c r="E92" s="2"/>
      <c r="F92" s="2"/>
      <c r="G92" s="2"/>
      <c r="I92" s="2"/>
      <c r="J92" s="3"/>
      <c r="K92" s="3"/>
      <c r="L92" s="507"/>
      <c r="M92" s="507"/>
      <c r="N92" s="507"/>
      <c r="O92" s="507"/>
      <c r="P92">
        <v>1</v>
      </c>
      <c r="Q92" s="2" t="s">
        <v>526</v>
      </c>
      <c r="R92" s="3">
        <v>1</v>
      </c>
      <c r="S92" s="3">
        <v>5.2488000000000001</v>
      </c>
      <c r="T92" s="507">
        <v>5765.3002779546159</v>
      </c>
      <c r="U92" s="507">
        <v>0</v>
      </c>
      <c r="V92" s="507">
        <v>5765.3002779546159</v>
      </c>
      <c r="W92" s="507">
        <v>4.184021289012227</v>
      </c>
      <c r="X92" s="507"/>
      <c r="Y92" s="507">
        <v>5769.4842992436279</v>
      </c>
      <c r="Z92" s="507"/>
      <c r="AA92" s="507">
        <v>30282.869189869954</v>
      </c>
      <c r="AB92" s="507"/>
      <c r="AC92" s="507"/>
      <c r="AD92" s="507"/>
      <c r="AE92" s="507"/>
      <c r="AF92" s="507"/>
      <c r="AG92" s="507"/>
      <c r="AH92" s="507"/>
      <c r="AI92" s="507">
        <v>0</v>
      </c>
      <c r="AJ92" s="507"/>
      <c r="AK92" s="507"/>
      <c r="AL92" s="507"/>
      <c r="AM92" s="507"/>
      <c r="AN92" s="507"/>
      <c r="AO92" s="507"/>
    </row>
    <row r="93" spans="1:41">
      <c r="A93" s="2" t="s">
        <v>64</v>
      </c>
      <c r="B93" s="2" t="s">
        <v>60</v>
      </c>
      <c r="C93" s="2" t="s">
        <v>17</v>
      </c>
      <c r="D93" s="2" t="s">
        <v>30</v>
      </c>
      <c r="E93" s="2" t="s">
        <v>19</v>
      </c>
      <c r="F93" s="2" t="s">
        <v>20</v>
      </c>
      <c r="G93" s="2" t="s">
        <v>21</v>
      </c>
      <c r="H93">
        <v>1</v>
      </c>
      <c r="I93" s="2" t="s">
        <v>526</v>
      </c>
      <c r="J93" s="3">
        <v>1</v>
      </c>
      <c r="K93" s="3">
        <v>5.2488000000000001</v>
      </c>
      <c r="L93" s="507">
        <v>16379.65488281225</v>
      </c>
      <c r="M93" s="507">
        <v>0</v>
      </c>
      <c r="N93" s="507">
        <v>16379.65488281225</v>
      </c>
      <c r="O93" s="507">
        <v>17.010770990947272</v>
      </c>
      <c r="P93">
        <v>1</v>
      </c>
      <c r="Q93" s="2" t="s">
        <v>526</v>
      </c>
      <c r="R93" s="3">
        <v>1</v>
      </c>
      <c r="S93" s="3">
        <v>5.2488000000000001</v>
      </c>
      <c r="T93" s="507">
        <v>16379.654476919959</v>
      </c>
      <c r="U93" s="507">
        <v>0</v>
      </c>
      <c r="V93" s="507">
        <v>16379.654476919959</v>
      </c>
      <c r="W93" s="507">
        <v>12.150550406725536</v>
      </c>
      <c r="X93" s="507">
        <v>16396.665653803197</v>
      </c>
      <c r="Y93" s="507">
        <v>16391.805027326685</v>
      </c>
      <c r="Z93" s="507">
        <v>86062.818683682228</v>
      </c>
      <c r="AA93" s="507">
        <v>86037.306227432302</v>
      </c>
      <c r="AB93" s="507">
        <v>86037.306227432302</v>
      </c>
      <c r="AC93" s="507">
        <v>25.51</v>
      </c>
      <c r="AD93" s="507">
        <v>25.51</v>
      </c>
      <c r="AE93" s="507">
        <v>0</v>
      </c>
      <c r="AF93" s="507">
        <v>25.51</v>
      </c>
      <c r="AG93" s="507"/>
      <c r="AH93" s="507">
        <v>0</v>
      </c>
      <c r="AI93" s="507">
        <v>0</v>
      </c>
      <c r="AJ93" s="507">
        <v>0</v>
      </c>
      <c r="AK93" s="507">
        <v>0</v>
      </c>
      <c r="AL93" s="507">
        <v>0</v>
      </c>
      <c r="AM93" s="507">
        <v>0</v>
      </c>
      <c r="AN93" s="507"/>
      <c r="AO93" s="507"/>
    </row>
    <row r="94" spans="1:41">
      <c r="A94" s="2" t="s">
        <v>65</v>
      </c>
      <c r="B94" s="2" t="s">
        <v>60</v>
      </c>
      <c r="C94" s="2" t="s">
        <v>17</v>
      </c>
      <c r="D94" s="2" t="s">
        <v>30</v>
      </c>
      <c r="E94" s="2" t="s">
        <v>19</v>
      </c>
      <c r="F94" s="2" t="s">
        <v>20</v>
      </c>
      <c r="G94" s="2" t="s">
        <v>21</v>
      </c>
      <c r="H94">
        <v>1</v>
      </c>
      <c r="I94" s="2" t="s">
        <v>526</v>
      </c>
      <c r="J94" s="3">
        <v>1</v>
      </c>
      <c r="K94" s="3">
        <v>5.2488000000000001</v>
      </c>
      <c r="L94" s="507">
        <v>16125.043002527236</v>
      </c>
      <c r="M94" s="507">
        <v>0</v>
      </c>
      <c r="N94" s="507">
        <v>16125.043002527236</v>
      </c>
      <c r="O94" s="507">
        <v>16.746279849765038</v>
      </c>
      <c r="P94">
        <v>1</v>
      </c>
      <c r="Q94" s="2" t="s">
        <v>526</v>
      </c>
      <c r="R94" s="3">
        <v>1</v>
      </c>
      <c r="S94" s="3">
        <v>5.2488000000000001</v>
      </c>
      <c r="T94" s="507">
        <v>16125.042596639463</v>
      </c>
      <c r="U94" s="507">
        <v>0</v>
      </c>
      <c r="V94" s="507">
        <v>16125.042596639463</v>
      </c>
      <c r="W94" s="507">
        <v>11.961661701635895</v>
      </c>
      <c r="X94" s="507">
        <v>16141.789282377002</v>
      </c>
      <c r="Y94" s="507">
        <v>16137.0042583411</v>
      </c>
      <c r="Z94" s="507">
        <v>84725.023585340416</v>
      </c>
      <c r="AA94" s="507">
        <v>84699.907951180765</v>
      </c>
      <c r="AB94" s="507">
        <v>84699.907951180765</v>
      </c>
      <c r="AC94" s="507">
        <v>25.12</v>
      </c>
      <c r="AD94" s="507">
        <v>25.12</v>
      </c>
      <c r="AE94" s="507">
        <v>0</v>
      </c>
      <c r="AF94" s="507">
        <v>25.12</v>
      </c>
      <c r="AG94" s="507"/>
      <c r="AH94" s="507">
        <v>0</v>
      </c>
      <c r="AI94" s="507">
        <v>0</v>
      </c>
      <c r="AJ94" s="507">
        <v>0</v>
      </c>
      <c r="AK94" s="507">
        <v>0</v>
      </c>
      <c r="AL94" s="507">
        <v>0</v>
      </c>
      <c r="AM94" s="507">
        <v>0</v>
      </c>
      <c r="AN94" s="507"/>
      <c r="AO94" s="507"/>
    </row>
    <row r="95" spans="1:41">
      <c r="A95" s="2" t="s">
        <v>66</v>
      </c>
      <c r="B95" s="2" t="s">
        <v>60</v>
      </c>
      <c r="C95" s="2" t="s">
        <v>17</v>
      </c>
      <c r="D95" s="2" t="s">
        <v>30</v>
      </c>
      <c r="E95" s="2" t="s">
        <v>19</v>
      </c>
      <c r="F95" s="2" t="s">
        <v>20</v>
      </c>
      <c r="G95" s="2" t="s">
        <v>21</v>
      </c>
      <c r="H95">
        <v>1</v>
      </c>
      <c r="I95" s="2" t="s">
        <v>526</v>
      </c>
      <c r="J95" s="3">
        <v>1</v>
      </c>
      <c r="K95" s="3">
        <v>5.2488000000000001</v>
      </c>
      <c r="L95" s="507">
        <v>10390.283028878386</v>
      </c>
      <c r="M95" s="507">
        <v>0</v>
      </c>
      <c r="N95" s="507">
        <v>10390.283028878386</v>
      </c>
      <c r="O95" s="507">
        <v>10.790591933997359</v>
      </c>
      <c r="P95">
        <v>1</v>
      </c>
      <c r="Q95" s="2" t="s">
        <v>526</v>
      </c>
      <c r="R95" s="3">
        <v>1</v>
      </c>
      <c r="S95" s="3">
        <v>5.2488000000000001</v>
      </c>
      <c r="T95" s="507">
        <v>10390.282622993987</v>
      </c>
      <c r="U95" s="507">
        <v>0</v>
      </c>
      <c r="V95" s="507">
        <v>10390.282622993987</v>
      </c>
      <c r="W95" s="507">
        <v>7.7076156716072379</v>
      </c>
      <c r="X95" s="507">
        <v>10401.073620812384</v>
      </c>
      <c r="Y95" s="507">
        <v>10397.990238665594</v>
      </c>
      <c r="Z95" s="507">
        <v>54593.155220920038</v>
      </c>
      <c r="AA95" s="507">
        <v>54576.971164707975</v>
      </c>
      <c r="AB95" s="507">
        <v>54576.971164707975</v>
      </c>
      <c r="AC95" s="507">
        <v>16.18</v>
      </c>
      <c r="AD95" s="507">
        <v>16.18</v>
      </c>
      <c r="AE95" s="507">
        <v>0</v>
      </c>
      <c r="AF95" s="507">
        <v>16.18</v>
      </c>
      <c r="AG95" s="507"/>
      <c r="AH95" s="507">
        <v>0</v>
      </c>
      <c r="AI95" s="507">
        <v>0</v>
      </c>
      <c r="AJ95" s="507">
        <v>0</v>
      </c>
      <c r="AK95" s="507">
        <v>0</v>
      </c>
      <c r="AL95" s="507">
        <v>0</v>
      </c>
      <c r="AM95" s="507">
        <v>0</v>
      </c>
      <c r="AN95" s="507"/>
      <c r="AO95" s="507"/>
    </row>
    <row r="96" spans="1:41">
      <c r="A96" s="2" t="s">
        <v>67</v>
      </c>
      <c r="B96" s="2" t="s">
        <v>60</v>
      </c>
      <c r="C96" s="2" t="s">
        <v>17</v>
      </c>
      <c r="D96" s="2" t="s">
        <v>30</v>
      </c>
      <c r="E96" s="2" t="s">
        <v>19</v>
      </c>
      <c r="F96" s="2" t="s">
        <v>20</v>
      </c>
      <c r="G96" s="2" t="s">
        <v>21</v>
      </c>
      <c r="H96">
        <v>1</v>
      </c>
      <c r="I96" s="2" t="s">
        <v>526</v>
      </c>
      <c r="J96" s="3">
        <v>1</v>
      </c>
      <c r="K96" s="3">
        <v>5.2488000000000001</v>
      </c>
      <c r="L96" s="507">
        <v>5397.855319287004</v>
      </c>
      <c r="M96" s="507">
        <v>0</v>
      </c>
      <c r="N96" s="507">
        <v>5397.855319287004</v>
      </c>
      <c r="O96" s="507">
        <v>5.6058375981327417</v>
      </c>
      <c r="P96">
        <v>1</v>
      </c>
      <c r="Q96" s="2" t="s">
        <v>526</v>
      </c>
      <c r="R96" s="3">
        <v>1</v>
      </c>
      <c r="S96" s="3">
        <v>5.2488000000000001</v>
      </c>
      <c r="T96" s="507">
        <v>5397.8549133904435</v>
      </c>
      <c r="U96" s="507">
        <v>0</v>
      </c>
      <c r="V96" s="507">
        <v>5397.8549133904435</v>
      </c>
      <c r="W96" s="507">
        <v>4.0041526453804535</v>
      </c>
      <c r="X96" s="507">
        <v>5403.4611568851369</v>
      </c>
      <c r="Y96" s="507">
        <v>5401.8590660358241</v>
      </c>
      <c r="Z96" s="507">
        <v>28361.686920258708</v>
      </c>
      <c r="AA96" s="507">
        <v>28353.277865808835</v>
      </c>
      <c r="AB96" s="507">
        <v>28353.277865808835</v>
      </c>
      <c r="AC96" s="507">
        <v>8.41</v>
      </c>
      <c r="AD96" s="507">
        <v>8.41</v>
      </c>
      <c r="AE96" s="507">
        <v>0</v>
      </c>
      <c r="AF96" s="507">
        <v>8.41</v>
      </c>
      <c r="AG96" s="507"/>
      <c r="AH96" s="507">
        <v>0</v>
      </c>
      <c r="AI96" s="507">
        <v>0</v>
      </c>
      <c r="AJ96" s="507">
        <v>0</v>
      </c>
      <c r="AK96" s="507">
        <v>0</v>
      </c>
      <c r="AL96" s="507">
        <v>0</v>
      </c>
      <c r="AM96" s="507">
        <v>0</v>
      </c>
      <c r="AN96" s="507"/>
      <c r="AO96" s="507"/>
    </row>
    <row r="97" spans="1:41">
      <c r="A97" s="2" t="s">
        <v>68</v>
      </c>
      <c r="B97" s="2" t="s">
        <v>60</v>
      </c>
      <c r="C97" s="2" t="s">
        <v>17</v>
      </c>
      <c r="D97" s="2" t="s">
        <v>30</v>
      </c>
      <c r="E97" s="2" t="s">
        <v>19</v>
      </c>
      <c r="F97" s="2" t="s">
        <v>20</v>
      </c>
      <c r="G97" s="2" t="s">
        <v>21</v>
      </c>
      <c r="H97">
        <v>1</v>
      </c>
      <c r="I97" s="2" t="s">
        <v>526</v>
      </c>
      <c r="J97" s="3">
        <v>1</v>
      </c>
      <c r="K97" s="3">
        <v>5.2488000000000001</v>
      </c>
      <c r="L97" s="507">
        <v>10995.151155300991</v>
      </c>
      <c r="M97" s="507">
        <v>0</v>
      </c>
      <c r="N97" s="507">
        <v>10995.151155300991</v>
      </c>
      <c r="O97" s="507">
        <v>11.418773081443023</v>
      </c>
      <c r="P97">
        <v>1</v>
      </c>
      <c r="Q97" s="2" t="s">
        <v>526</v>
      </c>
      <c r="R97" s="3">
        <v>1</v>
      </c>
      <c r="S97" s="3">
        <v>5.2488000000000001</v>
      </c>
      <c r="T97" s="507">
        <v>10995.150749413819</v>
      </c>
      <c r="U97" s="507">
        <v>0</v>
      </c>
      <c r="V97" s="507">
        <v>10995.150749413819</v>
      </c>
      <c r="W97" s="507">
        <v>8.1562997229342979</v>
      </c>
      <c r="X97" s="507">
        <v>11006.569928382434</v>
      </c>
      <c r="Y97" s="507">
        <v>11003.307049136753</v>
      </c>
      <c r="Z97" s="507">
        <v>57771.284240093722</v>
      </c>
      <c r="AA97" s="507">
        <v>57754.158039508991</v>
      </c>
      <c r="AB97" s="507">
        <v>57754.158039508991</v>
      </c>
      <c r="AC97" s="507">
        <v>17.13</v>
      </c>
      <c r="AD97" s="507">
        <v>17.13</v>
      </c>
      <c r="AE97" s="507">
        <v>0</v>
      </c>
      <c r="AF97" s="507">
        <v>17.13</v>
      </c>
      <c r="AG97" s="507"/>
      <c r="AH97" s="507">
        <v>0</v>
      </c>
      <c r="AI97" s="507">
        <v>0</v>
      </c>
      <c r="AJ97" s="507">
        <v>0</v>
      </c>
      <c r="AK97" s="507">
        <v>0</v>
      </c>
      <c r="AL97" s="507">
        <v>0</v>
      </c>
      <c r="AM97" s="507">
        <v>0</v>
      </c>
      <c r="AN97" s="507"/>
      <c r="AO97" s="507"/>
    </row>
    <row r="98" spans="1:41">
      <c r="A98" s="2" t="s">
        <v>69</v>
      </c>
      <c r="B98" s="2" t="s">
        <v>60</v>
      </c>
      <c r="C98" s="2" t="s">
        <v>17</v>
      </c>
      <c r="D98" s="2" t="s">
        <v>30</v>
      </c>
      <c r="E98" s="2" t="s">
        <v>19</v>
      </c>
      <c r="F98" s="2" t="s">
        <v>20</v>
      </c>
      <c r="G98" s="2" t="s">
        <v>21</v>
      </c>
      <c r="H98">
        <v>1</v>
      </c>
      <c r="I98" s="2" t="s">
        <v>526</v>
      </c>
      <c r="J98" s="3">
        <v>1</v>
      </c>
      <c r="K98" s="3">
        <v>5.2488000000000001</v>
      </c>
      <c r="L98" s="507">
        <v>219789.90047803964</v>
      </c>
      <c r="M98" s="507">
        <v>0</v>
      </c>
      <c r="N98" s="507">
        <v>219789.90047803964</v>
      </c>
      <c r="O98" s="507">
        <v>228.25796006532386</v>
      </c>
      <c r="P98">
        <v>1</v>
      </c>
      <c r="Q98" s="2" t="s">
        <v>526</v>
      </c>
      <c r="R98" s="3">
        <v>1</v>
      </c>
      <c r="S98" s="3">
        <v>5.2488000000000001</v>
      </c>
      <c r="T98" s="507">
        <v>219789.90007214833</v>
      </c>
      <c r="U98" s="507">
        <v>0</v>
      </c>
      <c r="V98" s="507">
        <v>219789.90007214833</v>
      </c>
      <c r="W98" s="507">
        <v>163.04139974556745</v>
      </c>
      <c r="X98" s="507">
        <v>220018.15843810496</v>
      </c>
      <c r="Y98" s="507">
        <v>219952.94147189389</v>
      </c>
      <c r="Z98" s="507">
        <v>1154831.3100099254</v>
      </c>
      <c r="AA98" s="507">
        <v>1154488.9991976768</v>
      </c>
      <c r="AB98" s="507">
        <v>1154488.9991976768</v>
      </c>
      <c r="AC98" s="507">
        <v>342.31</v>
      </c>
      <c r="AD98" s="507">
        <v>342.31</v>
      </c>
      <c r="AE98" s="507">
        <v>0</v>
      </c>
      <c r="AF98" s="507">
        <v>342.31</v>
      </c>
      <c r="AG98" s="507"/>
      <c r="AH98" s="507">
        <v>0</v>
      </c>
      <c r="AI98" s="507">
        <v>0</v>
      </c>
      <c r="AJ98" s="507">
        <v>0</v>
      </c>
      <c r="AK98" s="507">
        <v>0</v>
      </c>
      <c r="AL98" s="507">
        <v>0</v>
      </c>
      <c r="AM98" s="507">
        <v>0</v>
      </c>
      <c r="AN98" s="507"/>
      <c r="AO98" s="507"/>
    </row>
    <row r="99" spans="1:41">
      <c r="A99" s="2" t="s">
        <v>70</v>
      </c>
      <c r="B99" s="2" t="s">
        <v>60</v>
      </c>
      <c r="C99" s="2" t="s">
        <v>17</v>
      </c>
      <c r="D99" s="2" t="s">
        <v>30</v>
      </c>
      <c r="E99" s="2" t="s">
        <v>19</v>
      </c>
      <c r="F99" s="2" t="s">
        <v>20</v>
      </c>
      <c r="G99" s="2" t="s">
        <v>21</v>
      </c>
      <c r="H99">
        <v>1</v>
      </c>
      <c r="I99" s="2" t="s">
        <v>526</v>
      </c>
      <c r="J99" s="3">
        <v>1</v>
      </c>
      <c r="K99" s="3">
        <v>5.2488000000000001</v>
      </c>
      <c r="L99" s="507">
        <v>45213.236283058548</v>
      </c>
      <c r="M99" s="507">
        <v>0</v>
      </c>
      <c r="N99" s="507">
        <v>45213.236283058548</v>
      </c>
      <c r="O99" s="507">
        <v>46.9552072293951</v>
      </c>
      <c r="P99">
        <v>1</v>
      </c>
      <c r="Q99" s="2" t="s">
        <v>526</v>
      </c>
      <c r="R99" s="3">
        <v>1</v>
      </c>
      <c r="S99" s="3">
        <v>5.2488000000000001</v>
      </c>
      <c r="T99" s="507">
        <v>45213.235877168285</v>
      </c>
      <c r="U99" s="507">
        <v>0</v>
      </c>
      <c r="V99" s="507">
        <v>45213.235877168285</v>
      </c>
      <c r="W99" s="507">
        <v>33.539466974630166</v>
      </c>
      <c r="X99" s="507">
        <v>45260.191490287943</v>
      </c>
      <c r="Y99" s="507">
        <v>45246.775344142916</v>
      </c>
      <c r="Z99" s="507">
        <v>237561.69309422336</v>
      </c>
      <c r="AA99" s="507">
        <v>237491.27442633733</v>
      </c>
      <c r="AB99" s="507">
        <v>237491.27442633733</v>
      </c>
      <c r="AC99" s="507">
        <v>70.42</v>
      </c>
      <c r="AD99" s="507">
        <v>70.42</v>
      </c>
      <c r="AE99" s="507">
        <v>0</v>
      </c>
      <c r="AF99" s="507">
        <v>70.42</v>
      </c>
      <c r="AG99" s="507"/>
      <c r="AH99" s="507">
        <v>0</v>
      </c>
      <c r="AI99" s="507">
        <v>0</v>
      </c>
      <c r="AJ99" s="507">
        <v>0</v>
      </c>
      <c r="AK99" s="507">
        <v>0</v>
      </c>
      <c r="AL99" s="507">
        <v>0</v>
      </c>
      <c r="AM99" s="507">
        <v>0</v>
      </c>
      <c r="AN99" s="507"/>
      <c r="AO99" s="507"/>
    </row>
    <row r="100" spans="1:41">
      <c r="A100" s="2" t="s">
        <v>71</v>
      </c>
      <c r="B100" s="2" t="s">
        <v>60</v>
      </c>
      <c r="C100" s="2" t="s">
        <v>17</v>
      </c>
      <c r="D100" s="2" t="s">
        <v>30</v>
      </c>
      <c r="E100" s="2" t="s">
        <v>19</v>
      </c>
      <c r="F100" s="2" t="s">
        <v>20</v>
      </c>
      <c r="G100" s="2" t="s">
        <v>21</v>
      </c>
      <c r="H100">
        <v>1</v>
      </c>
      <c r="I100" s="2" t="s">
        <v>526</v>
      </c>
      <c r="J100" s="3">
        <v>1</v>
      </c>
      <c r="K100" s="3">
        <v>5.2488000000000001</v>
      </c>
      <c r="L100" s="507">
        <v>2783.6890371763734</v>
      </c>
      <c r="M100" s="507">
        <v>0</v>
      </c>
      <c r="N100" s="507">
        <v>2783.6890371763734</v>
      </c>
      <c r="O100" s="507">
        <v>2.8909586455809864</v>
      </c>
      <c r="P100">
        <v>1</v>
      </c>
      <c r="Q100" s="2" t="s">
        <v>526</v>
      </c>
      <c r="R100" s="3">
        <v>1</v>
      </c>
      <c r="S100" s="3">
        <v>5.2488000000000001</v>
      </c>
      <c r="T100" s="507">
        <v>2783.688631249343</v>
      </c>
      <c r="U100" s="507">
        <v>0</v>
      </c>
      <c r="V100" s="507">
        <v>2783.688631249343</v>
      </c>
      <c r="W100" s="507">
        <v>2.0649031100801607</v>
      </c>
      <c r="X100" s="507">
        <v>2786.5799958219545</v>
      </c>
      <c r="Y100" s="507">
        <v>2785.7535343594232</v>
      </c>
      <c r="Z100" s="507">
        <v>14626.201082070274</v>
      </c>
      <c r="AA100" s="507">
        <v>14621.863151145741</v>
      </c>
      <c r="AB100" s="507">
        <v>14621.863151145741</v>
      </c>
      <c r="AC100" s="507">
        <v>4.34</v>
      </c>
      <c r="AD100" s="507">
        <v>4.34</v>
      </c>
      <c r="AE100" s="507">
        <v>0</v>
      </c>
      <c r="AF100" s="507">
        <v>4.34</v>
      </c>
      <c r="AG100" s="507"/>
      <c r="AH100" s="507">
        <v>0</v>
      </c>
      <c r="AI100" s="507">
        <v>0</v>
      </c>
      <c r="AJ100" s="507">
        <v>0</v>
      </c>
      <c r="AK100" s="507">
        <v>0</v>
      </c>
      <c r="AL100" s="507">
        <v>0</v>
      </c>
      <c r="AM100" s="507">
        <v>0</v>
      </c>
      <c r="AN100" s="507"/>
      <c r="AO100" s="507"/>
    </row>
    <row r="101" spans="1:41">
      <c r="A101" s="2" t="s">
        <v>72</v>
      </c>
      <c r="B101" s="2" t="s">
        <v>60</v>
      </c>
      <c r="C101" s="2" t="s">
        <v>17</v>
      </c>
      <c r="D101" s="2" t="s">
        <v>30</v>
      </c>
      <c r="E101" s="2" t="s">
        <v>19</v>
      </c>
      <c r="F101" s="2" t="s">
        <v>20</v>
      </c>
      <c r="G101" s="2" t="s">
        <v>21</v>
      </c>
      <c r="H101">
        <v>1</v>
      </c>
      <c r="I101" s="2" t="s">
        <v>526</v>
      </c>
      <c r="J101" s="3">
        <v>1</v>
      </c>
      <c r="K101" s="3">
        <v>5.2488000000000001</v>
      </c>
      <c r="L101" s="507">
        <v>16303.85568802357</v>
      </c>
      <c r="M101" s="507">
        <v>0</v>
      </c>
      <c r="N101" s="507">
        <v>16303.85568802357</v>
      </c>
      <c r="O101" s="507">
        <v>16.931998887188922</v>
      </c>
      <c r="P101">
        <v>1</v>
      </c>
      <c r="Q101" s="2" t="s">
        <v>526</v>
      </c>
      <c r="R101" s="3">
        <v>1</v>
      </c>
      <c r="S101" s="3">
        <v>5.2488000000000001</v>
      </c>
      <c r="T101" s="507">
        <v>16303.855282135346</v>
      </c>
      <c r="U101" s="507">
        <v>0</v>
      </c>
      <c r="V101" s="507">
        <v>16303.855282135346</v>
      </c>
      <c r="W101" s="507">
        <v>12.094318156969262</v>
      </c>
      <c r="X101" s="507">
        <v>16320.787686910759</v>
      </c>
      <c r="Y101" s="507">
        <v>16315.949600292315</v>
      </c>
      <c r="Z101" s="507">
        <v>85664.550411057193</v>
      </c>
      <c r="AA101" s="507">
        <v>85639.156262014309</v>
      </c>
      <c r="AB101" s="507">
        <v>85639.156262014309</v>
      </c>
      <c r="AC101" s="507">
        <v>25.39</v>
      </c>
      <c r="AD101" s="507">
        <v>25.39</v>
      </c>
      <c r="AE101" s="507">
        <v>0</v>
      </c>
      <c r="AF101" s="507">
        <v>25.39</v>
      </c>
      <c r="AG101" s="507"/>
      <c r="AH101" s="507">
        <v>0</v>
      </c>
      <c r="AI101" s="507">
        <v>0</v>
      </c>
      <c r="AJ101" s="507">
        <v>0</v>
      </c>
      <c r="AK101" s="507">
        <v>0</v>
      </c>
      <c r="AL101" s="507">
        <v>0</v>
      </c>
      <c r="AM101" s="507">
        <v>0</v>
      </c>
      <c r="AN101" s="507"/>
      <c r="AO101" s="507"/>
    </row>
    <row r="102" spans="1:41">
      <c r="A102" s="2" t="s">
        <v>73</v>
      </c>
      <c r="B102" s="2" t="s">
        <v>60</v>
      </c>
      <c r="C102" s="2" t="s">
        <v>17</v>
      </c>
      <c r="D102" s="2" t="s">
        <v>30</v>
      </c>
      <c r="E102" s="2" t="s">
        <v>19</v>
      </c>
      <c r="F102" s="2" t="s">
        <v>20</v>
      </c>
      <c r="G102" s="2" t="s">
        <v>21</v>
      </c>
      <c r="H102">
        <v>1</v>
      </c>
      <c r="I102" s="2" t="s">
        <v>526</v>
      </c>
      <c r="J102" s="3">
        <v>1</v>
      </c>
      <c r="K102" s="3">
        <v>5.2488000000000001</v>
      </c>
      <c r="L102" s="507">
        <v>29308.606574086465</v>
      </c>
      <c r="M102" s="507">
        <v>0</v>
      </c>
      <c r="N102" s="507">
        <v>29308.606574086465</v>
      </c>
      <c r="O102" s="507">
        <v>30.437834881905047</v>
      </c>
      <c r="P102">
        <v>1</v>
      </c>
      <c r="Q102" s="2" t="s">
        <v>526</v>
      </c>
      <c r="R102" s="3">
        <v>1</v>
      </c>
      <c r="S102" s="3">
        <v>5.2488000000000001</v>
      </c>
      <c r="T102" s="507">
        <v>29308.606168192451</v>
      </c>
      <c r="U102" s="507">
        <v>0</v>
      </c>
      <c r="V102" s="507">
        <v>29308.606168192451</v>
      </c>
      <c r="W102" s="507">
        <v>21.74126001900477</v>
      </c>
      <c r="X102" s="507">
        <v>29339.04440896837</v>
      </c>
      <c r="Y102" s="507">
        <v>29330.347428211455</v>
      </c>
      <c r="Z102" s="507">
        <v>153994.77629379317</v>
      </c>
      <c r="AA102" s="507">
        <v>153949.12758119628</v>
      </c>
      <c r="AB102" s="507">
        <v>153949.12758119628</v>
      </c>
      <c r="AC102" s="507">
        <v>45.65</v>
      </c>
      <c r="AD102" s="507">
        <v>45.65</v>
      </c>
      <c r="AE102" s="507">
        <v>0</v>
      </c>
      <c r="AF102" s="507">
        <v>45.65</v>
      </c>
      <c r="AG102" s="507"/>
      <c r="AH102" s="507">
        <v>0</v>
      </c>
      <c r="AI102" s="507">
        <v>0</v>
      </c>
      <c r="AJ102" s="507">
        <v>0</v>
      </c>
      <c r="AK102" s="507">
        <v>0</v>
      </c>
      <c r="AL102" s="507">
        <v>0</v>
      </c>
      <c r="AM102" s="507">
        <v>0</v>
      </c>
      <c r="AN102" s="507"/>
      <c r="AO102" s="507"/>
    </row>
    <row r="103" spans="1:41">
      <c r="A103" s="2" t="s">
        <v>74</v>
      </c>
      <c r="B103" s="2" t="s">
        <v>60</v>
      </c>
      <c r="C103" s="2" t="s">
        <v>17</v>
      </c>
      <c r="D103" s="2" t="s">
        <v>30</v>
      </c>
      <c r="E103" s="2" t="s">
        <v>19</v>
      </c>
      <c r="F103" s="2" t="s">
        <v>20</v>
      </c>
      <c r="G103" s="2" t="s">
        <v>21</v>
      </c>
      <c r="H103">
        <v>1</v>
      </c>
      <c r="I103" s="2" t="s">
        <v>526</v>
      </c>
      <c r="J103" s="3">
        <v>1</v>
      </c>
      <c r="K103" s="3">
        <v>5.2488000000000001</v>
      </c>
      <c r="L103" s="507">
        <v>1084.0514344754295</v>
      </c>
      <c r="M103" s="507">
        <v>0</v>
      </c>
      <c r="N103" s="507">
        <v>1084.0514344754295</v>
      </c>
      <c r="O103" s="507">
        <v>1.1258060349975612</v>
      </c>
      <c r="P103">
        <v>1</v>
      </c>
      <c r="Q103" s="2" t="s">
        <v>526</v>
      </c>
      <c r="R103" s="3">
        <v>1</v>
      </c>
      <c r="S103" s="3">
        <v>5.2488000000000001</v>
      </c>
      <c r="T103" s="507">
        <v>1084.0510286517576</v>
      </c>
      <c r="U103" s="507">
        <v>0</v>
      </c>
      <c r="V103" s="507">
        <v>1084.0510286517576</v>
      </c>
      <c r="W103" s="507">
        <v>0.80419711552691397</v>
      </c>
      <c r="X103" s="507">
        <v>1085.1772405104271</v>
      </c>
      <c r="Y103" s="507">
        <v>1084.8552257672845</v>
      </c>
      <c r="Z103" s="507">
        <v>5695.87829999113</v>
      </c>
      <c r="AA103" s="507">
        <v>5694.188109007323</v>
      </c>
      <c r="AB103" s="507">
        <v>5694.188109007323</v>
      </c>
      <c r="AC103" s="507">
        <v>1.69</v>
      </c>
      <c r="AD103" s="507">
        <v>1.69</v>
      </c>
      <c r="AE103" s="507">
        <v>0</v>
      </c>
      <c r="AF103" s="507">
        <v>1.69</v>
      </c>
      <c r="AG103" s="507"/>
      <c r="AH103" s="507">
        <v>0</v>
      </c>
      <c r="AI103" s="507">
        <v>0</v>
      </c>
      <c r="AJ103" s="507">
        <v>0</v>
      </c>
      <c r="AK103" s="507">
        <v>0</v>
      </c>
      <c r="AL103" s="507">
        <v>0</v>
      </c>
      <c r="AM103" s="507">
        <v>0</v>
      </c>
      <c r="AN103" s="507"/>
      <c r="AO103" s="507"/>
    </row>
    <row r="104" spans="1:41">
      <c r="A104" s="2" t="s">
        <v>75</v>
      </c>
      <c r="B104" s="2" t="s">
        <v>60</v>
      </c>
      <c r="C104" s="2" t="s">
        <v>17</v>
      </c>
      <c r="D104" s="2" t="s">
        <v>30</v>
      </c>
      <c r="E104" s="2" t="s">
        <v>19</v>
      </c>
      <c r="F104" s="2" t="s">
        <v>20</v>
      </c>
      <c r="G104" s="2" t="s">
        <v>21</v>
      </c>
      <c r="H104">
        <v>1</v>
      </c>
      <c r="I104" s="2" t="s">
        <v>526</v>
      </c>
      <c r="J104" s="3">
        <v>1</v>
      </c>
      <c r="K104" s="3">
        <v>5.2488000000000001</v>
      </c>
      <c r="L104" s="507">
        <v>8366.5401112214367</v>
      </c>
      <c r="M104" s="507">
        <v>0</v>
      </c>
      <c r="N104" s="507">
        <v>8366.5401112214367</v>
      </c>
      <c r="O104" s="507">
        <v>8.6888675661519787</v>
      </c>
      <c r="P104">
        <v>1</v>
      </c>
      <c r="Q104" s="2" t="s">
        <v>526</v>
      </c>
      <c r="R104" s="3">
        <v>1</v>
      </c>
      <c r="S104" s="3">
        <v>5.2488000000000001</v>
      </c>
      <c r="T104" s="507">
        <v>8366.5397053364686</v>
      </c>
      <c r="U104" s="507">
        <v>0</v>
      </c>
      <c r="V104" s="507">
        <v>8366.5397053364686</v>
      </c>
      <c r="W104" s="507">
        <v>6.2063672107023828</v>
      </c>
      <c r="X104" s="507">
        <v>8375.2289787875889</v>
      </c>
      <c r="Y104" s="507">
        <v>8372.7460725471701</v>
      </c>
      <c r="Z104" s="507">
        <v>43959.901863860301</v>
      </c>
      <c r="AA104" s="507">
        <v>43946.869585585584</v>
      </c>
      <c r="AB104" s="507">
        <v>43946.869585585584</v>
      </c>
      <c r="AC104" s="507">
        <v>13.03</v>
      </c>
      <c r="AD104" s="507">
        <v>13.03</v>
      </c>
      <c r="AE104" s="507">
        <v>0</v>
      </c>
      <c r="AF104" s="507">
        <v>13.03</v>
      </c>
      <c r="AG104" s="507"/>
      <c r="AH104" s="507">
        <v>0</v>
      </c>
      <c r="AI104" s="507">
        <v>0</v>
      </c>
      <c r="AJ104" s="507">
        <v>0</v>
      </c>
      <c r="AK104" s="507">
        <v>0</v>
      </c>
      <c r="AL104" s="507">
        <v>0</v>
      </c>
      <c r="AM104" s="507">
        <v>0</v>
      </c>
      <c r="AN104" s="507"/>
      <c r="AO104" s="507"/>
    </row>
    <row r="105" spans="1:41">
      <c r="A105" s="2" t="s">
        <v>76</v>
      </c>
      <c r="B105" s="2" t="s">
        <v>60</v>
      </c>
      <c r="C105" s="2" t="s">
        <v>17</v>
      </c>
      <c r="D105" s="2" t="s">
        <v>30</v>
      </c>
      <c r="E105" s="2" t="s">
        <v>19</v>
      </c>
      <c r="F105" s="2" t="s">
        <v>20</v>
      </c>
      <c r="G105" s="2" t="s">
        <v>21</v>
      </c>
      <c r="H105">
        <v>1</v>
      </c>
      <c r="I105" s="2" t="s">
        <v>526</v>
      </c>
      <c r="J105" s="3">
        <v>1</v>
      </c>
      <c r="K105" s="3">
        <v>5.2488000000000001</v>
      </c>
      <c r="L105" s="507">
        <v>17343.04105251396</v>
      </c>
      <c r="M105" s="507">
        <v>0</v>
      </c>
      <c r="N105" s="507">
        <v>17343.04105251396</v>
      </c>
      <c r="O105" s="507">
        <v>18.011211988067434</v>
      </c>
      <c r="P105">
        <v>1</v>
      </c>
      <c r="Q105" s="2" t="s">
        <v>526</v>
      </c>
      <c r="R105" s="3">
        <v>1</v>
      </c>
      <c r="S105" s="3">
        <v>5.2488000000000001</v>
      </c>
      <c r="T105" s="507">
        <v>17343.040646621808</v>
      </c>
      <c r="U105" s="507">
        <v>0</v>
      </c>
      <c r="V105" s="507">
        <v>17343.040646621808</v>
      </c>
      <c r="W105" s="507">
        <v>12.865134349551726</v>
      </c>
      <c r="X105" s="507">
        <v>17361.052264502028</v>
      </c>
      <c r="Y105" s="507">
        <v>17355.905780971359</v>
      </c>
      <c r="Z105" s="507">
        <v>91124.691125918253</v>
      </c>
      <c r="AA105" s="507">
        <v>91097.678263162481</v>
      </c>
      <c r="AB105" s="507">
        <v>91097.678263162481</v>
      </c>
      <c r="AC105" s="507">
        <v>27.01</v>
      </c>
      <c r="AD105" s="507">
        <v>27.01</v>
      </c>
      <c r="AE105" s="507">
        <v>0</v>
      </c>
      <c r="AF105" s="507">
        <v>27.01</v>
      </c>
      <c r="AG105" s="507"/>
      <c r="AH105" s="507">
        <v>0</v>
      </c>
      <c r="AI105" s="507">
        <v>0</v>
      </c>
      <c r="AJ105" s="507">
        <v>0</v>
      </c>
      <c r="AK105" s="507">
        <v>0</v>
      </c>
      <c r="AL105" s="507">
        <v>0</v>
      </c>
      <c r="AM105" s="507">
        <v>0</v>
      </c>
      <c r="AN105" s="507"/>
      <c r="AO105" s="507"/>
    </row>
    <row r="106" spans="1:41">
      <c r="A106" s="2" t="s">
        <v>77</v>
      </c>
      <c r="B106" s="2" t="s">
        <v>60</v>
      </c>
      <c r="C106" s="2" t="s">
        <v>17</v>
      </c>
      <c r="D106" s="2" t="s">
        <v>30</v>
      </c>
      <c r="E106" s="2" t="s">
        <v>19</v>
      </c>
      <c r="F106" s="2" t="s">
        <v>20</v>
      </c>
      <c r="G106" s="2" t="s">
        <v>21</v>
      </c>
      <c r="H106">
        <v>1</v>
      </c>
      <c r="I106" s="2" t="s">
        <v>526</v>
      </c>
      <c r="J106" s="3">
        <v>1</v>
      </c>
      <c r="K106" s="3">
        <v>5.2488000000000001</v>
      </c>
      <c r="L106" s="507">
        <v>23088.082958086183</v>
      </c>
      <c r="M106" s="507">
        <v>0</v>
      </c>
      <c r="N106" s="507">
        <v>23088.082958086183</v>
      </c>
      <c r="O106" s="507">
        <v>23.977582856519774</v>
      </c>
      <c r="P106">
        <v>1</v>
      </c>
      <c r="Q106" s="2" t="s">
        <v>526</v>
      </c>
      <c r="R106" s="3">
        <v>1</v>
      </c>
      <c r="S106" s="3">
        <v>5.2488000000000001</v>
      </c>
      <c r="T106" s="507">
        <v>23088.082552193515</v>
      </c>
      <c r="U106" s="507">
        <v>0</v>
      </c>
      <c r="V106" s="507">
        <v>23088.082552193515</v>
      </c>
      <c r="W106" s="507">
        <v>17.126811056954836</v>
      </c>
      <c r="X106" s="507">
        <v>23112.060540942701</v>
      </c>
      <c r="Y106" s="507">
        <v>23105.209363250469</v>
      </c>
      <c r="Z106" s="507">
        <v>121310.58336730005</v>
      </c>
      <c r="AA106" s="507">
        <v>121274.62290582906</v>
      </c>
      <c r="AB106" s="507">
        <v>121274.62290582906</v>
      </c>
      <c r="AC106" s="507">
        <v>35.96</v>
      </c>
      <c r="AD106" s="507">
        <v>35.96</v>
      </c>
      <c r="AE106" s="507">
        <v>0</v>
      </c>
      <c r="AF106" s="507">
        <v>35.96</v>
      </c>
      <c r="AG106" s="507"/>
      <c r="AH106" s="507">
        <v>0</v>
      </c>
      <c r="AI106" s="507">
        <v>0</v>
      </c>
      <c r="AJ106" s="507">
        <v>0</v>
      </c>
      <c r="AK106" s="507">
        <v>0</v>
      </c>
      <c r="AL106" s="507">
        <v>0</v>
      </c>
      <c r="AM106" s="507">
        <v>0</v>
      </c>
      <c r="AN106" s="507"/>
      <c r="AO106" s="507"/>
    </row>
    <row r="107" spans="1:41">
      <c r="A107" s="2" t="s">
        <v>78</v>
      </c>
      <c r="B107" s="2" t="s">
        <v>60</v>
      </c>
      <c r="C107" s="2" t="s">
        <v>17</v>
      </c>
      <c r="D107" s="2" t="s">
        <v>30</v>
      </c>
      <c r="E107" s="2" t="s">
        <v>19</v>
      </c>
      <c r="F107" s="2" t="s">
        <v>20</v>
      </c>
      <c r="G107" s="2" t="s">
        <v>21</v>
      </c>
      <c r="H107">
        <v>1</v>
      </c>
      <c r="I107" s="2" t="s">
        <v>526</v>
      </c>
      <c r="J107" s="3">
        <v>1</v>
      </c>
      <c r="K107" s="3">
        <v>5.2488000000000001</v>
      </c>
      <c r="L107" s="507">
        <v>26790.084305647288</v>
      </c>
      <c r="M107" s="507">
        <v>0</v>
      </c>
      <c r="N107" s="507">
        <v>26790.084305647288</v>
      </c>
      <c r="O107" s="507">
        <v>27.822272185375603</v>
      </c>
      <c r="P107">
        <v>1</v>
      </c>
      <c r="Q107" s="2" t="s">
        <v>526</v>
      </c>
      <c r="R107" s="3">
        <v>1</v>
      </c>
      <c r="S107" s="3">
        <v>5.2488000000000001</v>
      </c>
      <c r="T107" s="507">
        <v>26790.083899754827</v>
      </c>
      <c r="U107" s="507">
        <v>0</v>
      </c>
      <c r="V107" s="507">
        <v>26790.083899754827</v>
      </c>
      <c r="W107" s="507">
        <v>19.873034490018458</v>
      </c>
      <c r="X107" s="507">
        <v>26817.906577832662</v>
      </c>
      <c r="Y107" s="507">
        <v>26809.956934244845</v>
      </c>
      <c r="Z107" s="507">
        <v>140761.82804572809</v>
      </c>
      <c r="AA107" s="507">
        <v>140720.10195646435</v>
      </c>
      <c r="AB107" s="507">
        <v>140720.10195646435</v>
      </c>
      <c r="AC107" s="507">
        <v>41.73</v>
      </c>
      <c r="AD107" s="507">
        <v>41.73</v>
      </c>
      <c r="AE107" s="507">
        <v>0</v>
      </c>
      <c r="AF107" s="507">
        <v>41.73</v>
      </c>
      <c r="AG107" s="507"/>
      <c r="AH107" s="507">
        <v>0</v>
      </c>
      <c r="AI107" s="507">
        <v>0</v>
      </c>
      <c r="AJ107" s="507">
        <v>0</v>
      </c>
      <c r="AK107" s="507">
        <v>0</v>
      </c>
      <c r="AL107" s="507">
        <v>0</v>
      </c>
      <c r="AM107" s="507">
        <v>0</v>
      </c>
      <c r="AN107" s="507"/>
      <c r="AO107" s="507"/>
    </row>
    <row r="108" spans="1:41">
      <c r="A108" s="2" t="s">
        <v>79</v>
      </c>
      <c r="B108" s="2" t="s">
        <v>60</v>
      </c>
      <c r="C108" s="2" t="s">
        <v>17</v>
      </c>
      <c r="D108" s="2" t="s">
        <v>30</v>
      </c>
      <c r="E108" s="2" t="s">
        <v>19</v>
      </c>
      <c r="F108" s="2" t="s">
        <v>20</v>
      </c>
      <c r="G108" s="2" t="s">
        <v>21</v>
      </c>
      <c r="H108">
        <v>1</v>
      </c>
      <c r="I108" s="2" t="s">
        <v>526</v>
      </c>
      <c r="J108" s="3">
        <v>1</v>
      </c>
      <c r="K108" s="3">
        <v>5.2488000000000001</v>
      </c>
      <c r="L108" s="507">
        <v>9069.6921148130714</v>
      </c>
      <c r="M108" s="507">
        <v>0</v>
      </c>
      <c r="N108" s="507">
        <v>9069.6921148130714</v>
      </c>
      <c r="O108" s="507">
        <v>9.41918243554219</v>
      </c>
      <c r="P108">
        <v>1</v>
      </c>
      <c r="Q108" s="2" t="s">
        <v>526</v>
      </c>
      <c r="R108" s="3">
        <v>1</v>
      </c>
      <c r="S108" s="3">
        <v>5.2488000000000001</v>
      </c>
      <c r="T108" s="507">
        <v>9069.691708914399</v>
      </c>
      <c r="U108" s="507">
        <v>0</v>
      </c>
      <c r="V108" s="507">
        <v>9069.691708914399</v>
      </c>
      <c r="W108" s="507">
        <v>6.7279536164669009</v>
      </c>
      <c r="X108" s="507">
        <v>9079.1112972486135</v>
      </c>
      <c r="Y108" s="507">
        <v>9076.419662530865</v>
      </c>
      <c r="Z108" s="507">
        <v>47654.439376998525</v>
      </c>
      <c r="AA108" s="507">
        <v>47640.311524692006</v>
      </c>
      <c r="AB108" s="507">
        <v>47640.311524692006</v>
      </c>
      <c r="AC108" s="507">
        <v>14.13</v>
      </c>
      <c r="AD108" s="507">
        <v>14.13</v>
      </c>
      <c r="AE108" s="507">
        <v>0</v>
      </c>
      <c r="AF108" s="507">
        <v>14.13</v>
      </c>
      <c r="AG108" s="507"/>
      <c r="AH108" s="507">
        <v>0</v>
      </c>
      <c r="AI108" s="507">
        <v>0</v>
      </c>
      <c r="AJ108" s="507">
        <v>0</v>
      </c>
      <c r="AK108" s="507">
        <v>0</v>
      </c>
      <c r="AL108" s="507">
        <v>0</v>
      </c>
      <c r="AM108" s="507">
        <v>0</v>
      </c>
      <c r="AN108" s="507"/>
      <c r="AO108" s="507"/>
    </row>
    <row r="109" spans="1:41">
      <c r="A109" s="2" t="s">
        <v>80</v>
      </c>
      <c r="B109" s="2" t="s">
        <v>60</v>
      </c>
      <c r="C109" s="2" t="s">
        <v>17</v>
      </c>
      <c r="D109" s="2" t="s">
        <v>30</v>
      </c>
      <c r="E109" s="2" t="s">
        <v>19</v>
      </c>
      <c r="F109" s="2" t="s">
        <v>20</v>
      </c>
      <c r="G109" s="2" t="s">
        <v>21</v>
      </c>
      <c r="H109">
        <v>1</v>
      </c>
      <c r="I109" s="2" t="s">
        <v>526</v>
      </c>
      <c r="J109" s="3">
        <v>1</v>
      </c>
      <c r="K109" s="3">
        <v>5.2488000000000001</v>
      </c>
      <c r="L109" s="507">
        <v>15462.627683578197</v>
      </c>
      <c r="M109" s="507">
        <v>0</v>
      </c>
      <c r="N109" s="507">
        <v>15462.627683578197</v>
      </c>
      <c r="O109" s="507">
        <v>16.058344598245689</v>
      </c>
      <c r="P109">
        <v>1</v>
      </c>
      <c r="Q109" s="2" t="s">
        <v>526</v>
      </c>
      <c r="R109" s="3">
        <v>1</v>
      </c>
      <c r="S109" s="3">
        <v>5.2488000000000001</v>
      </c>
      <c r="T109" s="507">
        <v>15462.627277687563</v>
      </c>
      <c r="U109" s="507">
        <v>0</v>
      </c>
      <c r="V109" s="507">
        <v>15462.627277687563</v>
      </c>
      <c r="W109" s="507">
        <v>11.470245840512582</v>
      </c>
      <c r="X109" s="507">
        <v>15478.686028176444</v>
      </c>
      <c r="Y109" s="507">
        <v>15474.097523528075</v>
      </c>
      <c r="Z109" s="507">
        <v>81244.527224692516</v>
      </c>
      <c r="AA109" s="507">
        <v>81220.443081494159</v>
      </c>
      <c r="AB109" s="507">
        <v>81220.443081494159</v>
      </c>
      <c r="AC109" s="507">
        <v>24.08</v>
      </c>
      <c r="AD109" s="507">
        <v>24.08</v>
      </c>
      <c r="AE109" s="507">
        <v>0</v>
      </c>
      <c r="AF109" s="507">
        <v>24.08</v>
      </c>
      <c r="AG109" s="507"/>
      <c r="AH109" s="507">
        <v>0</v>
      </c>
      <c r="AI109" s="507">
        <v>0</v>
      </c>
      <c r="AJ109" s="507">
        <v>0</v>
      </c>
      <c r="AK109" s="507">
        <v>0</v>
      </c>
      <c r="AL109" s="507">
        <v>0</v>
      </c>
      <c r="AM109" s="507">
        <v>0</v>
      </c>
      <c r="AN109" s="507"/>
      <c r="AO109" s="507"/>
    </row>
    <row r="110" spans="1:41">
      <c r="A110" s="2" t="s">
        <v>81</v>
      </c>
      <c r="B110" s="2" t="s">
        <v>60</v>
      </c>
      <c r="C110" s="2" t="s">
        <v>17</v>
      </c>
      <c r="D110" s="2" t="s">
        <v>30</v>
      </c>
      <c r="E110" s="2" t="s">
        <v>19</v>
      </c>
      <c r="F110" s="2" t="s">
        <v>20</v>
      </c>
      <c r="G110" s="2" t="s">
        <v>21</v>
      </c>
      <c r="H110">
        <v>1</v>
      </c>
      <c r="I110" s="2" t="s">
        <v>526</v>
      </c>
      <c r="J110" s="3">
        <v>1</v>
      </c>
      <c r="K110" s="3">
        <v>5.2488000000000001</v>
      </c>
      <c r="L110" s="507">
        <v>21628.905374492737</v>
      </c>
      <c r="M110" s="507">
        <v>0</v>
      </c>
      <c r="N110" s="507">
        <v>21628.905374492737</v>
      </c>
      <c r="O110" s="507">
        <v>22.462246978053916</v>
      </c>
      <c r="P110">
        <v>1</v>
      </c>
      <c r="Q110" s="2" t="s">
        <v>526</v>
      </c>
      <c r="R110" s="3">
        <v>1</v>
      </c>
      <c r="S110" s="3">
        <v>5.2488000000000001</v>
      </c>
      <c r="T110" s="507">
        <v>21628.904968598879</v>
      </c>
      <c r="U110" s="507">
        <v>0</v>
      </c>
      <c r="V110" s="507">
        <v>21628.904968598879</v>
      </c>
      <c r="W110" s="507">
        <v>16.044428286754609</v>
      </c>
      <c r="X110" s="507">
        <v>21651.367621470792</v>
      </c>
      <c r="Y110" s="507">
        <v>21644.949396885633</v>
      </c>
      <c r="Z110" s="507">
        <v>113643.6983715759</v>
      </c>
      <c r="AA110" s="507">
        <v>113610.01039437331</v>
      </c>
      <c r="AB110" s="507">
        <v>113610.01039437331</v>
      </c>
      <c r="AC110" s="507">
        <v>33.69</v>
      </c>
      <c r="AD110" s="507">
        <v>33.69</v>
      </c>
      <c r="AE110" s="507">
        <v>0</v>
      </c>
      <c r="AF110" s="507">
        <v>33.69</v>
      </c>
      <c r="AG110" s="507"/>
      <c r="AH110" s="507">
        <v>0</v>
      </c>
      <c r="AI110" s="507">
        <v>0</v>
      </c>
      <c r="AJ110" s="507">
        <v>0</v>
      </c>
      <c r="AK110" s="507">
        <v>0</v>
      </c>
      <c r="AL110" s="507">
        <v>0</v>
      </c>
      <c r="AM110" s="507">
        <v>0</v>
      </c>
      <c r="AN110" s="507"/>
      <c r="AO110" s="507"/>
    </row>
    <row r="111" spans="1:41">
      <c r="A111" s="2" t="s">
        <v>82</v>
      </c>
      <c r="B111" s="2" t="s">
        <v>60</v>
      </c>
      <c r="C111" s="2" t="s">
        <v>17</v>
      </c>
      <c r="D111" s="2" t="s">
        <v>30</v>
      </c>
      <c r="E111" s="2" t="s">
        <v>19</v>
      </c>
      <c r="F111" s="2" t="s">
        <v>20</v>
      </c>
      <c r="G111" s="2" t="s">
        <v>21</v>
      </c>
      <c r="H111">
        <v>1</v>
      </c>
      <c r="I111" s="2" t="s">
        <v>526</v>
      </c>
      <c r="J111" s="3">
        <v>1</v>
      </c>
      <c r="K111" s="3">
        <v>5.2488000000000001</v>
      </c>
      <c r="L111" s="507">
        <v>19241.799518013497</v>
      </c>
      <c r="M111" s="507">
        <v>0</v>
      </c>
      <c r="N111" s="507">
        <v>19241.799518013497</v>
      </c>
      <c r="O111" s="507">
        <v>19.983097385677461</v>
      </c>
      <c r="P111">
        <v>1</v>
      </c>
      <c r="Q111" s="2" t="s">
        <v>526</v>
      </c>
      <c r="R111" s="3">
        <v>1</v>
      </c>
      <c r="S111" s="3">
        <v>5.2488000000000001</v>
      </c>
      <c r="T111" s="507">
        <v>19241.799112123193</v>
      </c>
      <c r="U111" s="507">
        <v>0</v>
      </c>
      <c r="V111" s="507">
        <v>19241.799112123193</v>
      </c>
      <c r="W111" s="507">
        <v>14.273640688678629</v>
      </c>
      <c r="X111" s="507">
        <v>19261.782615399174</v>
      </c>
      <c r="Y111" s="507">
        <v>19256.072752811873</v>
      </c>
      <c r="Z111" s="507">
        <v>101101.24459170719</v>
      </c>
      <c r="AA111" s="507">
        <v>101071.27466495897</v>
      </c>
      <c r="AB111" s="507">
        <v>101071.27466495897</v>
      </c>
      <c r="AC111" s="507">
        <v>29.97</v>
      </c>
      <c r="AD111" s="507">
        <v>29.97</v>
      </c>
      <c r="AE111" s="507">
        <v>0</v>
      </c>
      <c r="AF111" s="507">
        <v>29.97</v>
      </c>
      <c r="AG111" s="507"/>
      <c r="AH111" s="507">
        <v>0</v>
      </c>
      <c r="AI111" s="507">
        <v>0</v>
      </c>
      <c r="AJ111" s="507">
        <v>0</v>
      </c>
      <c r="AK111" s="507">
        <v>0</v>
      </c>
      <c r="AL111" s="507">
        <v>0</v>
      </c>
      <c r="AM111" s="507">
        <v>0</v>
      </c>
      <c r="AN111" s="507"/>
      <c r="AO111" s="507"/>
    </row>
    <row r="112" spans="1:41">
      <c r="A112" s="2" t="s">
        <v>83</v>
      </c>
      <c r="B112" s="2" t="s">
        <v>60</v>
      </c>
      <c r="C112" s="2" t="s">
        <v>17</v>
      </c>
      <c r="D112" s="2" t="s">
        <v>30</v>
      </c>
      <c r="E112" s="2" t="s">
        <v>19</v>
      </c>
      <c r="F112" s="2" t="s">
        <v>20</v>
      </c>
      <c r="G112" s="2" t="s">
        <v>21</v>
      </c>
      <c r="H112">
        <v>1</v>
      </c>
      <c r="I112" s="2" t="s">
        <v>526</v>
      </c>
      <c r="J112" s="3">
        <v>1</v>
      </c>
      <c r="K112" s="3">
        <v>5.2488000000000001</v>
      </c>
      <c r="L112" s="507">
        <v>31078.586964967995</v>
      </c>
      <c r="M112" s="507">
        <v>0</v>
      </c>
      <c r="N112" s="507">
        <v>31078.586964967995</v>
      </c>
      <c r="O112" s="507">
        <v>32.276007265622347</v>
      </c>
      <c r="P112">
        <v>1</v>
      </c>
      <c r="Q112" s="2" t="s">
        <v>526</v>
      </c>
      <c r="R112" s="3">
        <v>1</v>
      </c>
      <c r="S112" s="3">
        <v>5.2488000000000001</v>
      </c>
      <c r="T112" s="507">
        <v>31078.586559077838</v>
      </c>
      <c r="U112" s="507">
        <v>0</v>
      </c>
      <c r="V112" s="507">
        <v>31078.586559077838</v>
      </c>
      <c r="W112" s="507">
        <v>23.054324142901777</v>
      </c>
      <c r="X112" s="507">
        <v>31110.862972233619</v>
      </c>
      <c r="Y112" s="507">
        <v>31101.640883220738</v>
      </c>
      <c r="Z112" s="507">
        <v>163294.69756865982</v>
      </c>
      <c r="AA112" s="507">
        <v>163246.29266784902</v>
      </c>
      <c r="AB112" s="507">
        <v>163246.29266784902</v>
      </c>
      <c r="AC112" s="507">
        <v>48.4</v>
      </c>
      <c r="AD112" s="507">
        <v>48.4</v>
      </c>
      <c r="AE112" s="507">
        <v>0</v>
      </c>
      <c r="AF112" s="507">
        <v>48.4</v>
      </c>
      <c r="AG112" s="507"/>
      <c r="AH112" s="507">
        <v>0</v>
      </c>
      <c r="AI112" s="507">
        <v>0</v>
      </c>
      <c r="AJ112" s="507">
        <v>0</v>
      </c>
      <c r="AK112" s="507">
        <v>0</v>
      </c>
      <c r="AL112" s="507">
        <v>0</v>
      </c>
      <c r="AM112" s="507">
        <v>0</v>
      </c>
      <c r="AN112" s="507"/>
      <c r="AO112" s="507"/>
    </row>
    <row r="113" spans="1:41">
      <c r="A113" s="2" t="s">
        <v>84</v>
      </c>
      <c r="B113" s="2" t="s">
        <v>60</v>
      </c>
      <c r="C113" s="2" t="s">
        <v>17</v>
      </c>
      <c r="D113" s="2" t="s">
        <v>30</v>
      </c>
      <c r="E113" s="2" t="s">
        <v>19</v>
      </c>
      <c r="F113" s="2" t="s">
        <v>20</v>
      </c>
      <c r="G113" s="2" t="s">
        <v>21</v>
      </c>
      <c r="H113">
        <v>1</v>
      </c>
      <c r="I113" s="2" t="s">
        <v>526</v>
      </c>
      <c r="J113" s="3">
        <v>1</v>
      </c>
      <c r="K113" s="3">
        <v>5.2488000000000001</v>
      </c>
      <c r="L113" s="507">
        <v>48122.56893289923</v>
      </c>
      <c r="M113" s="507">
        <v>0</v>
      </c>
      <c r="N113" s="507">
        <v>48122.56893289923</v>
      </c>
      <c r="O113" s="507">
        <v>49.976604767220124</v>
      </c>
      <c r="P113">
        <v>1</v>
      </c>
      <c r="Q113" s="2" t="s">
        <v>526</v>
      </c>
      <c r="R113" s="3">
        <v>1</v>
      </c>
      <c r="S113" s="3">
        <v>5.2488000000000001</v>
      </c>
      <c r="T113" s="507">
        <v>48122.568527007214</v>
      </c>
      <c r="U113" s="507">
        <v>0</v>
      </c>
      <c r="V113" s="507">
        <v>48122.568527007214</v>
      </c>
      <c r="W113" s="507">
        <v>35.697540992134762</v>
      </c>
      <c r="X113" s="507">
        <v>48172.545537666447</v>
      </c>
      <c r="Y113" s="507">
        <v>48158.26606799935</v>
      </c>
      <c r="Z113" s="507">
        <v>252848.05701810366</v>
      </c>
      <c r="AA113" s="507">
        <v>252773.106937715</v>
      </c>
      <c r="AB113" s="507">
        <v>252773.106937715</v>
      </c>
      <c r="AC113" s="507">
        <v>74.95</v>
      </c>
      <c r="AD113" s="507">
        <v>74.95</v>
      </c>
      <c r="AE113" s="507">
        <v>0</v>
      </c>
      <c r="AF113" s="507">
        <v>74.95</v>
      </c>
      <c r="AG113" s="507"/>
      <c r="AH113" s="507">
        <v>0</v>
      </c>
      <c r="AI113" s="507">
        <v>0</v>
      </c>
      <c r="AJ113" s="507">
        <v>0</v>
      </c>
      <c r="AK113" s="507">
        <v>0</v>
      </c>
      <c r="AL113" s="507">
        <v>0</v>
      </c>
      <c r="AM113" s="507">
        <v>0</v>
      </c>
      <c r="AN113" s="507"/>
      <c r="AO113" s="507"/>
    </row>
    <row r="114" spans="1:41">
      <c r="A114" s="2" t="s">
        <v>85</v>
      </c>
      <c r="B114" s="2" t="s">
        <v>60</v>
      </c>
      <c r="C114" s="2" t="s">
        <v>17</v>
      </c>
      <c r="D114" s="2" t="s">
        <v>30</v>
      </c>
      <c r="E114" s="2" t="s">
        <v>19</v>
      </c>
      <c r="F114" s="2" t="s">
        <v>20</v>
      </c>
      <c r="G114" s="2" t="s">
        <v>21</v>
      </c>
      <c r="H114">
        <v>1</v>
      </c>
      <c r="I114" s="2" t="s">
        <v>526</v>
      </c>
      <c r="J114" s="3">
        <v>1</v>
      </c>
      <c r="K114" s="3">
        <v>5.2488000000000001</v>
      </c>
      <c r="L114" s="507">
        <v>35401.143358396635</v>
      </c>
      <c r="M114" s="507">
        <v>0</v>
      </c>
      <c r="N114" s="507">
        <v>35401.143358396635</v>
      </c>
      <c r="O114" s="507">
        <v>36.765078270369472</v>
      </c>
      <c r="P114">
        <v>1</v>
      </c>
      <c r="Q114" s="2" t="s">
        <v>526</v>
      </c>
      <c r="R114" s="3">
        <v>1</v>
      </c>
      <c r="S114" s="3">
        <v>5.2488000000000001</v>
      </c>
      <c r="T114" s="507">
        <v>35401.142952504022</v>
      </c>
      <c r="U114" s="507">
        <v>0</v>
      </c>
      <c r="V114" s="507">
        <v>35401.142952504022</v>
      </c>
      <c r="W114" s="507">
        <v>26.260736351869483</v>
      </c>
      <c r="X114" s="507">
        <v>35437.908436667007</v>
      </c>
      <c r="Y114" s="507">
        <v>35427.403688855891</v>
      </c>
      <c r="Z114" s="507">
        <v>186006.49380237778</v>
      </c>
      <c r="AA114" s="507">
        <v>185951.3564820668</v>
      </c>
      <c r="AB114" s="507">
        <v>185951.3564820668</v>
      </c>
      <c r="AC114" s="507">
        <v>55.14</v>
      </c>
      <c r="AD114" s="507">
        <v>55.14</v>
      </c>
      <c r="AE114" s="507">
        <v>0</v>
      </c>
      <c r="AF114" s="507">
        <v>55.14</v>
      </c>
      <c r="AG114" s="507"/>
      <c r="AH114" s="507">
        <v>0</v>
      </c>
      <c r="AI114" s="507">
        <v>0</v>
      </c>
      <c r="AJ114" s="507">
        <v>0</v>
      </c>
      <c r="AK114" s="507">
        <v>0</v>
      </c>
      <c r="AL114" s="507">
        <v>0</v>
      </c>
      <c r="AM114" s="507">
        <v>0</v>
      </c>
      <c r="AN114" s="507"/>
      <c r="AO114" s="507"/>
    </row>
    <row r="115" spans="1:41">
      <c r="A115" s="2" t="s">
        <v>86</v>
      </c>
      <c r="B115" s="2" t="s">
        <v>60</v>
      </c>
      <c r="C115" s="2" t="s">
        <v>17</v>
      </c>
      <c r="D115" s="2" t="s">
        <v>30</v>
      </c>
      <c r="E115" s="2" t="s">
        <v>19</v>
      </c>
      <c r="F115" s="2" t="s">
        <v>20</v>
      </c>
      <c r="G115" s="2" t="s">
        <v>21</v>
      </c>
      <c r="H115">
        <v>1</v>
      </c>
      <c r="I115" s="2" t="s">
        <v>526</v>
      </c>
      <c r="J115" s="3">
        <v>1</v>
      </c>
      <c r="K115" s="3">
        <v>5.2488000000000001</v>
      </c>
      <c r="L115" s="507">
        <v>5034.2033537470379</v>
      </c>
      <c r="M115" s="507">
        <v>0</v>
      </c>
      <c r="N115" s="507">
        <v>5034.2033537470379</v>
      </c>
      <c r="O115" s="507">
        <v>5.2281775793898557</v>
      </c>
      <c r="P115">
        <v>1</v>
      </c>
      <c r="Q115" s="2" t="s">
        <v>526</v>
      </c>
      <c r="R115" s="3">
        <v>1</v>
      </c>
      <c r="S115" s="3">
        <v>5.2488000000000001</v>
      </c>
      <c r="T115" s="507">
        <v>5034.2029478453305</v>
      </c>
      <c r="U115" s="507">
        <v>0</v>
      </c>
      <c r="V115" s="507">
        <v>5034.2029478453305</v>
      </c>
      <c r="W115" s="507">
        <v>3.7343787232714476</v>
      </c>
      <c r="X115" s="507">
        <v>5039.4315313264278</v>
      </c>
      <c r="Y115" s="507">
        <v>5037.9373265686017</v>
      </c>
      <c r="Z115" s="507">
        <v>26450.968221626154</v>
      </c>
      <c r="AA115" s="507">
        <v>26443.125439693278</v>
      </c>
      <c r="AB115" s="507">
        <v>26443.125439693278</v>
      </c>
      <c r="AC115" s="507">
        <v>7.84</v>
      </c>
      <c r="AD115" s="507">
        <v>7.84</v>
      </c>
      <c r="AE115" s="507">
        <v>0</v>
      </c>
      <c r="AF115" s="507">
        <v>7.84</v>
      </c>
      <c r="AG115" s="507"/>
      <c r="AH115" s="507">
        <v>0</v>
      </c>
      <c r="AI115" s="507">
        <v>0</v>
      </c>
      <c r="AJ115" s="507">
        <v>0</v>
      </c>
      <c r="AK115" s="507">
        <v>0</v>
      </c>
      <c r="AL115" s="507">
        <v>0</v>
      </c>
      <c r="AM115" s="507">
        <v>0</v>
      </c>
      <c r="AN115" s="507"/>
      <c r="AO115" s="507"/>
    </row>
    <row r="116" spans="1:41">
      <c r="A116" s="2" t="s">
        <v>87</v>
      </c>
      <c r="B116" s="2" t="s">
        <v>60</v>
      </c>
      <c r="C116" s="2" t="s">
        <v>17</v>
      </c>
      <c r="D116" s="2" t="s">
        <v>30</v>
      </c>
      <c r="E116" s="2" t="s">
        <v>19</v>
      </c>
      <c r="F116" s="2" t="s">
        <v>20</v>
      </c>
      <c r="G116" s="2" t="s">
        <v>21</v>
      </c>
      <c r="H116">
        <v>1</v>
      </c>
      <c r="I116" s="2" t="s">
        <v>526</v>
      </c>
      <c r="J116" s="3">
        <v>1</v>
      </c>
      <c r="K116" s="3">
        <v>5.2488000000000001</v>
      </c>
      <c r="L116" s="507">
        <v>10496.102731916633</v>
      </c>
      <c r="M116" s="507">
        <v>0</v>
      </c>
      <c r="N116" s="507">
        <v>10496.102731916633</v>
      </c>
      <c r="O116" s="507">
        <v>10.900473744016585</v>
      </c>
      <c r="P116">
        <v>1</v>
      </c>
      <c r="Q116" s="2" t="s">
        <v>526</v>
      </c>
      <c r="R116" s="3">
        <v>1</v>
      </c>
      <c r="S116" s="3">
        <v>5.2488000000000001</v>
      </c>
      <c r="T116" s="507">
        <v>10496.102326023974</v>
      </c>
      <c r="U116" s="507">
        <v>0</v>
      </c>
      <c r="V116" s="507">
        <v>10496.102326023974</v>
      </c>
      <c r="W116" s="507">
        <v>7.7860356046646189</v>
      </c>
      <c r="X116" s="507">
        <v>10507.003205660651</v>
      </c>
      <c r="Y116" s="507">
        <v>10503.888361628638</v>
      </c>
      <c r="Z116" s="507">
        <v>55149.158425871625</v>
      </c>
      <c r="AA116" s="507">
        <v>55132.809232516396</v>
      </c>
      <c r="AB116" s="507">
        <v>55132.809232516396</v>
      </c>
      <c r="AC116" s="507">
        <v>16.350000000000001</v>
      </c>
      <c r="AD116" s="507">
        <v>16.350000000000001</v>
      </c>
      <c r="AE116" s="507">
        <v>0</v>
      </c>
      <c r="AF116" s="507">
        <v>16.350000000000001</v>
      </c>
      <c r="AG116" s="507"/>
      <c r="AH116" s="507">
        <v>0</v>
      </c>
      <c r="AI116" s="507">
        <v>0</v>
      </c>
      <c r="AJ116" s="507">
        <v>0</v>
      </c>
      <c r="AK116" s="507">
        <v>0</v>
      </c>
      <c r="AL116" s="507">
        <v>0</v>
      </c>
      <c r="AM116" s="507">
        <v>0</v>
      </c>
      <c r="AN116" s="507"/>
      <c r="AO116" s="507"/>
    </row>
    <row r="117" spans="1:41">
      <c r="A117" s="2" t="s">
        <v>88</v>
      </c>
      <c r="B117" s="2" t="s">
        <v>60</v>
      </c>
      <c r="C117" s="2" t="s">
        <v>17</v>
      </c>
      <c r="D117" s="2" t="s">
        <v>30</v>
      </c>
      <c r="E117" s="2" t="s">
        <v>19</v>
      </c>
      <c r="F117" s="2" t="s">
        <v>20</v>
      </c>
      <c r="G117" s="2" t="s">
        <v>21</v>
      </c>
      <c r="H117">
        <v>1</v>
      </c>
      <c r="I117" s="2" t="s">
        <v>526</v>
      </c>
      <c r="J117" s="3">
        <v>1</v>
      </c>
      <c r="K117" s="3">
        <v>5.2488000000000001</v>
      </c>
      <c r="L117" s="507">
        <v>2615.7439677116431</v>
      </c>
      <c r="M117" s="507">
        <v>0</v>
      </c>
      <c r="N117" s="507">
        <v>2615.7439677116431</v>
      </c>
      <c r="O117" s="507">
        <v>2.7165095525950611</v>
      </c>
      <c r="P117">
        <v>1</v>
      </c>
      <c r="Q117" s="2" t="s">
        <v>526</v>
      </c>
      <c r="R117" s="3">
        <v>1</v>
      </c>
      <c r="S117" s="3">
        <v>5.2488000000000001</v>
      </c>
      <c r="T117" s="507">
        <v>2615.7435618136133</v>
      </c>
      <c r="U117" s="507">
        <v>0</v>
      </c>
      <c r="V117" s="507">
        <v>2615.7435618136133</v>
      </c>
      <c r="W117" s="507">
        <v>1.9403469030905032</v>
      </c>
      <c r="X117" s="507">
        <v>2618.4604772642383</v>
      </c>
      <c r="Y117" s="507">
        <v>2617.6839087167036</v>
      </c>
      <c r="Z117" s="507">
        <v>13743.775353064535</v>
      </c>
      <c r="AA117" s="507">
        <v>13739.699300072234</v>
      </c>
      <c r="AB117" s="507">
        <v>13739.699300072234</v>
      </c>
      <c r="AC117" s="507">
        <v>4.08</v>
      </c>
      <c r="AD117" s="507">
        <v>4.08</v>
      </c>
      <c r="AE117" s="507">
        <v>0</v>
      </c>
      <c r="AF117" s="507">
        <v>4.08</v>
      </c>
      <c r="AG117" s="507"/>
      <c r="AH117" s="507">
        <v>0</v>
      </c>
      <c r="AI117" s="507">
        <v>0</v>
      </c>
      <c r="AJ117" s="507">
        <v>0</v>
      </c>
      <c r="AK117" s="507">
        <v>0</v>
      </c>
      <c r="AL117" s="507">
        <v>0</v>
      </c>
      <c r="AM117" s="507">
        <v>0</v>
      </c>
      <c r="AN117" s="507"/>
      <c r="AO117" s="507"/>
    </row>
    <row r="118" spans="1:41">
      <c r="A118" s="2" t="s">
        <v>89</v>
      </c>
      <c r="B118" s="2" t="s">
        <v>60</v>
      </c>
      <c r="C118" s="2" t="s">
        <v>17</v>
      </c>
      <c r="D118" s="2" t="s">
        <v>30</v>
      </c>
      <c r="E118" s="2" t="s">
        <v>19</v>
      </c>
      <c r="F118" s="2" t="s">
        <v>20</v>
      </c>
      <c r="G118" s="2" t="s">
        <v>21</v>
      </c>
      <c r="H118">
        <v>1</v>
      </c>
      <c r="I118" s="2" t="s">
        <v>526</v>
      </c>
      <c r="J118" s="3">
        <v>1</v>
      </c>
      <c r="K118" s="3">
        <v>5.2488000000000001</v>
      </c>
      <c r="L118" s="507">
        <v>23477.527917147727</v>
      </c>
      <c r="M118" s="507">
        <v>0</v>
      </c>
      <c r="N118" s="507">
        <v>23477.527917147727</v>
      </c>
      <c r="O118" s="507">
        <v>24.382008957052786</v>
      </c>
      <c r="P118">
        <v>1</v>
      </c>
      <c r="Q118" s="2" t="s">
        <v>526</v>
      </c>
      <c r="R118" s="3">
        <v>1</v>
      </c>
      <c r="S118" s="3">
        <v>5.2488000000000001</v>
      </c>
      <c r="T118" s="507">
        <v>23477.52751125742</v>
      </c>
      <c r="U118" s="507">
        <v>0</v>
      </c>
      <c r="V118" s="507">
        <v>23477.52751125742</v>
      </c>
      <c r="W118" s="507">
        <v>17.415720382518142</v>
      </c>
      <c r="X118" s="507">
        <v>23501.909926104781</v>
      </c>
      <c r="Y118" s="507">
        <v>23494.94323163994</v>
      </c>
      <c r="Z118" s="507">
        <v>123356.82482013878</v>
      </c>
      <c r="AA118" s="507">
        <v>123320.25803423172</v>
      </c>
      <c r="AB118" s="507">
        <v>123320.25803423172</v>
      </c>
      <c r="AC118" s="507">
        <v>36.57</v>
      </c>
      <c r="AD118" s="507">
        <v>36.57</v>
      </c>
      <c r="AE118" s="507">
        <v>0</v>
      </c>
      <c r="AF118" s="507">
        <v>36.57</v>
      </c>
      <c r="AG118" s="507"/>
      <c r="AH118" s="507">
        <v>0</v>
      </c>
      <c r="AI118" s="507">
        <v>0</v>
      </c>
      <c r="AJ118" s="507">
        <v>0</v>
      </c>
      <c r="AK118" s="507">
        <v>0</v>
      </c>
      <c r="AL118" s="507">
        <v>0</v>
      </c>
      <c r="AM118" s="507">
        <v>0</v>
      </c>
      <c r="AN118" s="507"/>
      <c r="AO118" s="507"/>
    </row>
    <row r="119" spans="1:41">
      <c r="A119" s="2" t="s">
        <v>90</v>
      </c>
      <c r="B119" s="2" t="s">
        <v>60</v>
      </c>
      <c r="C119" s="2" t="s">
        <v>17</v>
      </c>
      <c r="D119" s="2" t="s">
        <v>30</v>
      </c>
      <c r="E119" s="2" t="s">
        <v>19</v>
      </c>
      <c r="F119" s="2" t="s">
        <v>20</v>
      </c>
      <c r="G119" s="2" t="s">
        <v>21</v>
      </c>
      <c r="H119">
        <v>1</v>
      </c>
      <c r="I119" s="2" t="s">
        <v>526</v>
      </c>
      <c r="J119" s="3">
        <v>1</v>
      </c>
      <c r="K119" s="3">
        <v>5.2488000000000001</v>
      </c>
      <c r="L119" s="507">
        <v>25404.240150276419</v>
      </c>
      <c r="M119" s="507">
        <v>0</v>
      </c>
      <c r="N119" s="507">
        <v>25404.240150276419</v>
      </c>
      <c r="O119" s="507">
        <v>26.383008332931784</v>
      </c>
      <c r="P119">
        <v>1</v>
      </c>
      <c r="Q119" s="2" t="s">
        <v>526</v>
      </c>
      <c r="R119" s="3">
        <v>1</v>
      </c>
      <c r="S119" s="3">
        <v>5.2488000000000001</v>
      </c>
      <c r="T119" s="507">
        <v>25404.239744385195</v>
      </c>
      <c r="U119" s="507">
        <v>0</v>
      </c>
      <c r="V119" s="507">
        <v>25404.239744385195</v>
      </c>
      <c r="W119" s="507">
        <v>18.845005651001777</v>
      </c>
      <c r="X119" s="507">
        <v>25430.623158609349</v>
      </c>
      <c r="Y119" s="507">
        <v>25423.084750036196</v>
      </c>
      <c r="Z119" s="507">
        <v>133480.25483490876</v>
      </c>
      <c r="AA119" s="507">
        <v>133440.68723598999</v>
      </c>
      <c r="AB119" s="507">
        <v>133440.68723598999</v>
      </c>
      <c r="AC119" s="507">
        <v>39.57</v>
      </c>
      <c r="AD119" s="507">
        <v>39.57</v>
      </c>
      <c r="AE119" s="507">
        <v>0</v>
      </c>
      <c r="AF119" s="507">
        <v>39.57</v>
      </c>
      <c r="AG119" s="507"/>
      <c r="AH119" s="507">
        <v>0</v>
      </c>
      <c r="AI119" s="507">
        <v>0</v>
      </c>
      <c r="AJ119" s="507">
        <v>0</v>
      </c>
      <c r="AK119" s="507">
        <v>0</v>
      </c>
      <c r="AL119" s="507">
        <v>0</v>
      </c>
      <c r="AM119" s="507">
        <v>0</v>
      </c>
      <c r="AN119" s="507"/>
      <c r="AO119" s="507"/>
    </row>
    <row r="120" spans="1:41">
      <c r="A120" s="2" t="s">
        <v>91</v>
      </c>
      <c r="B120" s="2" t="s">
        <v>60</v>
      </c>
      <c r="C120" s="2" t="s">
        <v>17</v>
      </c>
      <c r="D120" s="2" t="s">
        <v>30</v>
      </c>
      <c r="E120" s="2" t="s">
        <v>19</v>
      </c>
      <c r="F120" s="2" t="s">
        <v>20</v>
      </c>
      <c r="G120" s="2" t="s">
        <v>21</v>
      </c>
      <c r="H120">
        <v>1</v>
      </c>
      <c r="I120" s="2" t="s">
        <v>526</v>
      </c>
      <c r="J120" s="3">
        <v>1</v>
      </c>
      <c r="K120" s="3">
        <v>5.2488000000000001</v>
      </c>
      <c r="L120" s="507">
        <v>2083.1329912706638</v>
      </c>
      <c r="M120" s="507">
        <v>0</v>
      </c>
      <c r="N120" s="507">
        <v>2083.1329912706638</v>
      </c>
      <c r="O120" s="507">
        <v>2.1633438934772733</v>
      </c>
      <c r="P120">
        <v>1</v>
      </c>
      <c r="Q120" s="2" t="s">
        <v>526</v>
      </c>
      <c r="R120" s="3">
        <v>1</v>
      </c>
      <c r="S120" s="3">
        <v>5.2488000000000001</v>
      </c>
      <c r="T120" s="507">
        <v>2083.1325854323773</v>
      </c>
      <c r="U120" s="507">
        <v>0</v>
      </c>
      <c r="V120" s="507">
        <v>2083.1325854323773</v>
      </c>
      <c r="W120" s="507">
        <v>1.5453123759948386</v>
      </c>
      <c r="X120" s="507">
        <v>2085.2963351641411</v>
      </c>
      <c r="Y120" s="507">
        <v>2084.6778978083721</v>
      </c>
      <c r="Z120" s="507">
        <v>10945.303404009544</v>
      </c>
      <c r="AA120" s="507">
        <v>10942.057350016585</v>
      </c>
      <c r="AB120" s="507">
        <v>10942.057350016585</v>
      </c>
      <c r="AC120" s="507">
        <v>3.25</v>
      </c>
      <c r="AD120" s="507">
        <v>3.25</v>
      </c>
      <c r="AE120" s="507">
        <v>0</v>
      </c>
      <c r="AF120" s="507">
        <v>3.25</v>
      </c>
      <c r="AG120" s="507"/>
      <c r="AH120" s="507">
        <v>0</v>
      </c>
      <c r="AI120" s="507">
        <v>0</v>
      </c>
      <c r="AJ120" s="507">
        <v>0</v>
      </c>
      <c r="AK120" s="507">
        <v>0</v>
      </c>
      <c r="AL120" s="507">
        <v>0</v>
      </c>
      <c r="AM120" s="507">
        <v>0</v>
      </c>
      <c r="AN120" s="507"/>
      <c r="AO120" s="507"/>
    </row>
    <row r="121" spans="1:41">
      <c r="A121" s="2" t="s">
        <v>92</v>
      </c>
      <c r="B121" s="2" t="s">
        <v>60</v>
      </c>
      <c r="C121" s="2" t="s">
        <v>17</v>
      </c>
      <c r="D121" s="2" t="s">
        <v>30</v>
      </c>
      <c r="E121" s="2" t="s">
        <v>19</v>
      </c>
      <c r="F121" s="2" t="s">
        <v>20</v>
      </c>
      <c r="G121" s="2" t="s">
        <v>21</v>
      </c>
      <c r="H121">
        <v>1</v>
      </c>
      <c r="I121" s="2" t="s">
        <v>526</v>
      </c>
      <c r="J121" s="3">
        <v>1</v>
      </c>
      <c r="K121" s="3">
        <v>5.2488000000000001</v>
      </c>
      <c r="L121" s="507">
        <v>2589.2503602911902</v>
      </c>
      <c r="M121" s="507">
        <v>0</v>
      </c>
      <c r="N121" s="507">
        <v>2589.2503602911902</v>
      </c>
      <c r="O121" s="507">
        <v>2.689039077473093</v>
      </c>
      <c r="P121">
        <v>1</v>
      </c>
      <c r="Q121" s="2" t="s">
        <v>526</v>
      </c>
      <c r="R121" s="3">
        <v>1</v>
      </c>
      <c r="S121" s="3">
        <v>5.2488000000000001</v>
      </c>
      <c r="T121" s="507">
        <v>2589.2499543953377</v>
      </c>
      <c r="U121" s="507">
        <v>0</v>
      </c>
      <c r="V121" s="507">
        <v>2589.2499543953377</v>
      </c>
      <c r="W121" s="507">
        <v>1.9207418970958354</v>
      </c>
      <c r="X121" s="507">
        <v>2591.9393993686631</v>
      </c>
      <c r="Y121" s="507">
        <v>2591.1706962924336</v>
      </c>
      <c r="Z121" s="507">
        <v>13604.57151940624</v>
      </c>
      <c r="AA121" s="507">
        <v>13600.536750699726</v>
      </c>
      <c r="AB121" s="507">
        <v>13600.536750699726</v>
      </c>
      <c r="AC121" s="507">
        <v>4.03</v>
      </c>
      <c r="AD121" s="507">
        <v>4.03</v>
      </c>
      <c r="AE121" s="507">
        <v>0</v>
      </c>
      <c r="AF121" s="507">
        <v>4.03</v>
      </c>
      <c r="AG121" s="507"/>
      <c r="AH121" s="507">
        <v>0</v>
      </c>
      <c r="AI121" s="507">
        <v>0</v>
      </c>
      <c r="AJ121" s="507">
        <v>0</v>
      </c>
      <c r="AK121" s="507">
        <v>0</v>
      </c>
      <c r="AL121" s="507">
        <v>0</v>
      </c>
      <c r="AM121" s="507">
        <v>0</v>
      </c>
      <c r="AN121" s="507"/>
      <c r="AO121" s="507"/>
    </row>
    <row r="122" spans="1:41">
      <c r="A122" s="2" t="s">
        <v>93</v>
      </c>
      <c r="B122" s="2" t="s">
        <v>94</v>
      </c>
      <c r="C122" s="2" t="s">
        <v>17</v>
      </c>
      <c r="D122" s="2" t="s">
        <v>95</v>
      </c>
      <c r="E122" s="2" t="s">
        <v>19</v>
      </c>
      <c r="F122" s="2" t="s">
        <v>20</v>
      </c>
      <c r="G122" s="2" t="s">
        <v>21</v>
      </c>
      <c r="H122">
        <v>1</v>
      </c>
      <c r="I122" s="2" t="s">
        <v>526</v>
      </c>
      <c r="J122" s="3">
        <v>1</v>
      </c>
      <c r="K122" s="3">
        <v>5.2488000000000001</v>
      </c>
      <c r="L122" s="507">
        <v>203329.98126883851</v>
      </c>
      <c r="M122" s="507">
        <v>0</v>
      </c>
      <c r="N122" s="507">
        <v>203329.98126883851</v>
      </c>
      <c r="O122" s="507">
        <v>212.01391133979632</v>
      </c>
      <c r="P122">
        <v>1</v>
      </c>
      <c r="Q122" s="2" t="s">
        <v>526</v>
      </c>
      <c r="R122" s="3">
        <v>1</v>
      </c>
      <c r="S122" s="3">
        <v>5.2488000000000001</v>
      </c>
      <c r="T122" s="507">
        <v>203329.98126883851</v>
      </c>
      <c r="U122" s="507">
        <v>0</v>
      </c>
      <c r="V122" s="507">
        <v>203329.98126883851</v>
      </c>
      <c r="W122" s="507">
        <v>151.43842897121098</v>
      </c>
      <c r="X122" s="507">
        <v>203541.99518017832</v>
      </c>
      <c r="Y122" s="507">
        <v>203481.41969780973</v>
      </c>
      <c r="Z122" s="507">
        <v>1068351.22430172</v>
      </c>
      <c r="AA122" s="507">
        <v>1068033.2757098638</v>
      </c>
      <c r="AB122" s="507">
        <v>1068033.2757098638</v>
      </c>
      <c r="AC122" s="507">
        <v>317.95</v>
      </c>
      <c r="AD122" s="507">
        <v>317.95</v>
      </c>
      <c r="AE122" s="507">
        <v>0</v>
      </c>
      <c r="AF122" s="507">
        <v>317.95</v>
      </c>
      <c r="AG122" s="507"/>
      <c r="AH122" s="507">
        <v>0</v>
      </c>
      <c r="AI122" s="507">
        <v>0</v>
      </c>
      <c r="AJ122" s="507">
        <v>0</v>
      </c>
      <c r="AK122" s="507">
        <v>0</v>
      </c>
      <c r="AL122" s="507">
        <v>0</v>
      </c>
      <c r="AM122" s="507">
        <v>0</v>
      </c>
      <c r="AN122" s="507"/>
      <c r="AO122" s="507"/>
    </row>
    <row r="123" spans="1:41">
      <c r="A123" s="2" t="s">
        <v>96</v>
      </c>
      <c r="B123" s="2" t="s">
        <v>60</v>
      </c>
      <c r="C123" s="2" t="s">
        <v>17</v>
      </c>
      <c r="D123" s="2" t="s">
        <v>30</v>
      </c>
      <c r="E123" s="2" t="s">
        <v>19</v>
      </c>
      <c r="F123" s="2" t="s">
        <v>20</v>
      </c>
      <c r="G123" s="2" t="s">
        <v>21</v>
      </c>
      <c r="H123">
        <v>1</v>
      </c>
      <c r="I123" s="2" t="s">
        <v>526</v>
      </c>
      <c r="J123" s="3">
        <v>1</v>
      </c>
      <c r="K123" s="3">
        <v>5.2488000000000001</v>
      </c>
      <c r="L123" s="507">
        <v>7957.9794742005124</v>
      </c>
      <c r="M123" s="507">
        <v>0</v>
      </c>
      <c r="N123" s="507">
        <v>7957.9794742005124</v>
      </c>
      <c r="O123" s="507">
        <v>8.2646016900467192</v>
      </c>
      <c r="P123">
        <v>1</v>
      </c>
      <c r="Q123" s="2" t="s">
        <v>526</v>
      </c>
      <c r="R123" s="3">
        <v>1</v>
      </c>
      <c r="S123" s="3">
        <v>5.2488000000000001</v>
      </c>
      <c r="T123" s="507">
        <v>7957.979068302584</v>
      </c>
      <c r="U123" s="507">
        <v>0</v>
      </c>
      <c r="V123" s="507">
        <v>7957.979068302584</v>
      </c>
      <c r="W123" s="507">
        <v>5.9032530846789708</v>
      </c>
      <c r="X123" s="507">
        <v>7966.2440758905595</v>
      </c>
      <c r="Y123" s="507">
        <v>7963.8823213872629</v>
      </c>
      <c r="Z123" s="507">
        <v>41813.221905534367</v>
      </c>
      <c r="AA123" s="507">
        <v>41800.825528497466</v>
      </c>
      <c r="AB123" s="507">
        <v>41800.825528497466</v>
      </c>
      <c r="AC123" s="507">
        <v>12.4</v>
      </c>
      <c r="AD123" s="507">
        <v>12.4</v>
      </c>
      <c r="AE123" s="507">
        <v>0</v>
      </c>
      <c r="AF123" s="507">
        <v>12.4</v>
      </c>
      <c r="AG123" s="507"/>
      <c r="AH123" s="507">
        <v>0</v>
      </c>
      <c r="AI123" s="507">
        <v>0</v>
      </c>
      <c r="AJ123" s="507">
        <v>0</v>
      </c>
      <c r="AK123" s="507">
        <v>0</v>
      </c>
      <c r="AL123" s="507">
        <v>0</v>
      </c>
      <c r="AM123" s="507">
        <v>0</v>
      </c>
      <c r="AN123" s="507"/>
      <c r="AO123" s="507"/>
    </row>
    <row r="124" spans="1:41">
      <c r="A124" s="2" t="s">
        <v>97</v>
      </c>
      <c r="B124" s="2" t="s">
        <v>60</v>
      </c>
      <c r="C124" s="2" t="s">
        <v>17</v>
      </c>
      <c r="D124" s="2" t="s">
        <v>30</v>
      </c>
      <c r="E124" s="2" t="s">
        <v>19</v>
      </c>
      <c r="F124" s="2" t="s">
        <v>20</v>
      </c>
      <c r="G124" s="2" t="s">
        <v>21</v>
      </c>
      <c r="H124">
        <v>1</v>
      </c>
      <c r="I124" s="2" t="s">
        <v>526</v>
      </c>
      <c r="J124" s="3">
        <v>1</v>
      </c>
      <c r="K124" s="3">
        <v>5.2488000000000001</v>
      </c>
      <c r="L124" s="507">
        <v>17000.71578414286</v>
      </c>
      <c r="M124" s="507">
        <v>0</v>
      </c>
      <c r="N124" s="507">
        <v>17000.71578414286</v>
      </c>
      <c r="O124" s="507">
        <v>17.65573963975752</v>
      </c>
      <c r="P124">
        <v>1</v>
      </c>
      <c r="Q124" s="2" t="s">
        <v>526</v>
      </c>
      <c r="R124" s="3">
        <v>1</v>
      </c>
      <c r="S124" s="3">
        <v>5.2488000000000001</v>
      </c>
      <c r="T124" s="507">
        <v>17000.715378248373</v>
      </c>
      <c r="U124" s="507">
        <v>0</v>
      </c>
      <c r="V124" s="507">
        <v>17000.715378248373</v>
      </c>
      <c r="W124" s="507">
        <v>12.611208759977552</v>
      </c>
      <c r="X124" s="507">
        <v>17018.371523782618</v>
      </c>
      <c r="Y124" s="507">
        <v>17013.326587008349</v>
      </c>
      <c r="Z124" s="507">
        <v>89326.028454030209</v>
      </c>
      <c r="AA124" s="507">
        <v>89299.548589889426</v>
      </c>
      <c r="AB124" s="507">
        <v>89299.548589889426</v>
      </c>
      <c r="AC124" s="507">
        <v>26.48</v>
      </c>
      <c r="AD124" s="507">
        <v>26.48</v>
      </c>
      <c r="AE124" s="507">
        <v>0</v>
      </c>
      <c r="AF124" s="507">
        <v>26.48</v>
      </c>
      <c r="AG124" s="507"/>
      <c r="AH124" s="507">
        <v>0</v>
      </c>
      <c r="AI124" s="507">
        <v>0</v>
      </c>
      <c r="AJ124" s="507">
        <v>0</v>
      </c>
      <c r="AK124" s="507">
        <v>0</v>
      </c>
      <c r="AL124" s="507">
        <v>0</v>
      </c>
      <c r="AM124" s="507">
        <v>0</v>
      </c>
      <c r="AN124" s="507"/>
      <c r="AO124" s="507"/>
    </row>
    <row r="125" spans="1:41">
      <c r="A125" s="2" t="s">
        <v>98</v>
      </c>
      <c r="B125" s="2" t="s">
        <v>60</v>
      </c>
      <c r="C125" s="2" t="s">
        <v>17</v>
      </c>
      <c r="D125" s="2" t="s">
        <v>30</v>
      </c>
      <c r="E125" s="2" t="s">
        <v>19</v>
      </c>
      <c r="F125" s="2" t="s">
        <v>20</v>
      </c>
      <c r="G125" s="2" t="s">
        <v>21</v>
      </c>
      <c r="H125">
        <v>1</v>
      </c>
      <c r="I125" s="2" t="s">
        <v>526</v>
      </c>
      <c r="J125" s="3">
        <v>1</v>
      </c>
      <c r="K125" s="3">
        <v>5.2488000000000001</v>
      </c>
      <c r="L125" s="507">
        <v>5767.3444037064928</v>
      </c>
      <c r="M125" s="507">
        <v>0</v>
      </c>
      <c r="N125" s="507">
        <v>5767.3444037064928</v>
      </c>
      <c r="O125" s="507">
        <v>5.9896021515638731</v>
      </c>
      <c r="P125">
        <v>1</v>
      </c>
      <c r="Q125" s="2" t="s">
        <v>526</v>
      </c>
      <c r="R125" s="3">
        <v>1</v>
      </c>
      <c r="S125" s="3">
        <v>5.2488000000000001</v>
      </c>
      <c r="T125" s="507">
        <v>5767.3439978075758</v>
      </c>
      <c r="U125" s="507">
        <v>0</v>
      </c>
      <c r="V125" s="507">
        <v>5767.3439978075758</v>
      </c>
      <c r="W125" s="507">
        <v>4.2782701832694165</v>
      </c>
      <c r="X125" s="507">
        <v>5773.334005858057</v>
      </c>
      <c r="Y125" s="507">
        <v>5771.6222679908451</v>
      </c>
      <c r="Z125" s="507">
        <v>30303.075529947771</v>
      </c>
      <c r="AA125" s="507">
        <v>30294.090960230347</v>
      </c>
      <c r="AB125" s="507">
        <v>30294.090960230347</v>
      </c>
      <c r="AC125" s="507">
        <v>8.98</v>
      </c>
      <c r="AD125" s="507">
        <v>8.98</v>
      </c>
      <c r="AE125" s="507">
        <v>0</v>
      </c>
      <c r="AF125" s="507">
        <v>8.98</v>
      </c>
      <c r="AG125" s="507"/>
      <c r="AH125" s="507">
        <v>0</v>
      </c>
      <c r="AI125" s="507">
        <v>0</v>
      </c>
      <c r="AJ125" s="507">
        <v>0</v>
      </c>
      <c r="AK125" s="507">
        <v>0</v>
      </c>
      <c r="AL125" s="507">
        <v>0</v>
      </c>
      <c r="AM125" s="507">
        <v>0</v>
      </c>
      <c r="AN125" s="507"/>
      <c r="AO125" s="507"/>
    </row>
    <row r="126" spans="1:41">
      <c r="A126" s="2" t="s">
        <v>99</v>
      </c>
      <c r="B126" s="2" t="s">
        <v>60</v>
      </c>
      <c r="C126" s="2" t="s">
        <v>17</v>
      </c>
      <c r="D126" s="2" t="s">
        <v>30</v>
      </c>
      <c r="E126" s="2" t="s">
        <v>19</v>
      </c>
      <c r="F126" s="2" t="s">
        <v>20</v>
      </c>
      <c r="G126" s="2" t="s">
        <v>21</v>
      </c>
      <c r="H126">
        <v>1</v>
      </c>
      <c r="I126" s="2" t="s">
        <v>526</v>
      </c>
      <c r="J126" s="3">
        <v>1</v>
      </c>
      <c r="K126" s="3">
        <v>5.2488000000000001</v>
      </c>
      <c r="L126" s="507">
        <v>10043.002513584641</v>
      </c>
      <c r="M126" s="507">
        <v>0</v>
      </c>
      <c r="N126" s="507">
        <v>10043.002513584641</v>
      </c>
      <c r="O126" s="507">
        <v>10.429954201823298</v>
      </c>
      <c r="P126">
        <v>1</v>
      </c>
      <c r="Q126" s="2" t="s">
        <v>526</v>
      </c>
      <c r="R126" s="3">
        <v>1</v>
      </c>
      <c r="S126" s="3">
        <v>5.2488000000000001</v>
      </c>
      <c r="T126" s="507">
        <v>10043.002107688175</v>
      </c>
      <c r="U126" s="507">
        <v>0</v>
      </c>
      <c r="V126" s="507">
        <v>10043.002107688175</v>
      </c>
      <c r="W126" s="507">
        <v>7.4499334490371005</v>
      </c>
      <c r="X126" s="507">
        <v>10053.432467786464</v>
      </c>
      <c r="Y126" s="507">
        <v>10050.452041137212</v>
      </c>
      <c r="Z126" s="507">
        <v>52768.456336917596</v>
      </c>
      <c r="AA126" s="507">
        <v>52752.812673521003</v>
      </c>
      <c r="AB126" s="507">
        <v>52752.812673521003</v>
      </c>
      <c r="AC126" s="507">
        <v>15.64</v>
      </c>
      <c r="AD126" s="507">
        <v>15.64</v>
      </c>
      <c r="AE126" s="507">
        <v>0</v>
      </c>
      <c r="AF126" s="507">
        <v>15.64</v>
      </c>
      <c r="AG126" s="507"/>
      <c r="AH126" s="507">
        <v>0</v>
      </c>
      <c r="AI126" s="507">
        <v>0</v>
      </c>
      <c r="AJ126" s="507">
        <v>0</v>
      </c>
      <c r="AK126" s="507">
        <v>0</v>
      </c>
      <c r="AL126" s="507">
        <v>0</v>
      </c>
      <c r="AM126" s="507">
        <v>0</v>
      </c>
      <c r="AN126" s="507"/>
      <c r="AO126" s="507"/>
    </row>
    <row r="127" spans="1:41">
      <c r="A127" s="2" t="s">
        <v>100</v>
      </c>
      <c r="B127" s="2" t="s">
        <v>60</v>
      </c>
      <c r="C127" s="2" t="s">
        <v>17</v>
      </c>
      <c r="D127" s="2" t="s">
        <v>30</v>
      </c>
      <c r="E127" s="2" t="s">
        <v>19</v>
      </c>
      <c r="F127" s="2" t="s">
        <v>20</v>
      </c>
      <c r="G127" s="2" t="s">
        <v>21</v>
      </c>
      <c r="H127">
        <v>1</v>
      </c>
      <c r="I127" s="2" t="s">
        <v>526</v>
      </c>
      <c r="J127" s="3">
        <v>1</v>
      </c>
      <c r="K127" s="3">
        <v>5.2488000000000001</v>
      </c>
      <c r="L127" s="507">
        <v>20498.836836970968</v>
      </c>
      <c r="M127" s="507">
        <v>0</v>
      </c>
      <c r="N127" s="507">
        <v>20498.836836970968</v>
      </c>
      <c r="O127" s="507">
        <v>21.288648221555377</v>
      </c>
      <c r="P127">
        <v>1</v>
      </c>
      <c r="Q127" s="2" t="s">
        <v>526</v>
      </c>
      <c r="R127" s="3">
        <v>1</v>
      </c>
      <c r="S127" s="3">
        <v>5.2488000000000001</v>
      </c>
      <c r="T127" s="507">
        <v>20498.83643107456</v>
      </c>
      <c r="U127" s="507">
        <v>0</v>
      </c>
      <c r="V127" s="507">
        <v>20498.83643107456</v>
      </c>
      <c r="W127" s="507">
        <v>15.206109921584222</v>
      </c>
      <c r="X127" s="507">
        <v>20520.125485192522</v>
      </c>
      <c r="Y127" s="507">
        <v>20514.042540996143</v>
      </c>
      <c r="Z127" s="507">
        <v>107706.03464667851</v>
      </c>
      <c r="AA127" s="507">
        <v>107674.10648918056</v>
      </c>
      <c r="AB127" s="507">
        <v>107674.10648918056</v>
      </c>
      <c r="AC127" s="507">
        <v>31.93</v>
      </c>
      <c r="AD127" s="507">
        <v>31.93</v>
      </c>
      <c r="AE127" s="507">
        <v>0</v>
      </c>
      <c r="AF127" s="507">
        <v>31.93</v>
      </c>
      <c r="AG127" s="507"/>
      <c r="AH127" s="507">
        <v>0</v>
      </c>
      <c r="AI127" s="507">
        <v>0</v>
      </c>
      <c r="AJ127" s="507">
        <v>0</v>
      </c>
      <c r="AK127" s="507">
        <v>0</v>
      </c>
      <c r="AL127" s="507">
        <v>0</v>
      </c>
      <c r="AM127" s="507">
        <v>0</v>
      </c>
      <c r="AN127" s="507"/>
      <c r="AO127" s="507"/>
    </row>
    <row r="128" spans="1:41">
      <c r="A128" s="2" t="s">
        <v>101</v>
      </c>
      <c r="B128" s="2" t="s">
        <v>60</v>
      </c>
      <c r="C128" s="2" t="s">
        <v>17</v>
      </c>
      <c r="D128" s="2" t="s">
        <v>30</v>
      </c>
      <c r="E128" s="2" t="s">
        <v>19</v>
      </c>
      <c r="F128" s="2" t="s">
        <v>20</v>
      </c>
      <c r="G128" s="2" t="s">
        <v>21</v>
      </c>
      <c r="H128">
        <v>1</v>
      </c>
      <c r="I128" s="2" t="s">
        <v>526</v>
      </c>
      <c r="J128" s="3">
        <v>1</v>
      </c>
      <c r="K128" s="3">
        <v>5.2488000000000001</v>
      </c>
      <c r="L128" s="507">
        <v>6126.0994676676937</v>
      </c>
      <c r="M128" s="507">
        <v>0</v>
      </c>
      <c r="N128" s="507">
        <v>6126.0994676676937</v>
      </c>
      <c r="O128" s="507">
        <v>6.3620968043385657</v>
      </c>
      <c r="P128">
        <v>1</v>
      </c>
      <c r="Q128" s="2" t="s">
        <v>526</v>
      </c>
      <c r="R128" s="3">
        <v>1</v>
      </c>
      <c r="S128" s="3">
        <v>5.2488000000000001</v>
      </c>
      <c r="T128" s="507">
        <v>6126.0990617894577</v>
      </c>
      <c r="U128" s="507">
        <v>0</v>
      </c>
      <c r="V128" s="507">
        <v>6126.0990617894577</v>
      </c>
      <c r="W128" s="507">
        <v>4.5444048601000766</v>
      </c>
      <c r="X128" s="507">
        <v>6132.4615644720325</v>
      </c>
      <c r="Y128" s="507">
        <v>6130.6434666495579</v>
      </c>
      <c r="Z128" s="507">
        <v>32188.064259600804</v>
      </c>
      <c r="AA128" s="507">
        <v>32178.521427750202</v>
      </c>
      <c r="AB128" s="507">
        <v>32178.521427750202</v>
      </c>
      <c r="AC128" s="507">
        <v>9.5399999999999991</v>
      </c>
      <c r="AD128" s="507">
        <v>9.5399999999999991</v>
      </c>
      <c r="AE128" s="507">
        <v>0</v>
      </c>
      <c r="AF128" s="507">
        <v>9.5399999999999991</v>
      </c>
      <c r="AG128" s="507"/>
      <c r="AH128" s="507">
        <v>0</v>
      </c>
      <c r="AI128" s="507">
        <v>0</v>
      </c>
      <c r="AJ128" s="507">
        <v>0</v>
      </c>
      <c r="AK128" s="507">
        <v>0</v>
      </c>
      <c r="AL128" s="507">
        <v>0</v>
      </c>
      <c r="AM128" s="507">
        <v>0</v>
      </c>
      <c r="AN128" s="507"/>
      <c r="AO128" s="507"/>
    </row>
    <row r="129" spans="1:41">
      <c r="A129" s="2" t="s">
        <v>102</v>
      </c>
      <c r="B129" s="2" t="s">
        <v>60</v>
      </c>
      <c r="C129" s="2" t="s">
        <v>17</v>
      </c>
      <c r="D129" s="2" t="s">
        <v>30</v>
      </c>
      <c r="E129" s="2" t="s">
        <v>19</v>
      </c>
      <c r="F129" s="2" t="s">
        <v>20</v>
      </c>
      <c r="G129" s="2" t="s">
        <v>21</v>
      </c>
      <c r="H129">
        <v>1</v>
      </c>
      <c r="I129" s="2" t="s">
        <v>526</v>
      </c>
      <c r="J129" s="3">
        <v>1</v>
      </c>
      <c r="K129" s="3">
        <v>5.2488000000000001</v>
      </c>
      <c r="L129" s="507">
        <v>2581.8042242540841</v>
      </c>
      <c r="M129" s="507">
        <v>0</v>
      </c>
      <c r="N129" s="507">
        <v>2581.8042242540841</v>
      </c>
      <c r="O129" s="507">
        <v>2.681291009186304</v>
      </c>
      <c r="P129">
        <v>1</v>
      </c>
      <c r="Q129" s="2" t="s">
        <v>526</v>
      </c>
      <c r="R129" s="3">
        <v>1</v>
      </c>
      <c r="S129" s="3">
        <v>5.2488000000000001</v>
      </c>
      <c r="T129" s="507">
        <v>2581.8038183693761</v>
      </c>
      <c r="U129" s="507">
        <v>0</v>
      </c>
      <c r="V129" s="507">
        <v>2581.8038183693761</v>
      </c>
      <c r="W129" s="507">
        <v>1.9152243244528053</v>
      </c>
      <c r="X129" s="507">
        <v>2584.4855152632704</v>
      </c>
      <c r="Y129" s="507">
        <v>2583.7190426938291</v>
      </c>
      <c r="Z129" s="507">
        <v>13565.447572513855</v>
      </c>
      <c r="AA129" s="507">
        <v>13561.42451129137</v>
      </c>
      <c r="AB129" s="507">
        <v>13561.42451129137</v>
      </c>
      <c r="AC129" s="507">
        <v>4.0199999999999996</v>
      </c>
      <c r="AD129" s="507">
        <v>4.0199999999999996</v>
      </c>
      <c r="AE129" s="507">
        <v>0</v>
      </c>
      <c r="AF129" s="507">
        <v>4.0199999999999996</v>
      </c>
      <c r="AG129" s="507"/>
      <c r="AH129" s="507">
        <v>0</v>
      </c>
      <c r="AI129" s="507">
        <v>0</v>
      </c>
      <c r="AJ129" s="507">
        <v>0</v>
      </c>
      <c r="AK129" s="507">
        <v>0</v>
      </c>
      <c r="AL129" s="507">
        <v>0</v>
      </c>
      <c r="AM129" s="507">
        <v>0</v>
      </c>
      <c r="AN129" s="507"/>
      <c r="AO129" s="507"/>
    </row>
    <row r="130" spans="1:41">
      <c r="A130" s="2" t="s">
        <v>103</v>
      </c>
      <c r="B130" s="2" t="s">
        <v>60</v>
      </c>
      <c r="C130" s="2" t="s">
        <v>17</v>
      </c>
      <c r="D130" s="2" t="s">
        <v>30</v>
      </c>
      <c r="E130" s="2" t="s">
        <v>19</v>
      </c>
      <c r="F130" s="2" t="s">
        <v>20</v>
      </c>
      <c r="G130" s="2" t="s">
        <v>21</v>
      </c>
      <c r="H130">
        <v>1</v>
      </c>
      <c r="I130" s="2" t="s">
        <v>526</v>
      </c>
      <c r="J130" s="3">
        <v>1</v>
      </c>
      <c r="K130" s="3">
        <v>5.2488000000000001</v>
      </c>
      <c r="L130" s="507">
        <v>3599.8884075337305</v>
      </c>
      <c r="M130" s="507">
        <v>0</v>
      </c>
      <c r="N130" s="507">
        <v>3599.8884075337305</v>
      </c>
      <c r="O130" s="507">
        <v>3.7385512474858782</v>
      </c>
      <c r="P130">
        <v>1</v>
      </c>
      <c r="Q130" s="2" t="s">
        <v>526</v>
      </c>
      <c r="R130" s="3">
        <v>1</v>
      </c>
      <c r="S130" s="3">
        <v>5.2488000000000001</v>
      </c>
      <c r="T130" s="507">
        <v>3599.8880016588032</v>
      </c>
      <c r="U130" s="507">
        <v>0</v>
      </c>
      <c r="V130" s="507">
        <v>3599.8880016588032</v>
      </c>
      <c r="W130" s="507">
        <v>2.6704269758282724</v>
      </c>
      <c r="X130" s="507">
        <v>3603.6269587812162</v>
      </c>
      <c r="Y130" s="507">
        <v>3602.5584286346316</v>
      </c>
      <c r="Z130" s="507">
        <v>18914.71718125085</v>
      </c>
      <c r="AA130" s="507">
        <v>18909.108680217454</v>
      </c>
      <c r="AB130" s="507">
        <v>18909.108680217454</v>
      </c>
      <c r="AC130" s="507">
        <v>5.61</v>
      </c>
      <c r="AD130" s="507">
        <v>5.61</v>
      </c>
      <c r="AE130" s="507">
        <v>0</v>
      </c>
      <c r="AF130" s="507">
        <v>5.61</v>
      </c>
      <c r="AG130" s="507"/>
      <c r="AH130" s="507">
        <v>0</v>
      </c>
      <c r="AI130" s="507">
        <v>0</v>
      </c>
      <c r="AJ130" s="507">
        <v>0</v>
      </c>
      <c r="AK130" s="507">
        <v>0</v>
      </c>
      <c r="AL130" s="507">
        <v>0</v>
      </c>
      <c r="AM130" s="507">
        <v>0</v>
      </c>
      <c r="AN130" s="507"/>
      <c r="AO130" s="507"/>
    </row>
    <row r="131" spans="1:41">
      <c r="A131" s="2" t="s">
        <v>104</v>
      </c>
      <c r="B131" s="2" t="s">
        <v>60</v>
      </c>
      <c r="C131" s="2" t="s">
        <v>17</v>
      </c>
      <c r="D131" s="2" t="s">
        <v>30</v>
      </c>
      <c r="E131" s="2" t="s">
        <v>19</v>
      </c>
      <c r="F131" s="2" t="s">
        <v>20</v>
      </c>
      <c r="G131" s="2" t="s">
        <v>21</v>
      </c>
      <c r="H131">
        <v>1</v>
      </c>
      <c r="I131" s="2" t="s">
        <v>526</v>
      </c>
      <c r="J131" s="3">
        <v>1</v>
      </c>
      <c r="K131" s="3">
        <v>5.2488000000000001</v>
      </c>
      <c r="L131" s="507">
        <v>10866.144512436718</v>
      </c>
      <c r="M131" s="507">
        <v>0</v>
      </c>
      <c r="N131" s="507">
        <v>10866.144512436718</v>
      </c>
      <c r="O131" s="507">
        <v>11.284825275387471</v>
      </c>
      <c r="P131">
        <v>1</v>
      </c>
      <c r="Q131" s="2" t="s">
        <v>526</v>
      </c>
      <c r="R131" s="3">
        <v>1</v>
      </c>
      <c r="S131" s="3">
        <v>5.2488000000000001</v>
      </c>
      <c r="T131" s="507">
        <v>10866.144106548545</v>
      </c>
      <c r="U131" s="507">
        <v>0</v>
      </c>
      <c r="V131" s="507">
        <v>10866.144106548545</v>
      </c>
      <c r="W131" s="507">
        <v>8.0606227185578003</v>
      </c>
      <c r="X131" s="507">
        <v>10877.429337712107</v>
      </c>
      <c r="Y131" s="507">
        <v>10874.204729267103</v>
      </c>
      <c r="Z131" s="507">
        <v>57093.451107783309</v>
      </c>
      <c r="AA131" s="507">
        <v>57076.525782977173</v>
      </c>
      <c r="AB131" s="507">
        <v>57076.525782977173</v>
      </c>
      <c r="AC131" s="507">
        <v>16.93</v>
      </c>
      <c r="AD131" s="507">
        <v>16.93</v>
      </c>
      <c r="AE131" s="507">
        <v>0</v>
      </c>
      <c r="AF131" s="507">
        <v>16.93</v>
      </c>
      <c r="AG131" s="507"/>
      <c r="AH131" s="507">
        <v>0</v>
      </c>
      <c r="AI131" s="507">
        <v>0</v>
      </c>
      <c r="AJ131" s="507">
        <v>0</v>
      </c>
      <c r="AK131" s="507">
        <v>0</v>
      </c>
      <c r="AL131" s="507">
        <v>0</v>
      </c>
      <c r="AM131" s="507">
        <v>0</v>
      </c>
      <c r="AN131" s="507"/>
      <c r="AO131" s="507"/>
    </row>
    <row r="132" spans="1:41">
      <c r="A132" s="2" t="s">
        <v>105</v>
      </c>
      <c r="B132" s="2" t="s">
        <v>60</v>
      </c>
      <c r="C132" s="2" t="s">
        <v>17</v>
      </c>
      <c r="D132" s="2" t="s">
        <v>30</v>
      </c>
      <c r="E132" s="2" t="s">
        <v>19</v>
      </c>
      <c r="F132" s="2" t="s">
        <v>20</v>
      </c>
      <c r="G132" s="2" t="s">
        <v>21</v>
      </c>
      <c r="H132">
        <v>1</v>
      </c>
      <c r="I132" s="2" t="s">
        <v>526</v>
      </c>
      <c r="J132" s="3">
        <v>1</v>
      </c>
      <c r="K132" s="3">
        <v>5.2488000000000001</v>
      </c>
      <c r="L132" s="507">
        <v>18049.925163536733</v>
      </c>
      <c r="M132" s="507">
        <v>0</v>
      </c>
      <c r="N132" s="507">
        <v>18049.925163536733</v>
      </c>
      <c r="O132" s="507">
        <v>18.745400901260325</v>
      </c>
      <c r="P132">
        <v>1</v>
      </c>
      <c r="Q132" s="2" t="s">
        <v>526</v>
      </c>
      <c r="R132" s="3">
        <v>1</v>
      </c>
      <c r="S132" s="3">
        <v>5.2488000000000001</v>
      </c>
      <c r="T132" s="507">
        <v>18049.924757641831</v>
      </c>
      <c r="U132" s="507">
        <v>0</v>
      </c>
      <c r="V132" s="507">
        <v>18049.924757641831</v>
      </c>
      <c r="W132" s="507">
        <v>13.389538232321803</v>
      </c>
      <c r="X132" s="507">
        <v>18068.670564437994</v>
      </c>
      <c r="Y132" s="507">
        <v>18063.314295874152</v>
      </c>
      <c r="Z132" s="507">
        <v>94838.838058622146</v>
      </c>
      <c r="AA132" s="507">
        <v>94810.724076184255</v>
      </c>
      <c r="AB132" s="507">
        <v>94810.724076184255</v>
      </c>
      <c r="AC132" s="507">
        <v>28.11</v>
      </c>
      <c r="AD132" s="507">
        <v>28.11</v>
      </c>
      <c r="AE132" s="507">
        <v>0</v>
      </c>
      <c r="AF132" s="507">
        <v>28.11</v>
      </c>
      <c r="AG132" s="507"/>
      <c r="AH132" s="507">
        <v>0</v>
      </c>
      <c r="AI132" s="507">
        <v>0</v>
      </c>
      <c r="AJ132" s="507">
        <v>0</v>
      </c>
      <c r="AK132" s="507">
        <v>0</v>
      </c>
      <c r="AL132" s="507">
        <v>0</v>
      </c>
      <c r="AM132" s="507">
        <v>0</v>
      </c>
      <c r="AN132" s="507"/>
      <c r="AO132" s="507"/>
    </row>
    <row r="133" spans="1:41">
      <c r="A133" s="2" t="s">
        <v>106</v>
      </c>
      <c r="B133" s="2" t="s">
        <v>94</v>
      </c>
      <c r="C133" s="2" t="s">
        <v>17</v>
      </c>
      <c r="D133" s="2" t="s">
        <v>95</v>
      </c>
      <c r="E133" s="2" t="s">
        <v>19</v>
      </c>
      <c r="F133" s="2" t="s">
        <v>20</v>
      </c>
      <c r="G133" s="2" t="s">
        <v>21</v>
      </c>
      <c r="H133">
        <v>1</v>
      </c>
      <c r="I133" s="2" t="s">
        <v>526</v>
      </c>
      <c r="J133" s="3">
        <v>1</v>
      </c>
      <c r="K133" s="3">
        <v>5.2488000000000001</v>
      </c>
      <c r="L133" s="507">
        <v>13799.143257541156</v>
      </c>
      <c r="M133" s="507">
        <v>0</v>
      </c>
      <c r="N133" s="507">
        <v>13799.143257541156</v>
      </c>
      <c r="O133" s="507">
        <v>14.388488778773354</v>
      </c>
      <c r="P133">
        <v>1</v>
      </c>
      <c r="Q133" s="2" t="s">
        <v>526</v>
      </c>
      <c r="R133" s="3">
        <v>1</v>
      </c>
      <c r="S133" s="3">
        <v>5.2488000000000001</v>
      </c>
      <c r="T133" s="507">
        <v>13799.143257541156</v>
      </c>
      <c r="U133" s="507">
        <v>0</v>
      </c>
      <c r="V133" s="507">
        <v>13799.143257541156</v>
      </c>
      <c r="W133" s="507">
        <v>10.277439232409085</v>
      </c>
      <c r="X133" s="507">
        <v>13813.53174631993</v>
      </c>
      <c r="Y133" s="507">
        <v>13809.420696773566</v>
      </c>
      <c r="Z133" s="507">
        <v>72504.465430084048</v>
      </c>
      <c r="AA133" s="507">
        <v>72482.887353225102</v>
      </c>
      <c r="AB133" s="507">
        <v>72482.887353225102</v>
      </c>
      <c r="AC133" s="507">
        <v>21.58</v>
      </c>
      <c r="AD133" s="507">
        <v>21.58</v>
      </c>
      <c r="AE133" s="507">
        <v>0</v>
      </c>
      <c r="AF133" s="507">
        <v>21.58</v>
      </c>
      <c r="AG133" s="507"/>
      <c r="AH133" s="507">
        <v>0</v>
      </c>
      <c r="AI133" s="507">
        <v>0</v>
      </c>
      <c r="AJ133" s="507">
        <v>0</v>
      </c>
      <c r="AK133" s="507">
        <v>0</v>
      </c>
      <c r="AL133" s="507">
        <v>0</v>
      </c>
      <c r="AM133" s="507">
        <v>0</v>
      </c>
      <c r="AN133" s="507"/>
      <c r="AO133" s="507"/>
    </row>
    <row r="134" spans="1:41">
      <c r="A134" s="2" t="s">
        <v>107</v>
      </c>
      <c r="B134" s="2" t="s">
        <v>60</v>
      </c>
      <c r="C134" s="2" t="s">
        <v>17</v>
      </c>
      <c r="D134" s="2" t="s">
        <v>30</v>
      </c>
      <c r="E134" s="2" t="s">
        <v>19</v>
      </c>
      <c r="F134" s="2" t="s">
        <v>20</v>
      </c>
      <c r="G134" s="2" t="s">
        <v>21</v>
      </c>
      <c r="H134">
        <v>1</v>
      </c>
      <c r="I134" s="2" t="s">
        <v>526</v>
      </c>
      <c r="J134" s="3">
        <v>1</v>
      </c>
      <c r="K134" s="3">
        <v>5.2488000000000001</v>
      </c>
      <c r="L134" s="507">
        <v>7374.7590031204927</v>
      </c>
      <c r="M134" s="507">
        <v>0</v>
      </c>
      <c r="N134" s="507">
        <v>7374.7590031204927</v>
      </c>
      <c r="O134" s="507">
        <v>7.6588430167956174</v>
      </c>
      <c r="P134">
        <v>1</v>
      </c>
      <c r="Q134" s="2" t="s">
        <v>526</v>
      </c>
      <c r="R134" s="3">
        <v>1</v>
      </c>
      <c r="S134" s="3">
        <v>5.2488000000000001</v>
      </c>
      <c r="T134" s="507">
        <v>7374.7585972411889</v>
      </c>
      <c r="U134" s="507">
        <v>0</v>
      </c>
      <c r="V134" s="507">
        <v>7374.7585972411889</v>
      </c>
      <c r="W134" s="507">
        <v>5.4706521566154303</v>
      </c>
      <c r="X134" s="507">
        <v>7382.4178461372885</v>
      </c>
      <c r="Y134" s="507">
        <v>7380.2292493978048</v>
      </c>
      <c r="Z134" s="507">
        <v>38748.834790805398</v>
      </c>
      <c r="AA134" s="507">
        <v>38737.3472842392</v>
      </c>
      <c r="AB134" s="507">
        <v>38737.3472842392</v>
      </c>
      <c r="AC134" s="507">
        <v>11.49</v>
      </c>
      <c r="AD134" s="507">
        <v>11.49</v>
      </c>
      <c r="AE134" s="507">
        <v>0</v>
      </c>
      <c r="AF134" s="507">
        <v>11.49</v>
      </c>
      <c r="AG134" s="507"/>
      <c r="AH134" s="507">
        <v>0</v>
      </c>
      <c r="AI134" s="507">
        <v>0</v>
      </c>
      <c r="AJ134" s="507">
        <v>0</v>
      </c>
      <c r="AK134" s="507">
        <v>0</v>
      </c>
      <c r="AL134" s="507">
        <v>0</v>
      </c>
      <c r="AM134" s="507">
        <v>0</v>
      </c>
      <c r="AN134" s="507"/>
      <c r="AO134" s="507"/>
    </row>
    <row r="135" spans="1:41">
      <c r="A135" s="2" t="s">
        <v>108</v>
      </c>
      <c r="B135" s="2" t="s">
        <v>60</v>
      </c>
      <c r="C135" s="2" t="s">
        <v>17</v>
      </c>
      <c r="D135" s="2" t="s">
        <v>30</v>
      </c>
      <c r="E135" s="2" t="s">
        <v>19</v>
      </c>
      <c r="F135" s="2" t="s">
        <v>20</v>
      </c>
      <c r="G135" s="2" t="s">
        <v>21</v>
      </c>
      <c r="H135">
        <v>1</v>
      </c>
      <c r="I135" s="2" t="s">
        <v>526</v>
      </c>
      <c r="J135" s="3">
        <v>1</v>
      </c>
      <c r="K135" s="3">
        <v>5.2488000000000001</v>
      </c>
      <c r="L135" s="507">
        <v>9061.4019080455328</v>
      </c>
      <c r="M135" s="507">
        <v>0</v>
      </c>
      <c r="N135" s="507">
        <v>9061.4019080455328</v>
      </c>
      <c r="O135" s="507">
        <v>9.4104952102838499</v>
      </c>
      <c r="P135">
        <v>1</v>
      </c>
      <c r="Q135" s="2" t="s">
        <v>526</v>
      </c>
      <c r="R135" s="3">
        <v>1</v>
      </c>
      <c r="S135" s="3">
        <v>5.2488000000000001</v>
      </c>
      <c r="T135" s="507">
        <v>9061.4015021653922</v>
      </c>
      <c r="U135" s="507">
        <v>0</v>
      </c>
      <c r="V135" s="507">
        <v>9061.4015021653922</v>
      </c>
      <c r="W135" s="507">
        <v>6.7218490647515079</v>
      </c>
      <c r="X135" s="507">
        <v>9070.8124032558171</v>
      </c>
      <c r="Y135" s="507">
        <v>9068.1233512301442</v>
      </c>
      <c r="Z135" s="507">
        <v>47610.880142209135</v>
      </c>
      <c r="AA135" s="507">
        <v>47596.765845936781</v>
      </c>
      <c r="AB135" s="507">
        <v>47596.765845936781</v>
      </c>
      <c r="AC135" s="507">
        <v>14.11</v>
      </c>
      <c r="AD135" s="507">
        <v>14.11</v>
      </c>
      <c r="AE135" s="507">
        <v>0</v>
      </c>
      <c r="AF135" s="507">
        <v>14.11</v>
      </c>
      <c r="AG135" s="507"/>
      <c r="AH135" s="507">
        <v>0</v>
      </c>
      <c r="AI135" s="507">
        <v>0</v>
      </c>
      <c r="AJ135" s="507">
        <v>0</v>
      </c>
      <c r="AK135" s="507">
        <v>0</v>
      </c>
      <c r="AL135" s="507">
        <v>0</v>
      </c>
      <c r="AM135" s="507">
        <v>0</v>
      </c>
      <c r="AN135" s="507"/>
      <c r="AO135" s="507"/>
    </row>
    <row r="136" spans="1:41">
      <c r="A136" s="2" t="s">
        <v>109</v>
      </c>
      <c r="B136" s="2" t="s">
        <v>60</v>
      </c>
      <c r="C136" s="2" t="s">
        <v>17</v>
      </c>
      <c r="D136" s="2" t="s">
        <v>30</v>
      </c>
      <c r="E136" s="2" t="s">
        <v>19</v>
      </c>
      <c r="F136" s="2" t="s">
        <v>20</v>
      </c>
      <c r="G136" s="2" t="s">
        <v>21</v>
      </c>
      <c r="H136">
        <v>1</v>
      </c>
      <c r="I136" s="2" t="s">
        <v>526</v>
      </c>
      <c r="J136" s="3">
        <v>1</v>
      </c>
      <c r="K136" s="3">
        <v>5.2488000000000001</v>
      </c>
      <c r="L136" s="507">
        <v>2945.6842884596745</v>
      </c>
      <c r="M136" s="507">
        <v>0</v>
      </c>
      <c r="N136" s="507">
        <v>2945.6842884596745</v>
      </c>
      <c r="O136" s="507">
        <v>3.0591858203481244</v>
      </c>
      <c r="P136">
        <v>1</v>
      </c>
      <c r="Q136" s="2" t="s">
        <v>526</v>
      </c>
      <c r="R136" s="3">
        <v>1</v>
      </c>
      <c r="S136" s="3">
        <v>5.2488000000000001</v>
      </c>
      <c r="T136" s="507">
        <v>2945.6838825592158</v>
      </c>
      <c r="U136" s="507">
        <v>0</v>
      </c>
      <c r="V136" s="507">
        <v>2945.6838825592158</v>
      </c>
      <c r="W136" s="507">
        <v>2.1851156647845302</v>
      </c>
      <c r="X136" s="507">
        <v>2948.7434742800224</v>
      </c>
      <c r="Y136" s="507">
        <v>2947.8689982240003</v>
      </c>
      <c r="Z136" s="507">
        <v>15477.364747800983</v>
      </c>
      <c r="AA136" s="507">
        <v>15472.774797878134</v>
      </c>
      <c r="AB136" s="507">
        <v>15472.774797878134</v>
      </c>
      <c r="AC136" s="507">
        <v>4.59</v>
      </c>
      <c r="AD136" s="507">
        <v>4.59</v>
      </c>
      <c r="AE136" s="507">
        <v>0</v>
      </c>
      <c r="AF136" s="507">
        <v>4.59</v>
      </c>
      <c r="AG136" s="507"/>
      <c r="AH136" s="507">
        <v>0</v>
      </c>
      <c r="AI136" s="507">
        <v>0</v>
      </c>
      <c r="AJ136" s="507">
        <v>0</v>
      </c>
      <c r="AK136" s="507">
        <v>0</v>
      </c>
      <c r="AL136" s="507">
        <v>0</v>
      </c>
      <c r="AM136" s="507">
        <v>0</v>
      </c>
      <c r="AN136" s="507"/>
      <c r="AO136" s="507"/>
    </row>
    <row r="137" spans="1:41">
      <c r="A137" s="2" t="s">
        <v>110</v>
      </c>
      <c r="B137" s="2" t="s">
        <v>60</v>
      </c>
      <c r="C137" s="2" t="s">
        <v>17</v>
      </c>
      <c r="D137" s="2" t="s">
        <v>30</v>
      </c>
      <c r="E137" s="2" t="s">
        <v>19</v>
      </c>
      <c r="F137" s="2" t="s">
        <v>20</v>
      </c>
      <c r="G137" s="2" t="s">
        <v>21</v>
      </c>
      <c r="H137">
        <v>1</v>
      </c>
      <c r="I137" s="2" t="s">
        <v>526</v>
      </c>
      <c r="J137" s="3">
        <v>1</v>
      </c>
      <c r="K137" s="3">
        <v>5.2488000000000001</v>
      </c>
      <c r="L137" s="507">
        <v>36359.673714827673</v>
      </c>
      <c r="M137" s="507">
        <v>0</v>
      </c>
      <c r="N137" s="507">
        <v>36359.673714827673</v>
      </c>
      <c r="O137" s="507">
        <v>37.760588666545942</v>
      </c>
      <c r="P137">
        <v>1</v>
      </c>
      <c r="Q137" s="2" t="s">
        <v>526</v>
      </c>
      <c r="R137" s="3">
        <v>1</v>
      </c>
      <c r="S137" s="3">
        <v>5.2488000000000001</v>
      </c>
      <c r="T137" s="507">
        <v>36359.67330893394</v>
      </c>
      <c r="U137" s="507">
        <v>0</v>
      </c>
      <c r="V137" s="507">
        <v>36359.67330893394</v>
      </c>
      <c r="W137" s="507">
        <v>26.971798436149665</v>
      </c>
      <c r="X137" s="507">
        <v>36397.434303494221</v>
      </c>
      <c r="Y137" s="507">
        <v>36386.645107370088</v>
      </c>
      <c r="Z137" s="507">
        <v>191042.85317218048</v>
      </c>
      <c r="AA137" s="507">
        <v>190986.22283956411</v>
      </c>
      <c r="AB137" s="507">
        <v>190986.22283956411</v>
      </c>
      <c r="AC137" s="507">
        <v>56.63</v>
      </c>
      <c r="AD137" s="507">
        <v>56.63</v>
      </c>
      <c r="AE137" s="507">
        <v>0</v>
      </c>
      <c r="AF137" s="507">
        <v>56.63</v>
      </c>
      <c r="AG137" s="507"/>
      <c r="AH137" s="507">
        <v>0</v>
      </c>
      <c r="AI137" s="507">
        <v>0</v>
      </c>
      <c r="AJ137" s="507">
        <v>0</v>
      </c>
      <c r="AK137" s="507">
        <v>0</v>
      </c>
      <c r="AL137" s="507">
        <v>0</v>
      </c>
      <c r="AM137" s="507">
        <v>0</v>
      </c>
      <c r="AN137" s="507"/>
      <c r="AO137" s="507"/>
    </row>
    <row r="138" spans="1:41">
      <c r="A138" s="2" t="s">
        <v>111</v>
      </c>
      <c r="B138" s="2" t="s">
        <v>60</v>
      </c>
      <c r="C138" s="2" t="s">
        <v>17</v>
      </c>
      <c r="D138" s="2" t="s">
        <v>30</v>
      </c>
      <c r="E138" s="2" t="s">
        <v>19</v>
      </c>
      <c r="F138" s="2" t="s">
        <v>20</v>
      </c>
      <c r="G138" s="2" t="s">
        <v>21</v>
      </c>
      <c r="H138">
        <v>1</v>
      </c>
      <c r="I138" s="2" t="s">
        <v>526</v>
      </c>
      <c r="J138" s="3">
        <v>1</v>
      </c>
      <c r="K138" s="3">
        <v>5.2488000000000001</v>
      </c>
      <c r="L138" s="507">
        <v>4266.3915410501622</v>
      </c>
      <c r="M138" s="507">
        <v>0</v>
      </c>
      <c r="N138" s="507">
        <v>4266.3915410501622</v>
      </c>
      <c r="O138" s="507">
        <v>4.430712726989066</v>
      </c>
      <c r="P138">
        <v>1</v>
      </c>
      <c r="Q138" s="2" t="s">
        <v>526</v>
      </c>
      <c r="R138" s="3">
        <v>1</v>
      </c>
      <c r="S138" s="3">
        <v>5.2488000000000001</v>
      </c>
      <c r="T138" s="507">
        <v>4266.3911351584356</v>
      </c>
      <c r="U138" s="507">
        <v>0</v>
      </c>
      <c r="V138" s="507">
        <v>4266.3911351584356</v>
      </c>
      <c r="W138" s="507">
        <v>3.1647777385563418</v>
      </c>
      <c r="X138" s="507">
        <v>4270.8222537771517</v>
      </c>
      <c r="Y138" s="507">
        <v>4269.5559128969917</v>
      </c>
      <c r="Z138" s="507">
        <v>22416.691845625515</v>
      </c>
      <c r="AA138" s="507">
        <v>22410.045075613729</v>
      </c>
      <c r="AB138" s="507">
        <v>22410.045075613729</v>
      </c>
      <c r="AC138" s="507">
        <v>6.65</v>
      </c>
      <c r="AD138" s="507">
        <v>6.65</v>
      </c>
      <c r="AE138" s="507">
        <v>0</v>
      </c>
      <c r="AF138" s="507">
        <v>6.65</v>
      </c>
      <c r="AG138" s="507"/>
      <c r="AH138" s="507">
        <v>0</v>
      </c>
      <c r="AI138" s="507">
        <v>0</v>
      </c>
      <c r="AJ138" s="507">
        <v>0</v>
      </c>
      <c r="AK138" s="507">
        <v>0</v>
      </c>
      <c r="AL138" s="507">
        <v>0</v>
      </c>
      <c r="AM138" s="507">
        <v>0</v>
      </c>
      <c r="AN138" s="507"/>
      <c r="AO138" s="507"/>
    </row>
    <row r="139" spans="1:41">
      <c r="A139" s="2" t="s">
        <v>112</v>
      </c>
      <c r="B139" s="2" t="s">
        <v>94</v>
      </c>
      <c r="C139" s="2" t="s">
        <v>17</v>
      </c>
      <c r="D139" s="2" t="s">
        <v>95</v>
      </c>
      <c r="E139" s="2" t="s">
        <v>19</v>
      </c>
      <c r="F139" s="2" t="s">
        <v>20</v>
      </c>
      <c r="G139" s="2" t="s">
        <v>21</v>
      </c>
      <c r="H139">
        <v>1</v>
      </c>
      <c r="I139" s="2" t="s">
        <v>526</v>
      </c>
      <c r="J139" s="3">
        <v>1</v>
      </c>
      <c r="K139" s="3">
        <v>5.2488000000000001</v>
      </c>
      <c r="L139" s="507">
        <v>1038.5634464339807</v>
      </c>
      <c r="M139" s="507">
        <v>0</v>
      </c>
      <c r="N139" s="507">
        <v>1038.5634464339807</v>
      </c>
      <c r="O139" s="507">
        <v>1.082875486815164</v>
      </c>
      <c r="P139">
        <v>1</v>
      </c>
      <c r="Q139" s="2" t="s">
        <v>526</v>
      </c>
      <c r="R139" s="3">
        <v>1</v>
      </c>
      <c r="S139" s="3">
        <v>5.2488000000000001</v>
      </c>
      <c r="T139" s="507">
        <v>1038.5634464339807</v>
      </c>
      <c r="U139" s="507">
        <v>0</v>
      </c>
      <c r="V139" s="507">
        <v>1038.5634464339807</v>
      </c>
      <c r="W139" s="507">
        <v>0.77342973815323479</v>
      </c>
      <c r="X139" s="507">
        <v>1039.6463219207958</v>
      </c>
      <c r="Y139" s="507">
        <v>1039.336876172134</v>
      </c>
      <c r="Z139" s="507">
        <v>5456.8956144978729</v>
      </c>
      <c r="AA139" s="507">
        <v>5455.2713956522966</v>
      </c>
      <c r="AB139" s="507">
        <v>5455.2713956522966</v>
      </c>
      <c r="AC139" s="507">
        <v>1.62</v>
      </c>
      <c r="AD139" s="507">
        <v>1.62</v>
      </c>
      <c r="AE139" s="507">
        <v>0</v>
      </c>
      <c r="AF139" s="507">
        <v>1.62</v>
      </c>
      <c r="AG139" s="507"/>
      <c r="AH139" s="507">
        <v>0</v>
      </c>
      <c r="AI139" s="507">
        <v>0</v>
      </c>
      <c r="AJ139" s="507">
        <v>0</v>
      </c>
      <c r="AK139" s="507">
        <v>0</v>
      </c>
      <c r="AL139" s="507">
        <v>0</v>
      </c>
      <c r="AM139" s="507">
        <v>0</v>
      </c>
      <c r="AN139" s="507"/>
      <c r="AO139" s="507"/>
    </row>
    <row r="140" spans="1:41">
      <c r="A140" s="2" t="s">
        <v>113</v>
      </c>
      <c r="B140" s="2" t="s">
        <v>60</v>
      </c>
      <c r="C140" s="2" t="s">
        <v>17</v>
      </c>
      <c r="D140" s="2" t="s">
        <v>30</v>
      </c>
      <c r="E140" s="2" t="s">
        <v>19</v>
      </c>
      <c r="F140" s="2" t="s">
        <v>20</v>
      </c>
      <c r="G140" s="2" t="s">
        <v>21</v>
      </c>
      <c r="H140">
        <v>1</v>
      </c>
      <c r="I140" s="2" t="s">
        <v>526</v>
      </c>
      <c r="J140" s="3">
        <v>1</v>
      </c>
      <c r="K140" s="3">
        <v>5.2488000000000001</v>
      </c>
      <c r="L140" s="507">
        <v>9316.9065780102446</v>
      </c>
      <c r="M140" s="507">
        <v>0</v>
      </c>
      <c r="N140" s="507">
        <v>9316.9065780102446</v>
      </c>
      <c r="O140" s="507">
        <v>9.6758081281304538</v>
      </c>
      <c r="P140">
        <v>1</v>
      </c>
      <c r="Q140" s="2" t="s">
        <v>526</v>
      </c>
      <c r="R140" s="3">
        <v>1</v>
      </c>
      <c r="S140" s="3">
        <v>5.2488000000000001</v>
      </c>
      <c r="T140" s="507">
        <v>9316.9061721263715</v>
      </c>
      <c r="U140" s="507">
        <v>0</v>
      </c>
      <c r="V140" s="507">
        <v>9316.9061721263715</v>
      </c>
      <c r="W140" s="507">
        <v>6.9113247555345625</v>
      </c>
      <c r="X140" s="507">
        <v>9326.5823861383742</v>
      </c>
      <c r="Y140" s="507">
        <v>9323.8174968819058</v>
      </c>
      <c r="Z140" s="507">
        <v>48953.365628363099</v>
      </c>
      <c r="AA140" s="507">
        <v>48938.853277633745</v>
      </c>
      <c r="AB140" s="507">
        <v>48938.853277633745</v>
      </c>
      <c r="AC140" s="507">
        <v>14.51</v>
      </c>
      <c r="AD140" s="507">
        <v>14.51</v>
      </c>
      <c r="AE140" s="507">
        <v>0</v>
      </c>
      <c r="AF140" s="507">
        <v>14.51</v>
      </c>
      <c r="AG140" s="507"/>
      <c r="AH140" s="507">
        <v>0</v>
      </c>
      <c r="AI140" s="507">
        <v>0</v>
      </c>
      <c r="AJ140" s="507">
        <v>0</v>
      </c>
      <c r="AK140" s="507">
        <v>0</v>
      </c>
      <c r="AL140" s="507">
        <v>0</v>
      </c>
      <c r="AM140" s="507">
        <v>0</v>
      </c>
      <c r="AN140" s="507"/>
      <c r="AO140" s="507"/>
    </row>
    <row r="141" spans="1:41">
      <c r="A141" s="2" t="s">
        <v>114</v>
      </c>
      <c r="B141" s="2" t="s">
        <v>60</v>
      </c>
      <c r="C141" s="2" t="s">
        <v>17</v>
      </c>
      <c r="D141" s="2" t="s">
        <v>30</v>
      </c>
      <c r="E141" s="2" t="s">
        <v>19</v>
      </c>
      <c r="F141" s="2" t="s">
        <v>20</v>
      </c>
      <c r="G141" s="2" t="s">
        <v>21</v>
      </c>
      <c r="H141">
        <v>1</v>
      </c>
      <c r="I141" s="2" t="s">
        <v>526</v>
      </c>
      <c r="J141" s="3">
        <v>1</v>
      </c>
      <c r="K141" s="3">
        <v>5.2488000000000001</v>
      </c>
      <c r="L141" s="507">
        <v>9272.473004471467</v>
      </c>
      <c r="M141" s="507">
        <v>0</v>
      </c>
      <c r="N141" s="507">
        <v>9272.473004471467</v>
      </c>
      <c r="O141" s="507">
        <v>9.6296718548254798</v>
      </c>
      <c r="P141">
        <v>1</v>
      </c>
      <c r="Q141" s="2" t="s">
        <v>526</v>
      </c>
      <c r="R141" s="3">
        <v>1</v>
      </c>
      <c r="S141" s="3">
        <v>5.2488000000000001</v>
      </c>
      <c r="T141" s="507">
        <v>9272.4725985822934</v>
      </c>
      <c r="U141" s="507">
        <v>0</v>
      </c>
      <c r="V141" s="507">
        <v>9272.4725985822934</v>
      </c>
      <c r="W141" s="507">
        <v>6.8783367380717433</v>
      </c>
      <c r="X141" s="507">
        <v>9282.1026763262926</v>
      </c>
      <c r="Y141" s="507">
        <v>9279.3509353203644</v>
      </c>
      <c r="Z141" s="507">
        <v>48719.900527501442</v>
      </c>
      <c r="AA141" s="507">
        <v>48705.457189309527</v>
      </c>
      <c r="AB141" s="507">
        <v>48705.457189309527</v>
      </c>
      <c r="AC141" s="507">
        <v>14.44</v>
      </c>
      <c r="AD141" s="507">
        <v>14.44</v>
      </c>
      <c r="AE141" s="507">
        <v>0</v>
      </c>
      <c r="AF141" s="507">
        <v>14.44</v>
      </c>
      <c r="AG141" s="507"/>
      <c r="AH141" s="507">
        <v>0</v>
      </c>
      <c r="AI141" s="507">
        <v>0</v>
      </c>
      <c r="AJ141" s="507">
        <v>0</v>
      </c>
      <c r="AK141" s="507">
        <v>0</v>
      </c>
      <c r="AL141" s="507">
        <v>0</v>
      </c>
      <c r="AM141" s="507">
        <v>0</v>
      </c>
      <c r="AN141" s="507"/>
      <c r="AO141" s="507"/>
    </row>
    <row r="142" spans="1:41">
      <c r="A142" s="2" t="s">
        <v>115</v>
      </c>
      <c r="B142" s="2" t="s">
        <v>60</v>
      </c>
      <c r="C142" s="2" t="s">
        <v>17</v>
      </c>
      <c r="D142" s="2" t="s">
        <v>30</v>
      </c>
      <c r="E142" s="2" t="s">
        <v>19</v>
      </c>
      <c r="F142" s="2" t="s">
        <v>20</v>
      </c>
      <c r="G142" s="2" t="s">
        <v>21</v>
      </c>
      <c r="H142">
        <v>1</v>
      </c>
      <c r="I142" s="2" t="s">
        <v>526</v>
      </c>
      <c r="J142" s="3">
        <v>1</v>
      </c>
      <c r="K142" s="3">
        <v>5.2488000000000001</v>
      </c>
      <c r="L142" s="507">
        <v>8214.7395672986604</v>
      </c>
      <c r="M142" s="507">
        <v>0</v>
      </c>
      <c r="N142" s="507">
        <v>8214.7395672986604</v>
      </c>
      <c r="O142" s="507">
        <v>8.5312059568988872</v>
      </c>
      <c r="P142">
        <v>1</v>
      </c>
      <c r="Q142" s="2" t="s">
        <v>526</v>
      </c>
      <c r="R142" s="3">
        <v>1</v>
      </c>
      <c r="S142" s="3">
        <v>5.2488000000000001</v>
      </c>
      <c r="T142" s="507">
        <v>8214.7391614199896</v>
      </c>
      <c r="U142" s="507">
        <v>0</v>
      </c>
      <c r="V142" s="507">
        <v>8214.7391614199896</v>
      </c>
      <c r="W142" s="507">
        <v>6.0937853112905938</v>
      </c>
      <c r="X142" s="507">
        <v>8223.2707732555591</v>
      </c>
      <c r="Y142" s="507">
        <v>8220.8329467312797</v>
      </c>
      <c r="Z142" s="507">
        <v>43162.303634663782</v>
      </c>
      <c r="AA142" s="507">
        <v>43149.507970803141</v>
      </c>
      <c r="AB142" s="507">
        <v>43149.507970803141</v>
      </c>
      <c r="AC142" s="507">
        <v>12.8</v>
      </c>
      <c r="AD142" s="507">
        <v>12.8</v>
      </c>
      <c r="AE142" s="507">
        <v>0</v>
      </c>
      <c r="AF142" s="507">
        <v>12.8</v>
      </c>
      <c r="AG142" s="507"/>
      <c r="AH142" s="507">
        <v>0</v>
      </c>
      <c r="AI142" s="507">
        <v>0</v>
      </c>
      <c r="AJ142" s="507">
        <v>0</v>
      </c>
      <c r="AK142" s="507">
        <v>0</v>
      </c>
      <c r="AL142" s="507">
        <v>0</v>
      </c>
      <c r="AM142" s="507">
        <v>0</v>
      </c>
      <c r="AN142" s="507"/>
      <c r="AO142" s="507"/>
    </row>
    <row r="143" spans="1:41">
      <c r="A143" s="2" t="s">
        <v>116</v>
      </c>
      <c r="B143" s="2" t="s">
        <v>94</v>
      </c>
      <c r="C143" s="2" t="s">
        <v>17</v>
      </c>
      <c r="D143" s="2" t="s">
        <v>95</v>
      </c>
      <c r="E143" s="2" t="s">
        <v>19</v>
      </c>
      <c r="F143" s="2" t="s">
        <v>20</v>
      </c>
      <c r="G143" s="2" t="s">
        <v>21</v>
      </c>
      <c r="H143">
        <v>1</v>
      </c>
      <c r="I143" s="2" t="s">
        <v>526</v>
      </c>
      <c r="J143" s="3">
        <v>1</v>
      </c>
      <c r="K143" s="3">
        <v>5.2488000000000001</v>
      </c>
      <c r="L143" s="507">
        <v>35979.988160955298</v>
      </c>
      <c r="M143" s="507">
        <v>0</v>
      </c>
      <c r="N143" s="507">
        <v>35979.988160955298</v>
      </c>
      <c r="O143" s="507">
        <v>37.516604355227152</v>
      </c>
      <c r="P143">
        <v>1</v>
      </c>
      <c r="Q143" s="2" t="s">
        <v>526</v>
      </c>
      <c r="R143" s="3">
        <v>1</v>
      </c>
      <c r="S143" s="3">
        <v>5.2488000000000001</v>
      </c>
      <c r="T143" s="507">
        <v>35979.988160955298</v>
      </c>
      <c r="U143" s="507">
        <v>0</v>
      </c>
      <c r="V143" s="507">
        <v>35979.988160955298</v>
      </c>
      <c r="W143" s="507">
        <v>26.797521787018944</v>
      </c>
      <c r="X143" s="507">
        <v>36017.504765310521</v>
      </c>
      <c r="Y143" s="507">
        <v>36006.785682742317</v>
      </c>
      <c r="Z143" s="507">
        <v>189048.67901216185</v>
      </c>
      <c r="AA143" s="507">
        <v>188992.41669157788</v>
      </c>
      <c r="AB143" s="507">
        <v>188992.41669157788</v>
      </c>
      <c r="AC143" s="507">
        <v>56.26</v>
      </c>
      <c r="AD143" s="507">
        <v>56.26</v>
      </c>
      <c r="AE143" s="507">
        <v>0</v>
      </c>
      <c r="AF143" s="507">
        <v>56.26</v>
      </c>
      <c r="AG143" s="507"/>
      <c r="AH143" s="507">
        <v>0</v>
      </c>
      <c r="AI143" s="507">
        <v>0</v>
      </c>
      <c r="AJ143" s="507">
        <v>0</v>
      </c>
      <c r="AK143" s="507">
        <v>0</v>
      </c>
      <c r="AL143" s="507">
        <v>0</v>
      </c>
      <c r="AM143" s="507">
        <v>0</v>
      </c>
      <c r="AN143" s="507"/>
      <c r="AO143" s="507"/>
    </row>
    <row r="144" spans="1:41">
      <c r="A144" s="2" t="s">
        <v>117</v>
      </c>
      <c r="B144" s="2" t="s">
        <v>60</v>
      </c>
      <c r="C144" s="2" t="s">
        <v>17</v>
      </c>
      <c r="D144" s="2" t="s">
        <v>30</v>
      </c>
      <c r="E144" s="2" t="s">
        <v>19</v>
      </c>
      <c r="F144" s="2" t="s">
        <v>20</v>
      </c>
      <c r="G144" s="2" t="s">
        <v>21</v>
      </c>
      <c r="H144">
        <v>1</v>
      </c>
      <c r="I144" s="2" t="s">
        <v>526</v>
      </c>
      <c r="J144" s="3">
        <v>1</v>
      </c>
      <c r="K144" s="3">
        <v>5.2488000000000001</v>
      </c>
      <c r="L144" s="507">
        <v>57973.796803528196</v>
      </c>
      <c r="M144" s="507">
        <v>0</v>
      </c>
      <c r="N144" s="507">
        <v>57973.796803528196</v>
      </c>
      <c r="O144" s="507">
        <v>60.207352429201634</v>
      </c>
      <c r="P144">
        <v>1</v>
      </c>
      <c r="Q144" s="2" t="s">
        <v>526</v>
      </c>
      <c r="R144" s="3">
        <v>1</v>
      </c>
      <c r="S144" s="3">
        <v>5.2488000000000001</v>
      </c>
      <c r="T144" s="507">
        <v>57973.796397637678</v>
      </c>
      <c r="U144" s="507">
        <v>0</v>
      </c>
      <c r="V144" s="507">
        <v>57973.796397637678</v>
      </c>
      <c r="W144" s="507">
        <v>43.005268204384024</v>
      </c>
      <c r="X144" s="507">
        <v>58034.004155957395</v>
      </c>
      <c r="Y144" s="507">
        <v>58016.80166584206</v>
      </c>
      <c r="Z144" s="507">
        <v>304608.88101378916</v>
      </c>
      <c r="AA144" s="507">
        <v>304518.58858367184</v>
      </c>
      <c r="AB144" s="507">
        <v>304518.58858367184</v>
      </c>
      <c r="AC144" s="507">
        <v>90.29</v>
      </c>
      <c r="AD144" s="507">
        <v>90.29</v>
      </c>
      <c r="AE144" s="507">
        <v>0</v>
      </c>
      <c r="AF144" s="507">
        <v>90.29</v>
      </c>
      <c r="AG144" s="507"/>
      <c r="AH144" s="507">
        <v>0</v>
      </c>
      <c r="AI144" s="507">
        <v>0</v>
      </c>
      <c r="AJ144" s="507">
        <v>0</v>
      </c>
      <c r="AK144" s="507">
        <v>0</v>
      </c>
      <c r="AL144" s="507">
        <v>0</v>
      </c>
      <c r="AM144" s="507">
        <v>0</v>
      </c>
      <c r="AN144" s="507"/>
      <c r="AO144" s="507"/>
    </row>
    <row r="145" spans="1:41">
      <c r="A145" s="2" t="s">
        <v>118</v>
      </c>
      <c r="B145" s="2" t="s">
        <v>60</v>
      </c>
      <c r="C145" s="2" t="s">
        <v>17</v>
      </c>
      <c r="D145" s="2" t="s">
        <v>30</v>
      </c>
      <c r="E145" s="2" t="s">
        <v>19</v>
      </c>
      <c r="F145" s="2" t="s">
        <v>20</v>
      </c>
      <c r="G145" s="2" t="s">
        <v>21</v>
      </c>
      <c r="H145">
        <v>1</v>
      </c>
      <c r="I145" s="2" t="s">
        <v>526</v>
      </c>
      <c r="J145" s="3">
        <v>1</v>
      </c>
      <c r="K145" s="3">
        <v>5.2488000000000001</v>
      </c>
      <c r="L145" s="507">
        <v>9124.1916133002287</v>
      </c>
      <c r="M145" s="507">
        <v>0</v>
      </c>
      <c r="N145" s="507">
        <v>9124.1916133002287</v>
      </c>
      <c r="O145" s="507">
        <v>9.4757668731717519</v>
      </c>
      <c r="P145">
        <v>1</v>
      </c>
      <c r="Q145" s="2" t="s">
        <v>526</v>
      </c>
      <c r="R145" s="3">
        <v>1</v>
      </c>
      <c r="S145" s="3">
        <v>5.2488000000000001</v>
      </c>
      <c r="T145" s="507">
        <v>9124.1912073972071</v>
      </c>
      <c r="U145" s="507">
        <v>0</v>
      </c>
      <c r="V145" s="507">
        <v>9124.1912073972071</v>
      </c>
      <c r="W145" s="507">
        <v>6.7683375354612076</v>
      </c>
      <c r="X145" s="507">
        <v>9133.6673801733996</v>
      </c>
      <c r="Y145" s="507">
        <v>9130.959544932668</v>
      </c>
      <c r="Z145" s="507">
        <v>47940.793345054139</v>
      </c>
      <c r="AA145" s="507">
        <v>47926.580459442586</v>
      </c>
      <c r="AB145" s="507">
        <v>47926.580459442586</v>
      </c>
      <c r="AC145" s="507">
        <v>14.21</v>
      </c>
      <c r="AD145" s="507">
        <v>14.21</v>
      </c>
      <c r="AE145" s="507">
        <v>0</v>
      </c>
      <c r="AF145" s="507">
        <v>14.21</v>
      </c>
      <c r="AG145" s="507"/>
      <c r="AH145" s="507">
        <v>0</v>
      </c>
      <c r="AI145" s="507">
        <v>0</v>
      </c>
      <c r="AJ145" s="507">
        <v>0</v>
      </c>
      <c r="AK145" s="507">
        <v>0</v>
      </c>
      <c r="AL145" s="507">
        <v>0</v>
      </c>
      <c r="AM145" s="507">
        <v>0</v>
      </c>
      <c r="AN145" s="507"/>
      <c r="AO145" s="507"/>
    </row>
    <row r="146" spans="1:41">
      <c r="A146" s="2" t="s">
        <v>119</v>
      </c>
      <c r="B146" s="2" t="s">
        <v>60</v>
      </c>
      <c r="C146" s="2" t="s">
        <v>17</v>
      </c>
      <c r="D146" s="2" t="s">
        <v>30</v>
      </c>
      <c r="E146" s="2" t="s">
        <v>19</v>
      </c>
      <c r="F146" s="2" t="s">
        <v>20</v>
      </c>
      <c r="G146" s="2" t="s">
        <v>21</v>
      </c>
      <c r="H146">
        <v>1</v>
      </c>
      <c r="I146" s="2" t="s">
        <v>526</v>
      </c>
      <c r="J146" s="3">
        <v>1</v>
      </c>
      <c r="K146" s="3">
        <v>5.2488000000000001</v>
      </c>
      <c r="L146" s="507">
        <v>16420.814776756841</v>
      </c>
      <c r="M146" s="507">
        <v>0</v>
      </c>
      <c r="N146" s="507">
        <v>16420.814776756841</v>
      </c>
      <c r="O146" s="507">
        <v>17.053502806368172</v>
      </c>
      <c r="P146">
        <v>1</v>
      </c>
      <c r="Q146" s="2" t="s">
        <v>526</v>
      </c>
      <c r="R146" s="3">
        <v>1</v>
      </c>
      <c r="S146" s="3">
        <v>5.2488000000000001</v>
      </c>
      <c r="T146" s="507">
        <v>16420.814370864882</v>
      </c>
      <c r="U146" s="507">
        <v>0</v>
      </c>
      <c r="V146" s="507">
        <v>16420.814370864882</v>
      </c>
      <c r="W146" s="507">
        <v>12.181073132026675</v>
      </c>
      <c r="X146" s="507">
        <v>16437.868279563208</v>
      </c>
      <c r="Y146" s="507">
        <v>16432.995443996908</v>
      </c>
      <c r="Z146" s="507">
        <v>86279.083025771368</v>
      </c>
      <c r="AA146" s="507">
        <v>86253.506486450977</v>
      </c>
      <c r="AB146" s="507">
        <v>86253.506486450977</v>
      </c>
      <c r="AC146" s="507">
        <v>25.58</v>
      </c>
      <c r="AD146" s="507">
        <v>25.58</v>
      </c>
      <c r="AE146" s="507">
        <v>0</v>
      </c>
      <c r="AF146" s="507">
        <v>25.58</v>
      </c>
      <c r="AG146" s="507"/>
      <c r="AH146" s="507">
        <v>0</v>
      </c>
      <c r="AI146" s="507">
        <v>0</v>
      </c>
      <c r="AJ146" s="507">
        <v>0</v>
      </c>
      <c r="AK146" s="507">
        <v>0</v>
      </c>
      <c r="AL146" s="507">
        <v>0</v>
      </c>
      <c r="AM146" s="507">
        <v>0</v>
      </c>
      <c r="AN146" s="507"/>
      <c r="AO146" s="507"/>
    </row>
    <row r="147" spans="1:41">
      <c r="A147" s="2" t="s">
        <v>120</v>
      </c>
      <c r="B147" s="2" t="s">
        <v>94</v>
      </c>
      <c r="C147" s="2" t="s">
        <v>17</v>
      </c>
      <c r="D147" s="2" t="s">
        <v>95</v>
      </c>
      <c r="E147" s="2" t="s">
        <v>19</v>
      </c>
      <c r="F147" s="2" t="s">
        <v>20</v>
      </c>
      <c r="G147" s="2" t="s">
        <v>21</v>
      </c>
      <c r="H147">
        <v>1</v>
      </c>
      <c r="I147" s="2" t="s">
        <v>526</v>
      </c>
      <c r="J147" s="3">
        <v>1</v>
      </c>
      <c r="K147" s="3">
        <v>5.2488000000000001</v>
      </c>
      <c r="L147" s="507">
        <v>30524.445579899366</v>
      </c>
      <c r="M147" s="507">
        <v>0</v>
      </c>
      <c r="N147" s="507">
        <v>30524.445579899366</v>
      </c>
      <c r="O147" s="507">
        <v>31.828046171292755</v>
      </c>
      <c r="P147">
        <v>1</v>
      </c>
      <c r="Q147" s="2" t="s">
        <v>526</v>
      </c>
      <c r="R147" s="3">
        <v>1</v>
      </c>
      <c r="S147" s="3">
        <v>5.2488000000000001</v>
      </c>
      <c r="T147" s="507">
        <v>30524.445579899366</v>
      </c>
      <c r="U147" s="507">
        <v>0</v>
      </c>
      <c r="V147" s="507">
        <v>30524.445579899366</v>
      </c>
      <c r="W147" s="507">
        <v>22.73429231756603</v>
      </c>
      <c r="X147" s="507">
        <v>30556.273626070659</v>
      </c>
      <c r="Y147" s="507">
        <v>30547.179872216933</v>
      </c>
      <c r="Z147" s="507">
        <v>160383.76900851968</v>
      </c>
      <c r="AA147" s="507">
        <v>160336.03771329223</v>
      </c>
      <c r="AB147" s="507">
        <v>160336.03771329223</v>
      </c>
      <c r="AC147" s="507">
        <v>47.73</v>
      </c>
      <c r="AD147" s="507">
        <v>47.73</v>
      </c>
      <c r="AE147" s="507">
        <v>0</v>
      </c>
      <c r="AF147" s="507">
        <v>47.73</v>
      </c>
      <c r="AG147" s="507"/>
      <c r="AH147" s="507">
        <v>0</v>
      </c>
      <c r="AI147" s="507">
        <v>0</v>
      </c>
      <c r="AJ147" s="507">
        <v>0</v>
      </c>
      <c r="AK147" s="507">
        <v>0</v>
      </c>
      <c r="AL147" s="507">
        <v>0</v>
      </c>
      <c r="AM147" s="507">
        <v>0</v>
      </c>
      <c r="AN147" s="507"/>
      <c r="AO147" s="507"/>
    </row>
    <row r="148" spans="1:41">
      <c r="A148" s="2" t="s">
        <v>121</v>
      </c>
      <c r="B148" s="2" t="s">
        <v>94</v>
      </c>
      <c r="C148" s="2" t="s">
        <v>17</v>
      </c>
      <c r="D148" s="2" t="s">
        <v>95</v>
      </c>
      <c r="E148" s="2" t="s">
        <v>19</v>
      </c>
      <c r="F148" s="2" t="s">
        <v>20</v>
      </c>
      <c r="G148" s="2" t="s">
        <v>21</v>
      </c>
      <c r="H148">
        <v>1</v>
      </c>
      <c r="I148" s="2" t="s">
        <v>526</v>
      </c>
      <c r="J148" s="3">
        <v>1</v>
      </c>
      <c r="K148" s="3">
        <v>5.2488000000000001</v>
      </c>
      <c r="L148" s="507">
        <v>1527.731630175427</v>
      </c>
      <c r="M148" s="507">
        <v>0</v>
      </c>
      <c r="N148" s="507">
        <v>1527.731630175427</v>
      </c>
      <c r="O148" s="507">
        <v>1.5930178517035356</v>
      </c>
      <c r="P148">
        <v>1</v>
      </c>
      <c r="Q148" s="2" t="s">
        <v>526</v>
      </c>
      <c r="R148" s="3">
        <v>1</v>
      </c>
      <c r="S148" s="3">
        <v>5.2488000000000001</v>
      </c>
      <c r="T148" s="507">
        <v>1527.731630175427</v>
      </c>
      <c r="U148" s="507">
        <v>0</v>
      </c>
      <c r="V148" s="507">
        <v>1527.731630175427</v>
      </c>
      <c r="W148" s="507">
        <v>1.1378962702884663</v>
      </c>
      <c r="X148" s="507">
        <v>1529.3246480271305</v>
      </c>
      <c r="Y148" s="507">
        <v>1528.8695264457153</v>
      </c>
      <c r="Z148" s="507">
        <v>8027.1192125648031</v>
      </c>
      <c r="AA148" s="507">
        <v>8024.7303704082706</v>
      </c>
      <c r="AB148" s="507">
        <v>8024.7303704082706</v>
      </c>
      <c r="AC148" s="507">
        <v>2.39</v>
      </c>
      <c r="AD148" s="507">
        <v>2.39</v>
      </c>
      <c r="AE148" s="507">
        <v>0</v>
      </c>
      <c r="AF148" s="507">
        <v>2.39</v>
      </c>
      <c r="AG148" s="507"/>
      <c r="AH148" s="507">
        <v>0</v>
      </c>
      <c r="AI148" s="507">
        <v>0</v>
      </c>
      <c r="AJ148" s="507">
        <v>0</v>
      </c>
      <c r="AK148" s="507">
        <v>0</v>
      </c>
      <c r="AL148" s="507">
        <v>0</v>
      </c>
      <c r="AM148" s="507">
        <v>0</v>
      </c>
      <c r="AN148" s="507"/>
      <c r="AO148" s="507"/>
    </row>
    <row r="149" spans="1:41">
      <c r="A149" s="2" t="s">
        <v>122</v>
      </c>
      <c r="B149" s="2" t="s">
        <v>94</v>
      </c>
      <c r="C149" s="2" t="s">
        <v>17</v>
      </c>
      <c r="D149" s="2" t="s">
        <v>95</v>
      </c>
      <c r="E149" s="2" t="s">
        <v>19</v>
      </c>
      <c r="F149" s="2" t="s">
        <v>20</v>
      </c>
      <c r="G149" s="2" t="s">
        <v>21</v>
      </c>
      <c r="H149">
        <v>1</v>
      </c>
      <c r="I149" s="2" t="s">
        <v>526</v>
      </c>
      <c r="J149" s="3">
        <v>1</v>
      </c>
      <c r="K149" s="3">
        <v>5.2488000000000001</v>
      </c>
      <c r="L149" s="507">
        <v>16612.331360275399</v>
      </c>
      <c r="M149" s="507">
        <v>0</v>
      </c>
      <c r="N149" s="507">
        <v>16612.331360275399</v>
      </c>
      <c r="O149" s="507">
        <v>17.32176121850609</v>
      </c>
      <c r="P149">
        <v>1</v>
      </c>
      <c r="Q149" s="2" t="s">
        <v>526</v>
      </c>
      <c r="R149" s="3">
        <v>1</v>
      </c>
      <c r="S149" s="3">
        <v>5.2488000000000001</v>
      </c>
      <c r="T149" s="507">
        <v>16612.331360275399</v>
      </c>
      <c r="U149" s="507">
        <v>0</v>
      </c>
      <c r="V149" s="507">
        <v>16612.331360275399</v>
      </c>
      <c r="W149" s="507">
        <v>12.372660208432697</v>
      </c>
      <c r="X149" s="507">
        <v>16629.653121493906</v>
      </c>
      <c r="Y149" s="507">
        <v>16624.70402048383</v>
      </c>
      <c r="Z149" s="507">
        <v>87285.723304097221</v>
      </c>
      <c r="AA149" s="507">
        <v>87259.746462715528</v>
      </c>
      <c r="AB149" s="507">
        <v>87259.746462715528</v>
      </c>
      <c r="AC149" s="507">
        <v>25.98</v>
      </c>
      <c r="AD149" s="507">
        <v>25.98</v>
      </c>
      <c r="AE149" s="507">
        <v>0</v>
      </c>
      <c r="AF149" s="507">
        <v>25.98</v>
      </c>
      <c r="AG149" s="507"/>
      <c r="AH149" s="507">
        <v>0</v>
      </c>
      <c r="AI149" s="507">
        <v>0</v>
      </c>
      <c r="AJ149" s="507">
        <v>0</v>
      </c>
      <c r="AK149" s="507">
        <v>0</v>
      </c>
      <c r="AL149" s="507">
        <v>0</v>
      </c>
      <c r="AM149" s="507">
        <v>0</v>
      </c>
      <c r="AN149" s="507"/>
      <c r="AO149" s="507"/>
    </row>
    <row r="150" spans="1:41">
      <c r="A150" s="2" t="s">
        <v>123</v>
      </c>
      <c r="B150" s="2" t="s">
        <v>94</v>
      </c>
      <c r="C150" s="2" t="s">
        <v>17</v>
      </c>
      <c r="D150" s="2" t="s">
        <v>95</v>
      </c>
      <c r="E150" s="2" t="s">
        <v>19</v>
      </c>
      <c r="F150" s="2" t="s">
        <v>20</v>
      </c>
      <c r="G150" s="2" t="s">
        <v>21</v>
      </c>
      <c r="H150">
        <v>1</v>
      </c>
      <c r="I150" s="2" t="s">
        <v>526</v>
      </c>
      <c r="J150" s="3">
        <v>1</v>
      </c>
      <c r="K150" s="3">
        <v>5.2488000000000001</v>
      </c>
      <c r="L150" s="507">
        <v>29871.978111044671</v>
      </c>
      <c r="M150" s="507">
        <v>0</v>
      </c>
      <c r="N150" s="507">
        <v>29871.978111044671</v>
      </c>
      <c r="O150" s="507">
        <v>31.147671717940014</v>
      </c>
      <c r="P150">
        <v>1</v>
      </c>
      <c r="Q150" s="2" t="s">
        <v>526</v>
      </c>
      <c r="R150" s="3">
        <v>1</v>
      </c>
      <c r="S150" s="3">
        <v>5.2488000000000001</v>
      </c>
      <c r="T150" s="507">
        <v>29871.978111044671</v>
      </c>
      <c r="U150" s="507">
        <v>0</v>
      </c>
      <c r="V150" s="507">
        <v>29871.978111044671</v>
      </c>
      <c r="W150" s="507">
        <v>22.24833694138572</v>
      </c>
      <c r="X150" s="507">
        <v>29903.12578276261</v>
      </c>
      <c r="Y150" s="507">
        <v>29894.226447986057</v>
      </c>
      <c r="Z150" s="507">
        <v>156955.5266085644</v>
      </c>
      <c r="AA150" s="507">
        <v>156908.81578018921</v>
      </c>
      <c r="AB150" s="507">
        <v>156908.81578018921</v>
      </c>
      <c r="AC150" s="507">
        <v>46.71</v>
      </c>
      <c r="AD150" s="507">
        <v>46.71</v>
      </c>
      <c r="AE150" s="507">
        <v>0</v>
      </c>
      <c r="AF150" s="507">
        <v>46.71</v>
      </c>
      <c r="AG150" s="507"/>
      <c r="AH150" s="507">
        <v>0</v>
      </c>
      <c r="AI150" s="507">
        <v>0</v>
      </c>
      <c r="AJ150" s="507">
        <v>0</v>
      </c>
      <c r="AK150" s="507">
        <v>0</v>
      </c>
      <c r="AL150" s="507">
        <v>0</v>
      </c>
      <c r="AM150" s="507">
        <v>0</v>
      </c>
      <c r="AN150" s="507"/>
      <c r="AO150" s="507"/>
    </row>
    <row r="151" spans="1:41">
      <c r="A151" s="2" t="s">
        <v>125</v>
      </c>
      <c r="B151" s="2" t="s">
        <v>124</v>
      </c>
      <c r="C151" s="2" t="s">
        <v>17</v>
      </c>
      <c r="D151" s="2" t="s">
        <v>25</v>
      </c>
      <c r="E151" s="2" t="s">
        <v>19</v>
      </c>
      <c r="F151" s="2" t="s">
        <v>20</v>
      </c>
      <c r="G151" s="2" t="s">
        <v>21</v>
      </c>
      <c r="H151">
        <v>1</v>
      </c>
      <c r="I151" s="2" t="s">
        <v>526</v>
      </c>
      <c r="J151" s="3">
        <v>1</v>
      </c>
      <c r="K151" s="3">
        <v>5.2488000000000001</v>
      </c>
      <c r="L151" s="507">
        <v>1747.8178406450993</v>
      </c>
      <c r="M151" s="507">
        <v>0</v>
      </c>
      <c r="N151" s="507">
        <v>1747.8178406450993</v>
      </c>
      <c r="O151" s="507">
        <v>11.899753714416645</v>
      </c>
      <c r="P151">
        <v>1</v>
      </c>
      <c r="Q151" s="2" t="s">
        <v>526</v>
      </c>
      <c r="R151" s="3">
        <v>1</v>
      </c>
      <c r="S151" s="3">
        <v>5.2488000000000001</v>
      </c>
      <c r="T151" s="507">
        <v>1747.8178406450993</v>
      </c>
      <c r="U151" s="507">
        <v>0</v>
      </c>
      <c r="V151" s="507">
        <v>1747.8178406450993</v>
      </c>
      <c r="W151" s="507">
        <v>3.044172185355281</v>
      </c>
      <c r="X151" s="507">
        <v>1759.7175943595159</v>
      </c>
      <c r="Y151" s="507">
        <v>1750.8620128304547</v>
      </c>
      <c r="Z151" s="507">
        <v>9236.4057092742278</v>
      </c>
      <c r="AA151" s="507">
        <v>9189.9245329444911</v>
      </c>
      <c r="AB151" s="507">
        <v>9189.9245329444911</v>
      </c>
      <c r="AC151" s="507">
        <v>46.48</v>
      </c>
      <c r="AD151" s="507">
        <v>46.48</v>
      </c>
      <c r="AE151" s="507">
        <v>0</v>
      </c>
      <c r="AF151" s="507">
        <v>46.48</v>
      </c>
      <c r="AG151" s="507"/>
      <c r="AH151" s="507">
        <v>0</v>
      </c>
      <c r="AI151" s="507">
        <v>0</v>
      </c>
      <c r="AJ151" s="507">
        <v>0</v>
      </c>
      <c r="AK151" s="507">
        <v>0</v>
      </c>
      <c r="AL151" s="507">
        <v>0</v>
      </c>
      <c r="AM151" s="507">
        <v>0</v>
      </c>
      <c r="AN151" s="507"/>
      <c r="AO151" s="507"/>
    </row>
    <row r="152" spans="1:41">
      <c r="A152" s="2" t="s">
        <v>126</v>
      </c>
      <c r="B152" s="2" t="s">
        <v>124</v>
      </c>
      <c r="C152" s="2" t="s">
        <v>17</v>
      </c>
      <c r="D152" s="2" t="s">
        <v>25</v>
      </c>
      <c r="E152" s="2" t="s">
        <v>19</v>
      </c>
      <c r="F152" s="2" t="s">
        <v>20</v>
      </c>
      <c r="G152" s="2" t="s">
        <v>21</v>
      </c>
      <c r="H152">
        <v>1</v>
      </c>
      <c r="I152" s="2" t="s">
        <v>526</v>
      </c>
      <c r="J152" s="3">
        <v>1</v>
      </c>
      <c r="K152" s="3">
        <v>5.2488000000000001</v>
      </c>
      <c r="L152" s="507">
        <v>3349.9837054235486</v>
      </c>
      <c r="M152" s="507">
        <v>0</v>
      </c>
      <c r="N152" s="507">
        <v>3349.9837054235486</v>
      </c>
      <c r="O152" s="507">
        <v>22.807753673795638</v>
      </c>
      <c r="P152">
        <v>1</v>
      </c>
      <c r="Q152" s="2" t="s">
        <v>526</v>
      </c>
      <c r="R152" s="3">
        <v>1</v>
      </c>
      <c r="S152" s="3">
        <v>5.2488000000000001</v>
      </c>
      <c r="T152" s="507">
        <v>3349.9837054235486</v>
      </c>
      <c r="U152" s="507">
        <v>0</v>
      </c>
      <c r="V152" s="507">
        <v>3349.9837054235486</v>
      </c>
      <c r="W152" s="507">
        <v>5.8345361772456696</v>
      </c>
      <c r="X152" s="507">
        <v>3372.7914590973442</v>
      </c>
      <c r="Y152" s="507">
        <v>3355.8182416007944</v>
      </c>
      <c r="Z152" s="507">
        <v>17703.107810510141</v>
      </c>
      <c r="AA152" s="507">
        <v>17614.018786514251</v>
      </c>
      <c r="AB152" s="507">
        <v>17614.018786514251</v>
      </c>
      <c r="AC152" s="507">
        <v>89.09</v>
      </c>
      <c r="AD152" s="507">
        <v>89.09</v>
      </c>
      <c r="AE152" s="507">
        <v>0</v>
      </c>
      <c r="AF152" s="507">
        <v>89.09</v>
      </c>
      <c r="AG152" s="507"/>
      <c r="AH152" s="507">
        <v>0</v>
      </c>
      <c r="AI152" s="507">
        <v>0</v>
      </c>
      <c r="AJ152" s="507">
        <v>0</v>
      </c>
      <c r="AK152" s="507">
        <v>0</v>
      </c>
      <c r="AL152" s="507">
        <v>0</v>
      </c>
      <c r="AM152" s="507">
        <v>0</v>
      </c>
      <c r="AN152" s="507"/>
      <c r="AO152" s="507"/>
    </row>
    <row r="153" spans="1:41">
      <c r="A153" s="2" t="s">
        <v>127</v>
      </c>
      <c r="B153" s="2" t="s">
        <v>124</v>
      </c>
      <c r="C153" s="2" t="s">
        <v>17</v>
      </c>
      <c r="D153" s="2" t="s">
        <v>25</v>
      </c>
      <c r="E153" s="2" t="s">
        <v>19</v>
      </c>
      <c r="F153" s="2" t="s">
        <v>20</v>
      </c>
      <c r="G153" s="2" t="s">
        <v>21</v>
      </c>
      <c r="H153">
        <v>1</v>
      </c>
      <c r="I153" s="2" t="s">
        <v>526</v>
      </c>
      <c r="J153" s="3">
        <v>1</v>
      </c>
      <c r="K153" s="3">
        <v>5.2488000000000001</v>
      </c>
      <c r="L153" s="507">
        <v>3495.6354465000104</v>
      </c>
      <c r="M153" s="507">
        <v>0</v>
      </c>
      <c r="N153" s="507">
        <v>3495.6354465000104</v>
      </c>
      <c r="O153" s="507">
        <v>7.1951453179755962</v>
      </c>
      <c r="P153">
        <v>1</v>
      </c>
      <c r="Q153" s="2" t="s">
        <v>526</v>
      </c>
      <c r="R153" s="3">
        <v>1</v>
      </c>
      <c r="S153" s="3">
        <v>5.2488000000000001</v>
      </c>
      <c r="T153" s="507">
        <v>11360.815494612771</v>
      </c>
      <c r="U153" s="507">
        <v>0</v>
      </c>
      <c r="V153" s="507">
        <v>11360.815494612771</v>
      </c>
      <c r="W153" s="507">
        <v>129.51332009412536</v>
      </c>
      <c r="X153" s="507">
        <v>3502.8305918179858</v>
      </c>
      <c r="Y153" s="507">
        <v>11490.328814706896</v>
      </c>
      <c r="Z153" s="507">
        <v>18385.657210334244</v>
      </c>
      <c r="AA153" s="507">
        <v>60310.43788263356</v>
      </c>
      <c r="AB153" s="507">
        <v>60310.43788263356</v>
      </c>
      <c r="AC153" s="507">
        <v>-41924.78</v>
      </c>
      <c r="AD153" s="507">
        <v>-41924.78</v>
      </c>
      <c r="AE153" s="507">
        <v>0</v>
      </c>
      <c r="AF153" s="507"/>
      <c r="AG153" s="507">
        <v>-41924.78</v>
      </c>
      <c r="AH153" s="507">
        <v>0</v>
      </c>
      <c r="AI153" s="507">
        <v>0</v>
      </c>
      <c r="AJ153" s="507">
        <v>0</v>
      </c>
      <c r="AK153" s="507">
        <v>0</v>
      </c>
      <c r="AL153" s="507">
        <v>0</v>
      </c>
      <c r="AM153" s="507">
        <v>0</v>
      </c>
      <c r="AN153" s="507"/>
      <c r="AO153" s="507"/>
    </row>
    <row r="154" spans="1:41">
      <c r="A154" s="2" t="s">
        <v>128</v>
      </c>
      <c r="B154" s="2" t="s">
        <v>124</v>
      </c>
      <c r="C154" s="2" t="s">
        <v>17</v>
      </c>
      <c r="D154" s="2" t="s">
        <v>25</v>
      </c>
      <c r="E154" s="2" t="s">
        <v>19</v>
      </c>
      <c r="F154" s="2" t="s">
        <v>20</v>
      </c>
      <c r="G154" s="2" t="s">
        <v>21</v>
      </c>
      <c r="H154">
        <v>1</v>
      </c>
      <c r="I154" s="2" t="s">
        <v>526</v>
      </c>
      <c r="J154" s="3">
        <v>1</v>
      </c>
      <c r="K154" s="3">
        <v>5.2488000000000001</v>
      </c>
      <c r="L154" s="507">
        <v>2039.1205010323652</v>
      </c>
      <c r="M154" s="507">
        <v>0</v>
      </c>
      <c r="N154" s="507">
        <v>2039.1205010323652</v>
      </c>
      <c r="O154" s="507">
        <v>23.891662577709308</v>
      </c>
      <c r="P154">
        <v>1</v>
      </c>
      <c r="Q154" s="2" t="s">
        <v>526</v>
      </c>
      <c r="R154" s="3">
        <v>1</v>
      </c>
      <c r="S154" s="3">
        <v>5.2488000000000001</v>
      </c>
      <c r="T154" s="507">
        <v>2039.1205010323652</v>
      </c>
      <c r="U154" s="507">
        <v>0</v>
      </c>
      <c r="V154" s="507">
        <v>2039.1205010323652</v>
      </c>
      <c r="W154" s="507">
        <v>13.560189925502414</v>
      </c>
      <c r="X154" s="507">
        <v>2063.0121636100744</v>
      </c>
      <c r="Y154" s="507">
        <v>2052.6806909578677</v>
      </c>
      <c r="Z154" s="507">
        <v>10828.338244356559</v>
      </c>
      <c r="AA154" s="507">
        <v>10774.110410699655</v>
      </c>
      <c r="AB154" s="507">
        <v>10774.110410699655</v>
      </c>
      <c r="AC154" s="507">
        <v>54.23</v>
      </c>
      <c r="AD154" s="507">
        <v>54.23</v>
      </c>
      <c r="AE154" s="507">
        <v>0</v>
      </c>
      <c r="AF154" s="507">
        <v>54.23</v>
      </c>
      <c r="AG154" s="507"/>
      <c r="AH154" s="507">
        <v>0</v>
      </c>
      <c r="AI154" s="507">
        <v>0</v>
      </c>
      <c r="AJ154" s="507">
        <v>0</v>
      </c>
      <c r="AK154" s="507">
        <v>0</v>
      </c>
      <c r="AL154" s="507">
        <v>0</v>
      </c>
      <c r="AM154" s="507">
        <v>0</v>
      </c>
      <c r="AN154" s="507"/>
      <c r="AO154" s="507"/>
    </row>
    <row r="155" spans="1:41">
      <c r="A155" s="2" t="s">
        <v>129</v>
      </c>
      <c r="B155" s="2" t="s">
        <v>124</v>
      </c>
      <c r="C155" s="2" t="s">
        <v>17</v>
      </c>
      <c r="D155" s="2" t="s">
        <v>25</v>
      </c>
      <c r="E155" s="2" t="s">
        <v>19</v>
      </c>
      <c r="F155" s="2" t="s">
        <v>20</v>
      </c>
      <c r="G155" s="2" t="s">
        <v>21</v>
      </c>
      <c r="H155">
        <v>1</v>
      </c>
      <c r="I155" s="2" t="s">
        <v>526</v>
      </c>
      <c r="J155" s="3">
        <v>1</v>
      </c>
      <c r="K155" s="3">
        <v>5.2488000000000001</v>
      </c>
      <c r="L155" s="507">
        <v>12817.330440080415</v>
      </c>
      <c r="M155" s="507">
        <v>0</v>
      </c>
      <c r="N155" s="507">
        <v>12817.330440080415</v>
      </c>
      <c r="O155" s="507">
        <v>150.17638279363325</v>
      </c>
      <c r="P155">
        <v>1</v>
      </c>
      <c r="Q155" s="2" t="s">
        <v>526</v>
      </c>
      <c r="R155" s="3">
        <v>1</v>
      </c>
      <c r="S155" s="3">
        <v>5.2488000000000001</v>
      </c>
      <c r="T155" s="507">
        <v>12817.330440080415</v>
      </c>
      <c r="U155" s="507">
        <v>0</v>
      </c>
      <c r="V155" s="507">
        <v>12817.330440080415</v>
      </c>
      <c r="W155" s="507">
        <v>85.235295053724442</v>
      </c>
      <c r="X155" s="507">
        <v>12967.506822874049</v>
      </c>
      <c r="Y155" s="507">
        <v>12902.56573513414</v>
      </c>
      <c r="Z155" s="507">
        <v>68063.849811901309</v>
      </c>
      <c r="AA155" s="507">
        <v>67722.987030572069</v>
      </c>
      <c r="AB155" s="507">
        <v>67722.987030572069</v>
      </c>
      <c r="AC155" s="507">
        <v>340.86</v>
      </c>
      <c r="AD155" s="507">
        <v>340.86</v>
      </c>
      <c r="AE155" s="507">
        <v>0</v>
      </c>
      <c r="AF155" s="507">
        <v>340.86</v>
      </c>
      <c r="AG155" s="507"/>
      <c r="AH155" s="507">
        <v>0</v>
      </c>
      <c r="AI155" s="507">
        <v>0</v>
      </c>
      <c r="AJ155" s="507">
        <v>0</v>
      </c>
      <c r="AK155" s="507">
        <v>0</v>
      </c>
      <c r="AL155" s="507">
        <v>0</v>
      </c>
      <c r="AM155" s="507">
        <v>0</v>
      </c>
      <c r="AN155" s="507"/>
      <c r="AO155" s="507"/>
    </row>
    <row r="156" spans="1:41">
      <c r="A156" s="2"/>
      <c r="B156" s="2"/>
      <c r="C156" s="2"/>
      <c r="D156" s="2"/>
      <c r="E156" s="2"/>
      <c r="F156" s="2"/>
      <c r="G156" s="2"/>
      <c r="I156" s="2"/>
      <c r="J156" s="3"/>
      <c r="K156" s="3"/>
      <c r="L156" s="507"/>
      <c r="M156" s="507"/>
      <c r="N156" s="507"/>
      <c r="O156" s="507"/>
      <c r="P156">
        <v>1</v>
      </c>
      <c r="Q156" s="2" t="s">
        <v>526</v>
      </c>
      <c r="R156" s="3">
        <v>1</v>
      </c>
      <c r="S156" s="3">
        <v>5.2488000000000001</v>
      </c>
      <c r="T156" s="507">
        <v>2913.0298909352914</v>
      </c>
      <c r="U156" s="507">
        <v>0</v>
      </c>
      <c r="V156" s="507">
        <v>2913.0298909352914</v>
      </c>
      <c r="W156" s="507">
        <v>33.208489431527177</v>
      </c>
      <c r="X156" s="507"/>
      <c r="Y156" s="507">
        <v>2946.2383803668185</v>
      </c>
      <c r="Z156" s="507"/>
      <c r="AA156" s="507">
        <v>15464.216010869357</v>
      </c>
      <c r="AB156" s="507"/>
      <c r="AC156" s="507"/>
      <c r="AD156" s="507"/>
      <c r="AE156" s="507"/>
      <c r="AF156" s="507"/>
      <c r="AG156" s="507"/>
      <c r="AH156" s="507"/>
      <c r="AI156" s="507">
        <v>0</v>
      </c>
      <c r="AJ156" s="507"/>
      <c r="AK156" s="507"/>
      <c r="AL156" s="507"/>
      <c r="AM156" s="507"/>
      <c r="AN156" s="507"/>
      <c r="AO156" s="507"/>
    </row>
    <row r="157" spans="1:41">
      <c r="A157" s="2" t="s">
        <v>130</v>
      </c>
      <c r="B157" s="2" t="s">
        <v>131</v>
      </c>
      <c r="C157" s="2" t="s">
        <v>17</v>
      </c>
      <c r="D157" s="2" t="s">
        <v>25</v>
      </c>
      <c r="E157" s="2" t="s">
        <v>19</v>
      </c>
      <c r="F157" s="2" t="s">
        <v>20</v>
      </c>
      <c r="G157" s="2" t="s">
        <v>21</v>
      </c>
      <c r="H157">
        <v>1</v>
      </c>
      <c r="I157" s="2" t="s">
        <v>526</v>
      </c>
      <c r="J157" s="3">
        <v>1</v>
      </c>
      <c r="K157" s="3">
        <v>5.2488000000000001</v>
      </c>
      <c r="L157" s="507">
        <v>146184.38138992726</v>
      </c>
      <c r="M157" s="507">
        <v>0</v>
      </c>
      <c r="N157" s="507">
        <v>146184.38138992726</v>
      </c>
      <c r="O157" s="507">
        <v>643.21126607488156</v>
      </c>
      <c r="P157">
        <v>1</v>
      </c>
      <c r="Q157" s="2" t="s">
        <v>526</v>
      </c>
      <c r="R157" s="3">
        <v>1</v>
      </c>
      <c r="S157" s="3">
        <v>5.2488000000000001</v>
      </c>
      <c r="T157" s="507">
        <v>146184.38138992726</v>
      </c>
      <c r="U157" s="507">
        <v>0</v>
      </c>
      <c r="V157" s="507">
        <v>146184.38138992726</v>
      </c>
      <c r="W157" s="507">
        <v>71.467923678805576</v>
      </c>
      <c r="X157" s="507">
        <v>146827.59265600215</v>
      </c>
      <c r="Y157" s="507">
        <v>146255.84931360607</v>
      </c>
      <c r="Z157" s="507">
        <v>770668.66833282413</v>
      </c>
      <c r="AA157" s="507">
        <v>767667.70187725557</v>
      </c>
      <c r="AB157" s="507">
        <v>767667.70187725557</v>
      </c>
      <c r="AC157" s="507">
        <v>3000.97</v>
      </c>
      <c r="AD157" s="507">
        <v>3000.97</v>
      </c>
      <c r="AE157" s="507">
        <v>0</v>
      </c>
      <c r="AF157" s="507">
        <v>3000.97</v>
      </c>
      <c r="AG157" s="507"/>
      <c r="AH157" s="507">
        <v>0</v>
      </c>
      <c r="AI157" s="507">
        <v>0</v>
      </c>
      <c r="AJ157" s="507">
        <v>0</v>
      </c>
      <c r="AK157" s="507">
        <v>0</v>
      </c>
      <c r="AL157" s="507">
        <v>0</v>
      </c>
      <c r="AM157" s="507">
        <v>0</v>
      </c>
      <c r="AN157" s="507"/>
      <c r="AO157" s="507"/>
    </row>
    <row r="158" spans="1:41">
      <c r="A158" s="2" t="s">
        <v>132</v>
      </c>
      <c r="B158" s="2" t="s">
        <v>131</v>
      </c>
      <c r="C158" s="2" t="s">
        <v>17</v>
      </c>
      <c r="D158" s="2" t="s">
        <v>25</v>
      </c>
      <c r="E158" s="2" t="s">
        <v>19</v>
      </c>
      <c r="F158" s="2" t="s">
        <v>20</v>
      </c>
      <c r="G158" s="2" t="s">
        <v>21</v>
      </c>
      <c r="H158">
        <v>1</v>
      </c>
      <c r="I158" s="2" t="s">
        <v>526</v>
      </c>
      <c r="J158" s="3">
        <v>1</v>
      </c>
      <c r="K158" s="3">
        <v>5.2488000000000001</v>
      </c>
      <c r="L158" s="507">
        <v>293586.966099207</v>
      </c>
      <c r="M158" s="507">
        <v>0</v>
      </c>
      <c r="N158" s="507">
        <v>293586.966099207</v>
      </c>
      <c r="O158" s="507">
        <v>1291.7826628773091</v>
      </c>
      <c r="P158">
        <v>1</v>
      </c>
      <c r="Q158" s="2" t="s">
        <v>526</v>
      </c>
      <c r="R158" s="3">
        <v>1</v>
      </c>
      <c r="S158" s="3">
        <v>5.2488000000000001</v>
      </c>
      <c r="T158" s="507">
        <v>293586.966099207</v>
      </c>
      <c r="U158" s="507">
        <v>0</v>
      </c>
      <c r="V158" s="507">
        <v>293586.966099207</v>
      </c>
      <c r="W158" s="507">
        <v>143.53139653428576</v>
      </c>
      <c r="X158" s="507">
        <v>294878.74876208429</v>
      </c>
      <c r="Y158" s="507">
        <v>293730.49749574129</v>
      </c>
      <c r="Z158" s="507">
        <v>1547759.5765024282</v>
      </c>
      <c r="AA158" s="507">
        <v>1541732.6352556469</v>
      </c>
      <c r="AB158" s="507">
        <v>1541732.6352556469</v>
      </c>
      <c r="AC158" s="507">
        <v>6026.94</v>
      </c>
      <c r="AD158" s="507">
        <v>6026.94</v>
      </c>
      <c r="AE158" s="507">
        <v>0</v>
      </c>
      <c r="AF158" s="507">
        <v>6026.94</v>
      </c>
      <c r="AG158" s="507"/>
      <c r="AH158" s="507">
        <v>0</v>
      </c>
      <c r="AI158" s="507">
        <v>0</v>
      </c>
      <c r="AJ158" s="507">
        <v>0</v>
      </c>
      <c r="AK158" s="507">
        <v>0</v>
      </c>
      <c r="AL158" s="507">
        <v>0</v>
      </c>
      <c r="AM158" s="507">
        <v>0</v>
      </c>
      <c r="AN158" s="507"/>
      <c r="AO158" s="507"/>
    </row>
    <row r="159" spans="1:41">
      <c r="A159" s="2" t="s">
        <v>134</v>
      </c>
      <c r="B159" s="2" t="s">
        <v>135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>
        <v>1</v>
      </c>
      <c r="I159" s="2" t="s">
        <v>526</v>
      </c>
      <c r="J159" s="3">
        <v>1</v>
      </c>
      <c r="K159" s="3">
        <v>5.2488000000000001</v>
      </c>
      <c r="L159" s="507">
        <v>1790944.9654061534</v>
      </c>
      <c r="M159" s="507">
        <v>0</v>
      </c>
      <c r="N159" s="507">
        <v>1790944.9654061534</v>
      </c>
      <c r="O159" s="507">
        <v>1567.0768447303844</v>
      </c>
      <c r="P159">
        <v>1</v>
      </c>
      <c r="Q159" s="2" t="s">
        <v>526</v>
      </c>
      <c r="R159" s="3">
        <v>1</v>
      </c>
      <c r="S159" s="3">
        <v>5.2488000000000001</v>
      </c>
      <c r="T159" s="507">
        <v>1790944.9654061534</v>
      </c>
      <c r="U159" s="507">
        <v>0</v>
      </c>
      <c r="V159" s="507">
        <v>1790944.9654061534</v>
      </c>
      <c r="W159" s="507">
        <v>14103.691602573459</v>
      </c>
      <c r="X159" s="507">
        <v>1792512.0422508838</v>
      </c>
      <c r="Y159" s="507">
        <v>1805048.6570087268</v>
      </c>
      <c r="Z159" s="507">
        <v>9408537.2073664386</v>
      </c>
      <c r="AA159" s="507">
        <v>9474339.3909074049</v>
      </c>
      <c r="AB159" s="507">
        <v>9474339.3909074049</v>
      </c>
      <c r="AC159" s="507">
        <v>-65802.179999999993</v>
      </c>
      <c r="AD159" s="507">
        <v>-65802.179999999993</v>
      </c>
      <c r="AE159" s="507">
        <v>0</v>
      </c>
      <c r="AF159" s="507"/>
      <c r="AG159" s="507">
        <v>-65802.179999999993</v>
      </c>
      <c r="AH159" s="507">
        <v>0</v>
      </c>
      <c r="AI159" s="507">
        <v>0</v>
      </c>
      <c r="AJ159" s="507">
        <v>0</v>
      </c>
      <c r="AK159" s="507">
        <v>0</v>
      </c>
      <c r="AL159" s="507">
        <v>0</v>
      </c>
      <c r="AM159" s="507">
        <v>0</v>
      </c>
      <c r="AN159" s="507"/>
      <c r="AO159" s="507"/>
    </row>
    <row r="160" spans="1:41">
      <c r="A160" s="2" t="s">
        <v>139</v>
      </c>
      <c r="B160" s="2" t="s">
        <v>140</v>
      </c>
      <c r="C160" s="2" t="s">
        <v>17</v>
      </c>
      <c r="D160" s="2" t="s">
        <v>25</v>
      </c>
      <c r="E160" s="2" t="s">
        <v>19</v>
      </c>
      <c r="F160" s="2" t="s">
        <v>20</v>
      </c>
      <c r="G160" s="2" t="s">
        <v>21</v>
      </c>
      <c r="H160">
        <v>1</v>
      </c>
      <c r="I160" s="2" t="s">
        <v>526</v>
      </c>
      <c r="J160" s="3">
        <v>1</v>
      </c>
      <c r="K160" s="3">
        <v>5.2488000000000001</v>
      </c>
      <c r="L160" s="507">
        <v>208515.52218630974</v>
      </c>
      <c r="M160" s="507">
        <v>0</v>
      </c>
      <c r="N160" s="507">
        <v>208515.52218630974</v>
      </c>
      <c r="O160" s="507">
        <v>160.15151450211943</v>
      </c>
      <c r="P160">
        <v>1</v>
      </c>
      <c r="Q160" s="2" t="s">
        <v>526</v>
      </c>
      <c r="R160" s="3">
        <v>1</v>
      </c>
      <c r="S160" s="3">
        <v>5.2488000000000001</v>
      </c>
      <c r="T160" s="507">
        <v>208515.52218630974</v>
      </c>
      <c r="U160" s="507">
        <v>0</v>
      </c>
      <c r="V160" s="507">
        <v>208515.52218630974</v>
      </c>
      <c r="W160" s="507">
        <v>1529.1138224157539</v>
      </c>
      <c r="X160" s="507">
        <v>208675.67370081187</v>
      </c>
      <c r="Y160" s="507">
        <v>210044.6360087255</v>
      </c>
      <c r="Z160" s="507">
        <v>1095296.8761208213</v>
      </c>
      <c r="AA160" s="507">
        <v>1102482.2854825985</v>
      </c>
      <c r="AB160" s="507">
        <v>1102482.2854825985</v>
      </c>
      <c r="AC160" s="507">
        <v>-7185.41</v>
      </c>
      <c r="AD160" s="507">
        <v>-7185.41</v>
      </c>
      <c r="AE160" s="507">
        <v>0</v>
      </c>
      <c r="AF160" s="507"/>
      <c r="AG160" s="507">
        <v>-7185.41</v>
      </c>
      <c r="AH160" s="507">
        <v>0</v>
      </c>
      <c r="AI160" s="507">
        <v>0</v>
      </c>
      <c r="AJ160" s="507">
        <v>0</v>
      </c>
      <c r="AK160" s="507">
        <v>0</v>
      </c>
      <c r="AL160" s="507">
        <v>0</v>
      </c>
      <c r="AM160" s="507">
        <v>0</v>
      </c>
      <c r="AN160" s="507"/>
      <c r="AO160" s="507"/>
    </row>
    <row r="161" spans="1:41">
      <c r="A161" s="2" t="s">
        <v>141</v>
      </c>
      <c r="B161" s="2" t="s">
        <v>142</v>
      </c>
      <c r="C161" s="2" t="s">
        <v>17</v>
      </c>
      <c r="D161" s="2" t="s">
        <v>25</v>
      </c>
      <c r="E161" s="2" t="s">
        <v>19</v>
      </c>
      <c r="F161" s="2" t="s">
        <v>20</v>
      </c>
      <c r="G161" s="2" t="s">
        <v>21</v>
      </c>
      <c r="H161">
        <v>1</v>
      </c>
      <c r="I161" s="2" t="s">
        <v>526</v>
      </c>
      <c r="J161" s="3">
        <v>1</v>
      </c>
      <c r="K161" s="3">
        <v>5.2488000000000001</v>
      </c>
      <c r="L161" s="507">
        <v>470343.68715415429</v>
      </c>
      <c r="M161" s="507">
        <v>0</v>
      </c>
      <c r="N161" s="507">
        <v>470343.68715415429</v>
      </c>
      <c r="O161" s="507">
        <v>361.25010284339623</v>
      </c>
      <c r="P161">
        <v>1</v>
      </c>
      <c r="Q161" s="2" t="s">
        <v>526</v>
      </c>
      <c r="R161" s="3">
        <v>1</v>
      </c>
      <c r="S161" s="3">
        <v>5.2488000000000001</v>
      </c>
      <c r="T161" s="507">
        <v>470343.68715415429</v>
      </c>
      <c r="U161" s="507">
        <v>0</v>
      </c>
      <c r="V161" s="507">
        <v>470343.68715415429</v>
      </c>
      <c r="W161" s="507">
        <v>3449.1870234523412</v>
      </c>
      <c r="X161" s="507">
        <v>470704.93725699768</v>
      </c>
      <c r="Y161" s="507">
        <v>473792.87417760666</v>
      </c>
      <c r="Z161" s="507">
        <v>2470636.0746745295</v>
      </c>
      <c r="AA161" s="507">
        <v>2486844.0379834217</v>
      </c>
      <c r="AB161" s="507">
        <v>2486844.0379834217</v>
      </c>
      <c r="AC161" s="507">
        <v>-16207.96</v>
      </c>
      <c r="AD161" s="507">
        <v>-16207.96</v>
      </c>
      <c r="AE161" s="507">
        <v>0</v>
      </c>
      <c r="AF161" s="507"/>
      <c r="AG161" s="507">
        <v>-16207.96</v>
      </c>
      <c r="AH161" s="507">
        <v>0</v>
      </c>
      <c r="AI161" s="507">
        <v>0</v>
      </c>
      <c r="AJ161" s="507">
        <v>0</v>
      </c>
      <c r="AK161" s="507">
        <v>0</v>
      </c>
      <c r="AL161" s="507">
        <v>0</v>
      </c>
      <c r="AM161" s="507">
        <v>0</v>
      </c>
      <c r="AN161" s="507"/>
      <c r="AO161" s="507"/>
    </row>
    <row r="162" spans="1:41">
      <c r="A162" s="2" t="s">
        <v>143</v>
      </c>
      <c r="B162" s="2" t="s">
        <v>144</v>
      </c>
      <c r="C162" s="2" t="s">
        <v>17</v>
      </c>
      <c r="D162" s="2" t="s">
        <v>25</v>
      </c>
      <c r="E162" s="2" t="s">
        <v>19</v>
      </c>
      <c r="F162" s="2" t="s">
        <v>20</v>
      </c>
      <c r="G162" s="2" t="s">
        <v>21</v>
      </c>
      <c r="H162">
        <v>1</v>
      </c>
      <c r="I162" s="2" t="s">
        <v>526</v>
      </c>
      <c r="J162" s="3">
        <v>1</v>
      </c>
      <c r="K162" s="3">
        <v>5.2488000000000001</v>
      </c>
      <c r="L162" s="507">
        <v>1948758.5622188756</v>
      </c>
      <c r="M162" s="507">
        <v>0</v>
      </c>
      <c r="N162" s="507">
        <v>1948758.5622188756</v>
      </c>
      <c r="O162" s="507">
        <v>1477.808537217616</v>
      </c>
      <c r="P162">
        <v>1</v>
      </c>
      <c r="Q162" s="2" t="s">
        <v>526</v>
      </c>
      <c r="R162" s="3">
        <v>1</v>
      </c>
      <c r="S162" s="3">
        <v>5.2488000000000001</v>
      </c>
      <c r="T162" s="507">
        <v>1948758.5622188756</v>
      </c>
      <c r="U162" s="507">
        <v>0</v>
      </c>
      <c r="V162" s="507">
        <v>1948758.5622188756</v>
      </c>
      <c r="W162" s="507">
        <v>14112.259960533387</v>
      </c>
      <c r="X162" s="507">
        <v>1950236.3707560932</v>
      </c>
      <c r="Y162" s="507">
        <v>1962870.822179409</v>
      </c>
      <c r="Z162" s="507">
        <v>10236400.662824582</v>
      </c>
      <c r="AA162" s="507">
        <v>10302716.371455282</v>
      </c>
      <c r="AB162" s="507">
        <v>10302716.371455282</v>
      </c>
      <c r="AC162" s="507">
        <v>-66315.710000000006</v>
      </c>
      <c r="AD162" s="507">
        <v>-66315.710000000006</v>
      </c>
      <c r="AE162" s="507">
        <v>0</v>
      </c>
      <c r="AF162" s="507"/>
      <c r="AG162" s="507">
        <v>-66315.710000000006</v>
      </c>
      <c r="AH162" s="507">
        <v>0</v>
      </c>
      <c r="AI162" s="507">
        <v>0</v>
      </c>
      <c r="AJ162" s="507">
        <v>0</v>
      </c>
      <c r="AK162" s="507">
        <v>0</v>
      </c>
      <c r="AL162" s="507">
        <v>0</v>
      </c>
      <c r="AM162" s="507">
        <v>0</v>
      </c>
      <c r="AN162" s="507"/>
      <c r="AO162" s="507"/>
    </row>
    <row r="163" spans="1:41">
      <c r="A163" s="2" t="s">
        <v>145</v>
      </c>
      <c r="B163" s="2" t="s">
        <v>146</v>
      </c>
      <c r="C163" s="2" t="s">
        <v>17</v>
      </c>
      <c r="D163" s="2" t="s">
        <v>25</v>
      </c>
      <c r="E163" s="2" t="s">
        <v>19</v>
      </c>
      <c r="F163" s="2" t="s">
        <v>20</v>
      </c>
      <c r="G163" s="2" t="s">
        <v>21</v>
      </c>
      <c r="H163">
        <v>1</v>
      </c>
      <c r="I163" s="2" t="s">
        <v>526</v>
      </c>
      <c r="J163" s="3">
        <v>1</v>
      </c>
      <c r="K163" s="3">
        <v>5.2488000000000001</v>
      </c>
      <c r="L163" s="507">
        <v>81748.804297192793</v>
      </c>
      <c r="M163" s="507">
        <v>0</v>
      </c>
      <c r="N163" s="507">
        <v>81748.804297192793</v>
      </c>
      <c r="O163" s="507">
        <v>61.992840533744392</v>
      </c>
      <c r="P163">
        <v>1</v>
      </c>
      <c r="Q163" s="2" t="s">
        <v>526</v>
      </c>
      <c r="R163" s="3">
        <v>1</v>
      </c>
      <c r="S163" s="3">
        <v>5.2488000000000001</v>
      </c>
      <c r="T163" s="507">
        <v>81748.804297192793</v>
      </c>
      <c r="U163" s="507">
        <v>0</v>
      </c>
      <c r="V163" s="507">
        <v>81748.804297192793</v>
      </c>
      <c r="W163" s="507">
        <v>591.99759384379797</v>
      </c>
      <c r="X163" s="507">
        <v>81810.797137726535</v>
      </c>
      <c r="Y163" s="507">
        <v>82340.801891036594</v>
      </c>
      <c r="Z163" s="507">
        <v>429408.51201649907</v>
      </c>
      <c r="AA163" s="507">
        <v>432190.40096567286</v>
      </c>
      <c r="AB163" s="507">
        <v>432190.40096567286</v>
      </c>
      <c r="AC163" s="507">
        <v>-2781.89</v>
      </c>
      <c r="AD163" s="507">
        <v>-2781.89</v>
      </c>
      <c r="AE163" s="507">
        <v>0</v>
      </c>
      <c r="AF163" s="507"/>
      <c r="AG163" s="507">
        <v>-2781.89</v>
      </c>
      <c r="AH163" s="507">
        <v>0</v>
      </c>
      <c r="AI163" s="507">
        <v>0</v>
      </c>
      <c r="AJ163" s="507">
        <v>0</v>
      </c>
      <c r="AK163" s="507">
        <v>0</v>
      </c>
      <c r="AL163" s="507">
        <v>0</v>
      </c>
      <c r="AM163" s="507">
        <v>0</v>
      </c>
      <c r="AN163" s="507"/>
      <c r="AO163" s="507"/>
    </row>
    <row r="164" spans="1:41">
      <c r="A164" s="2" t="s">
        <v>147</v>
      </c>
      <c r="B164" s="2" t="s">
        <v>148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>
        <v>1</v>
      </c>
      <c r="I164" s="2" t="s">
        <v>526</v>
      </c>
      <c r="J164" s="3">
        <v>1</v>
      </c>
      <c r="K164" s="3">
        <v>5.2488000000000001</v>
      </c>
      <c r="L164" s="507">
        <v>892655.35915070795</v>
      </c>
      <c r="M164" s="507">
        <v>0</v>
      </c>
      <c r="N164" s="507">
        <v>892655.35915070795</v>
      </c>
      <c r="O164" s="507">
        <v>1093.5028149596174</v>
      </c>
      <c r="P164">
        <v>1</v>
      </c>
      <c r="Q164" s="2" t="s">
        <v>526</v>
      </c>
      <c r="R164" s="3">
        <v>1</v>
      </c>
      <c r="S164" s="3">
        <v>5.2488000000000001</v>
      </c>
      <c r="T164" s="507">
        <v>892555.67142113915</v>
      </c>
      <c r="U164" s="507">
        <v>0</v>
      </c>
      <c r="V164" s="507">
        <v>892555.67142113915</v>
      </c>
      <c r="W164" s="507">
        <v>780.98621249349685</v>
      </c>
      <c r="X164" s="507">
        <v>893748.86196566757</v>
      </c>
      <c r="Y164" s="507">
        <v>893336.65763363265</v>
      </c>
      <c r="Z164" s="507">
        <v>4691109.0266853962</v>
      </c>
      <c r="AA164" s="507">
        <v>4688945.4485874111</v>
      </c>
      <c r="AB164" s="507">
        <v>4688945.4485874111</v>
      </c>
      <c r="AC164" s="507">
        <v>2163.58</v>
      </c>
      <c r="AD164" s="507">
        <v>2163.58</v>
      </c>
      <c r="AE164" s="507">
        <v>0</v>
      </c>
      <c r="AF164" s="507">
        <v>2163.58</v>
      </c>
      <c r="AG164" s="507"/>
      <c r="AH164" s="507">
        <v>0</v>
      </c>
      <c r="AI164" s="507">
        <v>0</v>
      </c>
      <c r="AJ164" s="507">
        <v>0</v>
      </c>
      <c r="AK164" s="507">
        <v>0</v>
      </c>
      <c r="AL164" s="507">
        <v>0</v>
      </c>
      <c r="AM164" s="507">
        <v>0</v>
      </c>
      <c r="AN164" s="507"/>
      <c r="AO164" s="507"/>
    </row>
    <row r="165" spans="1:41">
      <c r="A165" s="2" t="s">
        <v>149</v>
      </c>
      <c r="B165" s="2" t="s">
        <v>150</v>
      </c>
      <c r="C165" s="2" t="s">
        <v>17</v>
      </c>
      <c r="D165" s="2" t="s">
        <v>25</v>
      </c>
      <c r="E165" s="2" t="s">
        <v>19</v>
      </c>
      <c r="F165" s="2" t="s">
        <v>20</v>
      </c>
      <c r="G165" s="2" t="s">
        <v>21</v>
      </c>
      <c r="H165">
        <v>1</v>
      </c>
      <c r="I165" s="2" t="s">
        <v>526</v>
      </c>
      <c r="J165" s="3">
        <v>1</v>
      </c>
      <c r="K165" s="3">
        <v>5.2488000000000001</v>
      </c>
      <c r="L165" s="507">
        <v>329240.58100790798</v>
      </c>
      <c r="M165" s="507">
        <v>0</v>
      </c>
      <c r="N165" s="507">
        <v>329240.58100790798</v>
      </c>
      <c r="O165" s="507">
        <v>256.07598654643118</v>
      </c>
      <c r="P165">
        <v>1</v>
      </c>
      <c r="Q165" s="2" t="s">
        <v>526</v>
      </c>
      <c r="R165" s="3">
        <v>1</v>
      </c>
      <c r="S165" s="3">
        <v>5.2488000000000001</v>
      </c>
      <c r="T165" s="507">
        <v>329240.58100790798</v>
      </c>
      <c r="U165" s="507">
        <v>0</v>
      </c>
      <c r="V165" s="507">
        <v>329240.58100790798</v>
      </c>
      <c r="W165" s="507">
        <v>2414.4309117132025</v>
      </c>
      <c r="X165" s="507">
        <v>329496.65699445439</v>
      </c>
      <c r="Y165" s="507">
        <v>331655.0119196212</v>
      </c>
      <c r="Z165" s="507">
        <v>1729462.0532324922</v>
      </c>
      <c r="AA165" s="507">
        <v>1740790.8265637078</v>
      </c>
      <c r="AB165" s="507">
        <v>1740790.8265637078</v>
      </c>
      <c r="AC165" s="507">
        <v>-11328.77</v>
      </c>
      <c r="AD165" s="507">
        <v>-11328.77</v>
      </c>
      <c r="AE165" s="507">
        <v>0</v>
      </c>
      <c r="AF165" s="507"/>
      <c r="AG165" s="507">
        <v>-11328.77</v>
      </c>
      <c r="AH165" s="507">
        <v>0</v>
      </c>
      <c r="AI165" s="507">
        <v>0</v>
      </c>
      <c r="AJ165" s="507">
        <v>0</v>
      </c>
      <c r="AK165" s="507">
        <v>0</v>
      </c>
      <c r="AL165" s="507">
        <v>0</v>
      </c>
      <c r="AM165" s="507">
        <v>0</v>
      </c>
      <c r="AN165" s="507"/>
      <c r="AO165" s="507"/>
    </row>
    <row r="166" spans="1:41">
      <c r="A166" s="2" t="s">
        <v>152</v>
      </c>
      <c r="B166" s="2" t="s">
        <v>148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21</v>
      </c>
      <c r="H166">
        <v>1</v>
      </c>
      <c r="I166" s="2" t="s">
        <v>526</v>
      </c>
      <c r="J166" s="3">
        <v>1</v>
      </c>
      <c r="K166" s="3">
        <v>5.2488000000000001</v>
      </c>
      <c r="L166" s="507">
        <v>702140.75190756097</v>
      </c>
      <c r="M166" s="507">
        <v>0</v>
      </c>
      <c r="N166" s="507">
        <v>702140.75190756097</v>
      </c>
      <c r="O166" s="507">
        <v>860.12242108676219</v>
      </c>
      <c r="P166">
        <v>1</v>
      </c>
      <c r="Q166" s="2" t="s">
        <v>526</v>
      </c>
      <c r="R166" s="3">
        <v>1</v>
      </c>
      <c r="S166" s="3">
        <v>5.2488000000000001</v>
      </c>
      <c r="T166" s="507">
        <v>702041.06417799194</v>
      </c>
      <c r="U166" s="507">
        <v>0</v>
      </c>
      <c r="V166" s="507">
        <v>702041.06417799194</v>
      </c>
      <c r="W166" s="507">
        <v>614.2859311557429</v>
      </c>
      <c r="X166" s="507">
        <v>703000.87432864774</v>
      </c>
      <c r="Y166" s="507">
        <v>702655.35010914772</v>
      </c>
      <c r="Z166" s="507">
        <v>3689910.9891762063</v>
      </c>
      <c r="AA166" s="507">
        <v>3688097.4016528944</v>
      </c>
      <c r="AB166" s="507">
        <v>3688097.4016528944</v>
      </c>
      <c r="AC166" s="507">
        <v>1813.59</v>
      </c>
      <c r="AD166" s="507">
        <v>1813.59</v>
      </c>
      <c r="AE166" s="507">
        <v>0</v>
      </c>
      <c r="AF166" s="507">
        <v>1813.59</v>
      </c>
      <c r="AG166" s="507"/>
      <c r="AH166" s="507">
        <v>0</v>
      </c>
      <c r="AI166" s="507">
        <v>0</v>
      </c>
      <c r="AJ166" s="507">
        <v>0</v>
      </c>
      <c r="AK166" s="507">
        <v>0</v>
      </c>
      <c r="AL166" s="507">
        <v>0</v>
      </c>
      <c r="AM166" s="507">
        <v>0</v>
      </c>
      <c r="AN166" s="507"/>
      <c r="AO166" s="507"/>
    </row>
    <row r="167" spans="1:41">
      <c r="A167" s="2" t="s">
        <v>153</v>
      </c>
      <c r="B167" s="2" t="s">
        <v>146</v>
      </c>
      <c r="C167" s="2" t="s">
        <v>17</v>
      </c>
      <c r="D167" s="2" t="s">
        <v>25</v>
      </c>
      <c r="E167" s="2" t="s">
        <v>19</v>
      </c>
      <c r="F167" s="2" t="s">
        <v>20</v>
      </c>
      <c r="G167" s="2" t="s">
        <v>21</v>
      </c>
      <c r="H167">
        <v>1</v>
      </c>
      <c r="I167" s="2" t="s">
        <v>526</v>
      </c>
      <c r="J167" s="3">
        <v>1</v>
      </c>
      <c r="K167" s="3">
        <v>5.2488000000000001</v>
      </c>
      <c r="L167" s="507">
        <v>40874.402148596397</v>
      </c>
      <c r="M167" s="507">
        <v>0</v>
      </c>
      <c r="N167" s="507">
        <v>40874.402148596397</v>
      </c>
      <c r="O167" s="507">
        <v>30.996424354312403</v>
      </c>
      <c r="P167">
        <v>1</v>
      </c>
      <c r="Q167" s="2" t="s">
        <v>526</v>
      </c>
      <c r="R167" s="3">
        <v>1</v>
      </c>
      <c r="S167" s="3">
        <v>5.2488000000000001</v>
      </c>
      <c r="T167" s="507">
        <v>40874.402148596397</v>
      </c>
      <c r="U167" s="507">
        <v>0</v>
      </c>
      <c r="V167" s="507">
        <v>40874.402148596397</v>
      </c>
      <c r="W167" s="507">
        <v>295.99879283445875</v>
      </c>
      <c r="X167" s="507">
        <v>40905.398572950711</v>
      </c>
      <c r="Y167" s="507">
        <v>41170.400941430853</v>
      </c>
      <c r="Z167" s="507">
        <v>214704.25602970371</v>
      </c>
      <c r="AA167" s="507">
        <v>216095.20046138228</v>
      </c>
      <c r="AB167" s="507">
        <v>216095.20046138228</v>
      </c>
      <c r="AC167" s="507">
        <v>-1390.94</v>
      </c>
      <c r="AD167" s="507">
        <v>-1390.94</v>
      </c>
      <c r="AE167" s="507">
        <v>0</v>
      </c>
      <c r="AF167" s="507"/>
      <c r="AG167" s="507">
        <v>-1390.94</v>
      </c>
      <c r="AH167" s="507">
        <v>0</v>
      </c>
      <c r="AI167" s="507">
        <v>0</v>
      </c>
      <c r="AJ167" s="507">
        <v>0</v>
      </c>
      <c r="AK167" s="507">
        <v>0</v>
      </c>
      <c r="AL167" s="507">
        <v>0</v>
      </c>
      <c r="AM167" s="507">
        <v>0</v>
      </c>
      <c r="AN167" s="507"/>
      <c r="AO167" s="507"/>
    </row>
    <row r="168" spans="1:41">
      <c r="A168" s="2"/>
      <c r="B168" s="2"/>
      <c r="C168" s="2"/>
      <c r="D168" s="2"/>
      <c r="E168" s="2"/>
      <c r="F168" s="2"/>
      <c r="G168" s="2"/>
      <c r="I168" s="2"/>
      <c r="J168" s="3"/>
      <c r="K168" s="3"/>
      <c r="L168" s="507"/>
      <c r="M168" s="507"/>
      <c r="N168" s="507"/>
      <c r="O168" s="507"/>
      <c r="P168">
        <v>1</v>
      </c>
      <c r="Q168" s="2" t="s">
        <v>526</v>
      </c>
      <c r="R168" s="3">
        <v>1</v>
      </c>
      <c r="S168" s="3">
        <v>5.2488000000000001</v>
      </c>
      <c r="T168" s="507">
        <v>3672.8199537934288</v>
      </c>
      <c r="U168" s="507">
        <v>0</v>
      </c>
      <c r="V168" s="507">
        <v>3672.8199537934288</v>
      </c>
      <c r="W168" s="507">
        <v>2.66255900209869</v>
      </c>
      <c r="X168" s="507"/>
      <c r="Y168" s="507">
        <v>3675.4825127955273</v>
      </c>
      <c r="Z168" s="507"/>
      <c r="AA168" s="507">
        <v>19291.872613161166</v>
      </c>
      <c r="AB168" s="507"/>
      <c r="AC168" s="507"/>
      <c r="AD168" s="507"/>
      <c r="AE168" s="507"/>
      <c r="AF168" s="507"/>
      <c r="AG168" s="507"/>
      <c r="AH168" s="507"/>
      <c r="AI168" s="507">
        <v>0</v>
      </c>
      <c r="AJ168" s="507"/>
      <c r="AK168" s="507"/>
      <c r="AL168" s="507"/>
      <c r="AM168" s="507"/>
      <c r="AN168" s="507"/>
      <c r="AO168" s="507"/>
    </row>
    <row r="169" spans="1:41">
      <c r="A169" s="2" t="s">
        <v>154</v>
      </c>
      <c r="B169" s="2" t="s">
        <v>146</v>
      </c>
      <c r="C169" s="2" t="s">
        <v>17</v>
      </c>
      <c r="D169" s="2" t="s">
        <v>25</v>
      </c>
      <c r="E169" s="2" t="s">
        <v>19</v>
      </c>
      <c r="F169" s="2" t="s">
        <v>20</v>
      </c>
      <c r="G169" s="2" t="s">
        <v>21</v>
      </c>
      <c r="H169">
        <v>1</v>
      </c>
      <c r="I169" s="2" t="s">
        <v>526</v>
      </c>
      <c r="J169" s="3">
        <v>1</v>
      </c>
      <c r="K169" s="3">
        <v>5.2488000000000001</v>
      </c>
      <c r="L169" s="507">
        <v>40874.402148596397</v>
      </c>
      <c r="M169" s="507">
        <v>0</v>
      </c>
      <c r="N169" s="507">
        <v>40874.402148596397</v>
      </c>
      <c r="O169" s="507">
        <v>30.996424354312403</v>
      </c>
      <c r="P169">
        <v>1</v>
      </c>
      <c r="Q169" s="2" t="s">
        <v>526</v>
      </c>
      <c r="R169" s="3">
        <v>1</v>
      </c>
      <c r="S169" s="3">
        <v>5.2488000000000001</v>
      </c>
      <c r="T169" s="507">
        <v>40874.402148596397</v>
      </c>
      <c r="U169" s="507">
        <v>0</v>
      </c>
      <c r="V169" s="507">
        <v>40874.402148596397</v>
      </c>
      <c r="W169" s="507">
        <v>295.99879283445875</v>
      </c>
      <c r="X169" s="507">
        <v>40905.398572950711</v>
      </c>
      <c r="Y169" s="507">
        <v>41170.400941430853</v>
      </c>
      <c r="Z169" s="507">
        <v>214704.25602970371</v>
      </c>
      <c r="AA169" s="507">
        <v>216095.20046138228</v>
      </c>
      <c r="AB169" s="507">
        <v>216095.20046138228</v>
      </c>
      <c r="AC169" s="507">
        <v>-1390.94</v>
      </c>
      <c r="AD169" s="507">
        <v>-1390.94</v>
      </c>
      <c r="AE169" s="507">
        <v>0</v>
      </c>
      <c r="AF169" s="507"/>
      <c r="AG169" s="507">
        <v>-1390.94</v>
      </c>
      <c r="AH169" s="507">
        <v>0</v>
      </c>
      <c r="AI169" s="507">
        <v>0</v>
      </c>
      <c r="AJ169" s="507">
        <v>0</v>
      </c>
      <c r="AK169" s="507">
        <v>0</v>
      </c>
      <c r="AL169" s="507">
        <v>0</v>
      </c>
      <c r="AM169" s="507">
        <v>0</v>
      </c>
      <c r="AN169" s="507"/>
      <c r="AO169" s="507"/>
    </row>
    <row r="170" spans="1:41">
      <c r="A170" s="2" t="s">
        <v>157</v>
      </c>
      <c r="B170" s="2" t="s">
        <v>158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s">
        <v>21</v>
      </c>
      <c r="H170">
        <v>1</v>
      </c>
      <c r="I170" s="2" t="s">
        <v>526</v>
      </c>
      <c r="J170" s="3">
        <v>1</v>
      </c>
      <c r="K170" s="3">
        <v>5.2488000000000001</v>
      </c>
      <c r="L170" s="507">
        <v>276707.65949570533</v>
      </c>
      <c r="M170" s="507">
        <v>0</v>
      </c>
      <c r="N170" s="507">
        <v>276707.65949570533</v>
      </c>
      <c r="O170" s="507">
        <v>269.02127413023362</v>
      </c>
      <c r="P170">
        <v>1</v>
      </c>
      <c r="Q170" s="2" t="s">
        <v>526</v>
      </c>
      <c r="R170" s="3">
        <v>1</v>
      </c>
      <c r="S170" s="3">
        <v>5.2488000000000001</v>
      </c>
      <c r="T170" s="507">
        <v>276707.65949570533</v>
      </c>
      <c r="U170" s="507">
        <v>0</v>
      </c>
      <c r="V170" s="507">
        <v>276707.65949570533</v>
      </c>
      <c r="W170" s="507">
        <v>2536.4869709465183</v>
      </c>
      <c r="X170" s="507">
        <v>276976.68076983554</v>
      </c>
      <c r="Y170" s="507">
        <v>279244.14646665187</v>
      </c>
      <c r="Z170" s="507">
        <v>1453795.2020247129</v>
      </c>
      <c r="AA170" s="507">
        <v>1465696.6759741623</v>
      </c>
      <c r="AB170" s="507">
        <v>1465696.6759741623</v>
      </c>
      <c r="AC170" s="507">
        <v>-11901.47</v>
      </c>
      <c r="AD170" s="507">
        <v>-11901.47</v>
      </c>
      <c r="AE170" s="507">
        <v>0</v>
      </c>
      <c r="AF170" s="507"/>
      <c r="AG170" s="507">
        <v>-11901.47</v>
      </c>
      <c r="AH170" s="507">
        <v>0</v>
      </c>
      <c r="AI170" s="507">
        <v>0</v>
      </c>
      <c r="AJ170" s="507">
        <v>0</v>
      </c>
      <c r="AK170" s="507">
        <v>0</v>
      </c>
      <c r="AL170" s="507">
        <v>0</v>
      </c>
      <c r="AM170" s="507">
        <v>0</v>
      </c>
      <c r="AN170" s="507"/>
      <c r="AO170" s="507"/>
    </row>
    <row r="171" spans="1:41">
      <c r="A171" s="2"/>
      <c r="B171" s="2"/>
      <c r="C171" s="2"/>
      <c r="D171" s="2"/>
      <c r="E171" s="2"/>
      <c r="F171" s="2"/>
      <c r="G171" s="2"/>
      <c r="I171" s="2"/>
      <c r="J171" s="3"/>
      <c r="K171" s="3"/>
      <c r="L171" s="507"/>
      <c r="M171" s="507"/>
      <c r="N171" s="507"/>
      <c r="O171" s="507"/>
      <c r="P171">
        <v>1</v>
      </c>
      <c r="Q171" s="2" t="s">
        <v>526</v>
      </c>
      <c r="R171" s="3">
        <v>1</v>
      </c>
      <c r="S171" s="3">
        <v>5.2488000000000001</v>
      </c>
      <c r="T171" s="507">
        <v>2280.4795992884951</v>
      </c>
      <c r="U171" s="507">
        <v>0</v>
      </c>
      <c r="V171" s="507">
        <v>2280.4795992884951</v>
      </c>
      <c r="W171" s="507">
        <v>1.653247402898248</v>
      </c>
      <c r="X171" s="507"/>
      <c r="Y171" s="507">
        <v>2282.1328466913933</v>
      </c>
      <c r="Z171" s="507"/>
      <c r="AA171" s="507">
        <v>11978.458885713786</v>
      </c>
      <c r="AB171" s="507"/>
      <c r="AC171" s="507"/>
      <c r="AD171" s="507"/>
      <c r="AE171" s="507"/>
      <c r="AF171" s="507"/>
      <c r="AG171" s="507"/>
      <c r="AH171" s="507"/>
      <c r="AI171" s="507">
        <v>0</v>
      </c>
      <c r="AJ171" s="507"/>
      <c r="AK171" s="507"/>
      <c r="AL171" s="507"/>
      <c r="AM171" s="507"/>
      <c r="AN171" s="507"/>
      <c r="AO171" s="507"/>
    </row>
    <row r="172" spans="1:41">
      <c r="A172" s="2" t="s">
        <v>908</v>
      </c>
      <c r="B172" s="2" t="s">
        <v>909</v>
      </c>
      <c r="C172" s="2" t="s">
        <v>17</v>
      </c>
      <c r="D172" s="2" t="s">
        <v>25</v>
      </c>
      <c r="E172" s="2" t="s">
        <v>19</v>
      </c>
      <c r="F172" s="2" t="s">
        <v>20</v>
      </c>
      <c r="G172" s="2" t="s">
        <v>21</v>
      </c>
      <c r="H172">
        <v>1</v>
      </c>
      <c r="I172" s="2" t="s">
        <v>526</v>
      </c>
      <c r="J172" s="3">
        <v>1</v>
      </c>
      <c r="K172" s="3">
        <v>5.2488000000000001</v>
      </c>
      <c r="L172" s="507">
        <v>940687.37430830859</v>
      </c>
      <c r="M172" s="507">
        <v>0</v>
      </c>
      <c r="N172" s="507">
        <v>940687.37430830859</v>
      </c>
      <c r="O172" s="507">
        <v>704.20901003705455</v>
      </c>
      <c r="P172">
        <v>1</v>
      </c>
      <c r="Q172" s="2" t="s">
        <v>526</v>
      </c>
      <c r="R172" s="3">
        <v>1</v>
      </c>
      <c r="S172" s="3">
        <v>5.2488000000000001</v>
      </c>
      <c r="T172" s="507">
        <v>940687.37430830859</v>
      </c>
      <c r="U172" s="507">
        <v>0</v>
      </c>
      <c r="V172" s="507">
        <v>940687.37430830859</v>
      </c>
      <c r="W172" s="507">
        <v>6639.6850660042674</v>
      </c>
      <c r="X172" s="507">
        <v>941391.5833183456</v>
      </c>
      <c r="Y172" s="507">
        <v>947327.05937431287</v>
      </c>
      <c r="Z172" s="507">
        <v>4941176.1425213329</v>
      </c>
      <c r="AA172" s="507">
        <v>4972330.2692438932</v>
      </c>
      <c r="AB172" s="507">
        <v>4972330.2692438932</v>
      </c>
      <c r="AC172" s="507">
        <v>-31154.13</v>
      </c>
      <c r="AD172" s="507">
        <v>-31154.13</v>
      </c>
      <c r="AE172" s="507">
        <v>0</v>
      </c>
      <c r="AF172" s="507"/>
      <c r="AG172" s="507">
        <v>-31154.13</v>
      </c>
      <c r="AH172" s="507">
        <v>0</v>
      </c>
      <c r="AI172" s="507">
        <v>0</v>
      </c>
      <c r="AJ172" s="507">
        <v>0</v>
      </c>
      <c r="AK172" s="507">
        <v>0</v>
      </c>
      <c r="AL172" s="507">
        <v>0</v>
      </c>
      <c r="AM172" s="507">
        <v>0</v>
      </c>
      <c r="AN172" s="507"/>
      <c r="AO172" s="507"/>
    </row>
    <row r="173" spans="1:41">
      <c r="A173" s="2" t="s">
        <v>910</v>
      </c>
      <c r="B173" s="2" t="s">
        <v>133</v>
      </c>
      <c r="C173" s="2" t="s">
        <v>17</v>
      </c>
      <c r="D173" s="2" t="s">
        <v>25</v>
      </c>
      <c r="E173" s="2" t="s">
        <v>19</v>
      </c>
      <c r="F173" s="2" t="s">
        <v>20</v>
      </c>
      <c r="G173" s="2" t="s">
        <v>21</v>
      </c>
      <c r="H173">
        <v>1</v>
      </c>
      <c r="I173" s="2" t="s">
        <v>526</v>
      </c>
      <c r="J173" s="3">
        <v>1</v>
      </c>
      <c r="K173" s="3">
        <v>5.2488000000000001</v>
      </c>
      <c r="L173" s="507">
        <v>16349.760859438557</v>
      </c>
      <c r="M173" s="507">
        <v>0</v>
      </c>
      <c r="N173" s="507">
        <v>16349.760859438557</v>
      </c>
      <c r="O173" s="507">
        <v>11.921697901713804</v>
      </c>
      <c r="P173">
        <v>1</v>
      </c>
      <c r="Q173" s="2" t="s">
        <v>526</v>
      </c>
      <c r="R173" s="3">
        <v>1</v>
      </c>
      <c r="S173" s="3">
        <v>5.2488000000000001</v>
      </c>
      <c r="T173" s="507">
        <v>16349.760859438557</v>
      </c>
      <c r="U173" s="507">
        <v>0</v>
      </c>
      <c r="V173" s="507">
        <v>16349.760859438557</v>
      </c>
      <c r="W173" s="507">
        <v>113.90333126246179</v>
      </c>
      <c r="X173" s="507">
        <v>16361.682557340271</v>
      </c>
      <c r="Y173" s="507">
        <v>16463.66419070102</v>
      </c>
      <c r="Z173" s="507">
        <v>85879.199406967615</v>
      </c>
      <c r="AA173" s="507">
        <v>86414.480604151511</v>
      </c>
      <c r="AB173" s="507">
        <v>86414.480604151511</v>
      </c>
      <c r="AC173" s="507">
        <v>-535.28</v>
      </c>
      <c r="AD173" s="507">
        <v>-535.28</v>
      </c>
      <c r="AE173" s="507">
        <v>0</v>
      </c>
      <c r="AF173" s="507"/>
      <c r="AG173" s="507">
        <v>-535.28</v>
      </c>
      <c r="AH173" s="507">
        <v>0</v>
      </c>
      <c r="AI173" s="507">
        <v>0</v>
      </c>
      <c r="AJ173" s="507">
        <v>0</v>
      </c>
      <c r="AK173" s="507">
        <v>0</v>
      </c>
      <c r="AL173" s="507">
        <v>0</v>
      </c>
      <c r="AM173" s="507">
        <v>0</v>
      </c>
      <c r="AN173" s="507"/>
      <c r="AO173" s="507"/>
    </row>
    <row r="174" spans="1:41">
      <c r="A174" s="2"/>
      <c r="B174" s="2"/>
      <c r="C174" s="2"/>
      <c r="D174" s="2"/>
      <c r="E174" s="2"/>
      <c r="F174" s="2"/>
      <c r="G174" s="2"/>
      <c r="I174" s="2"/>
      <c r="J174" s="3"/>
      <c r="K174" s="3"/>
      <c r="L174" s="507"/>
      <c r="M174" s="507"/>
      <c r="N174" s="507"/>
      <c r="O174" s="507"/>
      <c r="P174">
        <v>1</v>
      </c>
      <c r="Q174" s="2" t="s">
        <v>526</v>
      </c>
      <c r="R174" s="3">
        <v>1</v>
      </c>
      <c r="S174" s="3">
        <v>5.2488000000000001</v>
      </c>
      <c r="T174" s="507">
        <v>830122.97848711594</v>
      </c>
      <c r="U174" s="507">
        <v>0</v>
      </c>
      <c r="V174" s="507">
        <v>830122.97848711594</v>
      </c>
      <c r="W174" s="507">
        <v>6544.13614707343</v>
      </c>
      <c r="X174" s="507"/>
      <c r="Y174" s="507">
        <v>836667.11463418941</v>
      </c>
      <c r="Z174" s="507"/>
      <c r="AA174" s="507">
        <v>4391498.3512919331</v>
      </c>
      <c r="AB174" s="507"/>
      <c r="AC174" s="507"/>
      <c r="AD174" s="507"/>
      <c r="AE174" s="507"/>
      <c r="AF174" s="507"/>
      <c r="AG174" s="507"/>
      <c r="AH174" s="507"/>
      <c r="AI174" s="507">
        <v>0</v>
      </c>
      <c r="AJ174" s="507"/>
      <c r="AK174" s="507"/>
      <c r="AL174" s="507"/>
      <c r="AM174" s="507"/>
      <c r="AN174" s="507"/>
      <c r="AO174" s="507"/>
    </row>
    <row r="175" spans="1:41">
      <c r="A175" s="2" t="s">
        <v>911</v>
      </c>
      <c r="B175" s="2" t="s">
        <v>912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21</v>
      </c>
      <c r="H175">
        <v>1</v>
      </c>
      <c r="I175" s="2" t="s">
        <v>526</v>
      </c>
      <c r="J175" s="3">
        <v>1</v>
      </c>
      <c r="K175" s="3">
        <v>5.2488000000000001</v>
      </c>
      <c r="L175" s="507">
        <v>586975.4705478542</v>
      </c>
      <c r="M175" s="507">
        <v>0</v>
      </c>
      <c r="N175" s="507">
        <v>586975.4705478542</v>
      </c>
      <c r="O175" s="507">
        <v>11005.790072772264</v>
      </c>
      <c r="P175">
        <v>1</v>
      </c>
      <c r="Q175" s="2" t="s">
        <v>526</v>
      </c>
      <c r="R175" s="3">
        <v>1</v>
      </c>
      <c r="S175" s="3">
        <v>5.2488000000000001</v>
      </c>
      <c r="T175" s="507">
        <v>586975.4705478542</v>
      </c>
      <c r="U175" s="507">
        <v>0</v>
      </c>
      <c r="V175" s="507">
        <v>586975.4705478542</v>
      </c>
      <c r="W175" s="507">
        <v>8188.307814142564</v>
      </c>
      <c r="X175" s="507">
        <v>597981.2606206265</v>
      </c>
      <c r="Y175" s="507">
        <v>595163.77836199675</v>
      </c>
      <c r="Z175" s="507">
        <v>3138684.0407455442</v>
      </c>
      <c r="AA175" s="507">
        <v>3123895.6398664485</v>
      </c>
      <c r="AB175" s="507">
        <v>3123895.6398664485</v>
      </c>
      <c r="AC175" s="507">
        <v>14788.4</v>
      </c>
      <c r="AD175" s="507">
        <v>14788.4</v>
      </c>
      <c r="AE175" s="507">
        <v>0</v>
      </c>
      <c r="AF175" s="507">
        <v>14788.4</v>
      </c>
      <c r="AG175" s="507"/>
      <c r="AH175" s="507">
        <v>0</v>
      </c>
      <c r="AI175" s="507">
        <v>0</v>
      </c>
      <c r="AJ175" s="507">
        <v>0</v>
      </c>
      <c r="AK175" s="507">
        <v>0</v>
      </c>
      <c r="AL175" s="507">
        <v>0</v>
      </c>
      <c r="AM175" s="507">
        <v>0</v>
      </c>
      <c r="AN175" s="507"/>
      <c r="AO175" s="507"/>
    </row>
    <row r="176" spans="1:41">
      <c r="A176" s="2"/>
      <c r="B176" s="2"/>
      <c r="C176" s="2"/>
      <c r="D176" s="2"/>
      <c r="E176" s="2"/>
      <c r="F176" s="2"/>
      <c r="G176" s="2"/>
      <c r="I176" s="2"/>
      <c r="J176" s="3"/>
      <c r="K176" s="3"/>
      <c r="L176" s="507"/>
      <c r="M176" s="507"/>
      <c r="N176" s="507"/>
      <c r="O176" s="507"/>
      <c r="P176">
        <v>1</v>
      </c>
      <c r="Q176" s="2" t="s">
        <v>526</v>
      </c>
      <c r="R176" s="3">
        <v>1</v>
      </c>
      <c r="S176" s="3">
        <v>5.2488000000000001</v>
      </c>
      <c r="T176" s="507">
        <v>236388.2548888454</v>
      </c>
      <c r="U176" s="507">
        <v>0</v>
      </c>
      <c r="V176" s="507">
        <v>236388.2548888454</v>
      </c>
      <c r="W176" s="507">
        <v>2210.2301832107046</v>
      </c>
      <c r="X176" s="507"/>
      <c r="Y176" s="507">
        <v>238598.48507205612</v>
      </c>
      <c r="Z176" s="507"/>
      <c r="AA176" s="507">
        <v>1252355.7284462082</v>
      </c>
      <c r="AB176" s="507"/>
      <c r="AC176" s="507"/>
      <c r="AD176" s="507"/>
      <c r="AE176" s="507"/>
      <c r="AF176" s="507"/>
      <c r="AG176" s="507"/>
      <c r="AH176" s="507"/>
      <c r="AI176" s="507">
        <v>0</v>
      </c>
      <c r="AJ176" s="507"/>
      <c r="AK176" s="507"/>
      <c r="AL176" s="507"/>
      <c r="AM176" s="507"/>
      <c r="AN176" s="507"/>
      <c r="AO176" s="507"/>
    </row>
    <row r="177" spans="1:41">
      <c r="A177" s="2" t="s">
        <v>913</v>
      </c>
      <c r="B177" s="2" t="s">
        <v>158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21</v>
      </c>
      <c r="H177">
        <v>1</v>
      </c>
      <c r="I177" s="2" t="s">
        <v>526</v>
      </c>
      <c r="J177" s="3">
        <v>1</v>
      </c>
      <c r="K177" s="3">
        <v>5.2488000000000001</v>
      </c>
      <c r="L177" s="507">
        <v>236247.51256454541</v>
      </c>
      <c r="M177" s="507">
        <v>0</v>
      </c>
      <c r="N177" s="507">
        <v>236247.51256454541</v>
      </c>
      <c r="O177" s="507">
        <v>229.68506667164311</v>
      </c>
      <c r="P177">
        <v>1</v>
      </c>
      <c r="Q177" s="2" t="s">
        <v>526</v>
      </c>
      <c r="R177" s="3">
        <v>1</v>
      </c>
      <c r="S177" s="3">
        <v>5.2488000000000001</v>
      </c>
      <c r="T177" s="507">
        <v>236247.51256454541</v>
      </c>
      <c r="U177" s="507">
        <v>0</v>
      </c>
      <c r="V177" s="507">
        <v>236247.51256454541</v>
      </c>
      <c r="W177" s="507">
        <v>2165.6021362491092</v>
      </c>
      <c r="X177" s="507">
        <v>236477.19763121704</v>
      </c>
      <c r="Y177" s="507">
        <v>238413.11470079451</v>
      </c>
      <c r="Z177" s="507">
        <v>1241221.5149267321</v>
      </c>
      <c r="AA177" s="507">
        <v>1251382.7564415303</v>
      </c>
      <c r="AB177" s="507">
        <v>1251382.7564415303</v>
      </c>
      <c r="AC177" s="507">
        <v>-10161.24</v>
      </c>
      <c r="AD177" s="507">
        <v>-10161.24</v>
      </c>
      <c r="AE177" s="507">
        <v>0</v>
      </c>
      <c r="AF177" s="507"/>
      <c r="AG177" s="507">
        <v>-10161.24</v>
      </c>
      <c r="AH177" s="507">
        <v>0</v>
      </c>
      <c r="AI177" s="507">
        <v>0</v>
      </c>
      <c r="AJ177" s="507">
        <v>0</v>
      </c>
      <c r="AK177" s="507">
        <v>0</v>
      </c>
      <c r="AL177" s="507">
        <v>0</v>
      </c>
      <c r="AM177" s="507">
        <v>0</v>
      </c>
      <c r="AN177" s="507"/>
      <c r="AO177" s="507"/>
    </row>
    <row r="178" spans="1:41">
      <c r="A178" s="2" t="s">
        <v>914</v>
      </c>
      <c r="B178" s="2" t="s">
        <v>144</v>
      </c>
      <c r="C178" s="2" t="s">
        <v>17</v>
      </c>
      <c r="D178" s="2" t="s">
        <v>25</v>
      </c>
      <c r="E178" s="2" t="s">
        <v>19</v>
      </c>
      <c r="F178" s="2" t="s">
        <v>20</v>
      </c>
      <c r="G178" s="2" t="s">
        <v>21</v>
      </c>
      <c r="H178">
        <v>1</v>
      </c>
      <c r="I178" s="2" t="s">
        <v>526</v>
      </c>
      <c r="J178" s="3">
        <v>1</v>
      </c>
      <c r="K178" s="3">
        <v>5.2488000000000001</v>
      </c>
      <c r="L178" s="507">
        <v>399143.31997254078</v>
      </c>
      <c r="M178" s="507">
        <v>0</v>
      </c>
      <c r="N178" s="507">
        <v>399143.31997254078</v>
      </c>
      <c r="O178" s="507">
        <v>283.28093621166454</v>
      </c>
      <c r="P178">
        <v>1</v>
      </c>
      <c r="Q178" s="2" t="s">
        <v>526</v>
      </c>
      <c r="R178" s="3">
        <v>1</v>
      </c>
      <c r="S178" s="3">
        <v>5.2488000000000001</v>
      </c>
      <c r="T178" s="507">
        <v>399143.31997254078</v>
      </c>
      <c r="U178" s="507">
        <v>0</v>
      </c>
      <c r="V178" s="507">
        <v>399143.31997254078</v>
      </c>
      <c r="W178" s="507">
        <v>2707.52214801537</v>
      </c>
      <c r="X178" s="507">
        <v>399426.60090875241</v>
      </c>
      <c r="Y178" s="507">
        <v>401850.84212055616</v>
      </c>
      <c r="Z178" s="507">
        <v>2096510.3428498597</v>
      </c>
      <c r="AA178" s="507">
        <v>2109234.700122375</v>
      </c>
      <c r="AB178" s="507">
        <v>2109234.700122375</v>
      </c>
      <c r="AC178" s="507">
        <v>-12724.36</v>
      </c>
      <c r="AD178" s="507">
        <v>-12724.36</v>
      </c>
      <c r="AE178" s="507">
        <v>0</v>
      </c>
      <c r="AF178" s="507"/>
      <c r="AG178" s="507">
        <v>-12724.36</v>
      </c>
      <c r="AH178" s="507">
        <v>0</v>
      </c>
      <c r="AI178" s="507">
        <v>0</v>
      </c>
      <c r="AJ178" s="507">
        <v>0</v>
      </c>
      <c r="AK178" s="507">
        <v>0</v>
      </c>
      <c r="AL178" s="507">
        <v>0</v>
      </c>
      <c r="AM178" s="507">
        <v>0</v>
      </c>
      <c r="AN178" s="507"/>
      <c r="AO178" s="507"/>
    </row>
    <row r="179" spans="1:41">
      <c r="A179" s="2" t="s">
        <v>915</v>
      </c>
      <c r="B179" s="2" t="s">
        <v>916</v>
      </c>
      <c r="C179" s="2" t="s">
        <v>17</v>
      </c>
      <c r="D179" s="2" t="s">
        <v>25</v>
      </c>
      <c r="E179" s="2" t="s">
        <v>19</v>
      </c>
      <c r="F179" s="2" t="s">
        <v>20</v>
      </c>
      <c r="G179" s="2" t="s">
        <v>21</v>
      </c>
      <c r="H179">
        <v>1</v>
      </c>
      <c r="I179" s="2" t="s">
        <v>526</v>
      </c>
      <c r="J179" s="3">
        <v>1</v>
      </c>
      <c r="K179" s="3">
        <v>5.2488000000000001</v>
      </c>
      <c r="L179" s="507">
        <v>62820.588864758865</v>
      </c>
      <c r="M179" s="507">
        <v>0</v>
      </c>
      <c r="N179" s="507">
        <v>62820.588864758865</v>
      </c>
      <c r="O179" s="507">
        <v>51.303513625276445</v>
      </c>
      <c r="P179">
        <v>1</v>
      </c>
      <c r="Q179" s="2" t="s">
        <v>526</v>
      </c>
      <c r="R179" s="3">
        <v>1</v>
      </c>
      <c r="S179" s="3">
        <v>5.2488000000000001</v>
      </c>
      <c r="T179" s="507">
        <v>63198.634946746541</v>
      </c>
      <c r="U179" s="507">
        <v>0</v>
      </c>
      <c r="V179" s="507">
        <v>63198.634946746541</v>
      </c>
      <c r="W179" s="507">
        <v>486.62948908994838</v>
      </c>
      <c r="X179" s="507">
        <v>62871.892378384138</v>
      </c>
      <c r="Y179" s="507">
        <v>63685.264435836492</v>
      </c>
      <c r="Z179" s="507">
        <v>330001.98871566268</v>
      </c>
      <c r="AA179" s="507">
        <v>334271.21597081859</v>
      </c>
      <c r="AB179" s="507">
        <v>334271.21597081859</v>
      </c>
      <c r="AC179" s="507">
        <v>-4269.2299999999996</v>
      </c>
      <c r="AD179" s="507">
        <v>-4269.2299999999996</v>
      </c>
      <c r="AE179" s="507">
        <v>0</v>
      </c>
      <c r="AF179" s="507"/>
      <c r="AG179" s="507">
        <v>-4269.2299999999996</v>
      </c>
      <c r="AH179" s="507">
        <v>0</v>
      </c>
      <c r="AI179" s="507">
        <v>0</v>
      </c>
      <c r="AJ179" s="507">
        <v>0</v>
      </c>
      <c r="AK179" s="507">
        <v>0</v>
      </c>
      <c r="AL179" s="507">
        <v>0</v>
      </c>
      <c r="AM179" s="507">
        <v>0</v>
      </c>
      <c r="AN179" s="507"/>
      <c r="AO179" s="507"/>
    </row>
    <row r="180" spans="1:41">
      <c r="A180" s="2"/>
      <c r="B180" s="2"/>
      <c r="C180" s="2"/>
      <c r="D180" s="2"/>
      <c r="E180" s="2"/>
      <c r="F180" s="2"/>
      <c r="G180" s="2"/>
      <c r="I180" s="2"/>
      <c r="J180" s="3"/>
      <c r="K180" s="3"/>
      <c r="L180" s="507"/>
      <c r="M180" s="507"/>
      <c r="N180" s="507"/>
      <c r="O180" s="507"/>
      <c r="P180">
        <v>1</v>
      </c>
      <c r="Q180" s="2" t="s">
        <v>526</v>
      </c>
      <c r="R180" s="3">
        <v>1</v>
      </c>
      <c r="S180" s="3">
        <v>5.2488000000000001</v>
      </c>
      <c r="T180" s="507">
        <v>501560.50892028975</v>
      </c>
      <c r="U180" s="507">
        <v>0</v>
      </c>
      <c r="V180" s="507">
        <v>501560.50892028975</v>
      </c>
      <c r="W180" s="507">
        <v>424.93316913996694</v>
      </c>
      <c r="X180" s="507"/>
      <c r="Y180" s="507">
        <v>501985.44208942971</v>
      </c>
      <c r="Z180" s="507"/>
      <c r="AA180" s="507">
        <v>2634821.1884389985</v>
      </c>
      <c r="AB180" s="507"/>
      <c r="AC180" s="507"/>
      <c r="AD180" s="507"/>
      <c r="AE180" s="507"/>
      <c r="AF180" s="507"/>
      <c r="AG180" s="507"/>
      <c r="AH180" s="507"/>
      <c r="AI180" s="507">
        <v>0</v>
      </c>
      <c r="AJ180" s="507"/>
      <c r="AK180" s="507"/>
      <c r="AL180" s="507"/>
      <c r="AM180" s="507"/>
      <c r="AN180" s="507"/>
      <c r="AO180" s="507"/>
    </row>
    <row r="181" spans="1:41">
      <c r="A181" s="2" t="s">
        <v>917</v>
      </c>
      <c r="B181" s="2" t="s">
        <v>133</v>
      </c>
      <c r="C181" s="2" t="s">
        <v>17</v>
      </c>
      <c r="D181" s="2" t="s">
        <v>25</v>
      </c>
      <c r="E181" s="2" t="s">
        <v>19</v>
      </c>
      <c r="F181" s="2" t="s">
        <v>20</v>
      </c>
      <c r="G181" s="2" t="s">
        <v>21</v>
      </c>
      <c r="H181">
        <v>1</v>
      </c>
      <c r="I181" s="2" t="s">
        <v>526</v>
      </c>
      <c r="J181" s="3">
        <v>1</v>
      </c>
      <c r="K181" s="3">
        <v>5.2488000000000001</v>
      </c>
      <c r="L181" s="507">
        <v>57224.163008034942</v>
      </c>
      <c r="M181" s="507">
        <v>0</v>
      </c>
      <c r="N181" s="507">
        <v>57224.163008034942</v>
      </c>
      <c r="O181" s="507">
        <v>42.282296405963507</v>
      </c>
      <c r="P181">
        <v>1</v>
      </c>
      <c r="Q181" s="2" t="s">
        <v>526</v>
      </c>
      <c r="R181" s="3">
        <v>1</v>
      </c>
      <c r="S181" s="3">
        <v>5.2488000000000001</v>
      </c>
      <c r="T181" s="507">
        <v>57224.163008034942</v>
      </c>
      <c r="U181" s="507">
        <v>0</v>
      </c>
      <c r="V181" s="507">
        <v>57224.163008034942</v>
      </c>
      <c r="W181" s="507">
        <v>403.90721450675323</v>
      </c>
      <c r="X181" s="507">
        <v>57266.445304440909</v>
      </c>
      <c r="Y181" s="507">
        <v>57628.070222541697</v>
      </c>
      <c r="Z181" s="507">
        <v>300580.11811394943</v>
      </c>
      <c r="AA181" s="507">
        <v>302478.21498407685</v>
      </c>
      <c r="AB181" s="507">
        <v>302478.21498407685</v>
      </c>
      <c r="AC181" s="507">
        <v>-1898.1</v>
      </c>
      <c r="AD181" s="507">
        <v>-1898.1</v>
      </c>
      <c r="AE181" s="507">
        <v>0</v>
      </c>
      <c r="AF181" s="507"/>
      <c r="AG181" s="507">
        <v>-1898.1</v>
      </c>
      <c r="AH181" s="507">
        <v>0</v>
      </c>
      <c r="AI181" s="507">
        <v>0</v>
      </c>
      <c r="AJ181" s="507">
        <v>0</v>
      </c>
      <c r="AK181" s="507">
        <v>0</v>
      </c>
      <c r="AL181" s="507">
        <v>0</v>
      </c>
      <c r="AM181" s="507">
        <v>0</v>
      </c>
      <c r="AN181" s="507"/>
      <c r="AO181" s="507"/>
    </row>
    <row r="182" spans="1:41">
      <c r="A182" s="2" t="s">
        <v>918</v>
      </c>
      <c r="B182" s="2" t="s">
        <v>158</v>
      </c>
      <c r="C182" s="2" t="s">
        <v>17</v>
      </c>
      <c r="D182" s="2" t="s">
        <v>18</v>
      </c>
      <c r="E182" s="2" t="s">
        <v>19</v>
      </c>
      <c r="F182" s="2" t="s">
        <v>20</v>
      </c>
      <c r="G182" s="2" t="s">
        <v>21</v>
      </c>
      <c r="H182">
        <v>1</v>
      </c>
      <c r="I182" s="2" t="s">
        <v>526</v>
      </c>
      <c r="J182" s="3">
        <v>1</v>
      </c>
      <c r="K182" s="3">
        <v>5.2488000000000001</v>
      </c>
      <c r="L182" s="507">
        <v>415061.48924355797</v>
      </c>
      <c r="M182" s="507">
        <v>0</v>
      </c>
      <c r="N182" s="507">
        <v>415061.48924355797</v>
      </c>
      <c r="O182" s="507">
        <v>403.5319111953504</v>
      </c>
      <c r="P182">
        <v>1</v>
      </c>
      <c r="Q182" s="2" t="s">
        <v>526</v>
      </c>
      <c r="R182" s="3">
        <v>1</v>
      </c>
      <c r="S182" s="3">
        <v>5.2488000000000001</v>
      </c>
      <c r="T182" s="507">
        <v>415061.48924355797</v>
      </c>
      <c r="U182" s="507">
        <v>0</v>
      </c>
      <c r="V182" s="507">
        <v>415061.48924355797</v>
      </c>
      <c r="W182" s="507">
        <v>3804.7303180659478</v>
      </c>
      <c r="X182" s="507">
        <v>415465.02115475334</v>
      </c>
      <c r="Y182" s="507">
        <v>418866.21956162393</v>
      </c>
      <c r="Z182" s="507">
        <v>2180692.8030370693</v>
      </c>
      <c r="AA182" s="507">
        <v>2198545.0132350517</v>
      </c>
      <c r="AB182" s="507">
        <v>2198545.0132350517</v>
      </c>
      <c r="AC182" s="507">
        <v>-17852.21</v>
      </c>
      <c r="AD182" s="507">
        <v>-17852.21</v>
      </c>
      <c r="AE182" s="507">
        <v>0</v>
      </c>
      <c r="AF182" s="507"/>
      <c r="AG182" s="507">
        <v>-17852.21</v>
      </c>
      <c r="AH182" s="507">
        <v>0</v>
      </c>
      <c r="AI182" s="507">
        <v>0</v>
      </c>
      <c r="AJ182" s="507">
        <v>0</v>
      </c>
      <c r="AK182" s="507">
        <v>0</v>
      </c>
      <c r="AL182" s="507">
        <v>0</v>
      </c>
      <c r="AM182" s="507">
        <v>0</v>
      </c>
      <c r="AN182" s="507"/>
      <c r="AO182" s="507"/>
    </row>
    <row r="183" spans="1:41">
      <c r="A183" s="2" t="s">
        <v>919</v>
      </c>
      <c r="B183" s="2" t="s">
        <v>94</v>
      </c>
      <c r="C183" s="2" t="s">
        <v>17</v>
      </c>
      <c r="D183" s="2" t="s">
        <v>95</v>
      </c>
      <c r="E183" s="2" t="s">
        <v>19</v>
      </c>
      <c r="F183" s="2" t="s">
        <v>20</v>
      </c>
      <c r="G183" s="2" t="s">
        <v>21</v>
      </c>
      <c r="H183">
        <v>1</v>
      </c>
      <c r="I183" s="2" t="s">
        <v>526</v>
      </c>
      <c r="J183" s="3">
        <v>1</v>
      </c>
      <c r="K183" s="3">
        <v>5.2488000000000001</v>
      </c>
      <c r="L183" s="507">
        <v>208738.05568443713</v>
      </c>
      <c r="M183" s="507">
        <v>0</v>
      </c>
      <c r="N183" s="507">
        <v>208738.05568443713</v>
      </c>
      <c r="O183" s="507">
        <v>174.52814077933442</v>
      </c>
      <c r="P183">
        <v>1</v>
      </c>
      <c r="Q183" s="2" t="s">
        <v>526</v>
      </c>
      <c r="R183" s="3">
        <v>1</v>
      </c>
      <c r="S183" s="3">
        <v>5.2488000000000001</v>
      </c>
      <c r="T183" s="507">
        <v>208738.05568443713</v>
      </c>
      <c r="U183" s="507">
        <v>0</v>
      </c>
      <c r="V183" s="507">
        <v>208738.05568443713</v>
      </c>
      <c r="W183" s="507">
        <v>126.1126208253521</v>
      </c>
      <c r="X183" s="507">
        <v>208912.58382521645</v>
      </c>
      <c r="Y183" s="507">
        <v>208864.16830526249</v>
      </c>
      <c r="Z183" s="507">
        <v>1096540.3699817962</v>
      </c>
      <c r="AA183" s="507">
        <v>1096286.2466006617</v>
      </c>
      <c r="AB183" s="507">
        <v>1096286.2466006617</v>
      </c>
      <c r="AC183" s="507">
        <v>254.12</v>
      </c>
      <c r="AD183" s="507">
        <v>254.12</v>
      </c>
      <c r="AE183" s="507">
        <v>0</v>
      </c>
      <c r="AF183" s="507">
        <v>254.12</v>
      </c>
      <c r="AG183" s="507"/>
      <c r="AH183" s="507">
        <v>0</v>
      </c>
      <c r="AI183" s="507">
        <v>0</v>
      </c>
      <c r="AJ183" s="507">
        <v>0</v>
      </c>
      <c r="AK183" s="507">
        <v>0</v>
      </c>
      <c r="AL183" s="507">
        <v>0</v>
      </c>
      <c r="AM183" s="507">
        <v>0</v>
      </c>
      <c r="AN183" s="507"/>
      <c r="AO183" s="507"/>
    </row>
    <row r="184" spans="1:41">
      <c r="A184" s="2" t="s">
        <v>920</v>
      </c>
      <c r="B184" s="2" t="s">
        <v>921</v>
      </c>
      <c r="C184" s="2" t="s">
        <v>17</v>
      </c>
      <c r="D184" s="2" t="s">
        <v>30</v>
      </c>
      <c r="E184" s="2" t="s">
        <v>19</v>
      </c>
      <c r="F184" s="2" t="s">
        <v>20</v>
      </c>
      <c r="G184" s="2" t="s">
        <v>21</v>
      </c>
      <c r="H184">
        <v>1</v>
      </c>
      <c r="I184" s="2" t="s">
        <v>526</v>
      </c>
      <c r="J184" s="3">
        <v>1</v>
      </c>
      <c r="K184" s="3">
        <v>5.2488000000000001</v>
      </c>
      <c r="L184" s="507">
        <v>553924.13982729008</v>
      </c>
      <c r="M184" s="507">
        <v>0</v>
      </c>
      <c r="N184" s="507">
        <v>553924.13982729008</v>
      </c>
      <c r="O184" s="507">
        <v>6087.010942971634</v>
      </c>
      <c r="P184">
        <v>1</v>
      </c>
      <c r="Q184" s="2" t="s">
        <v>526</v>
      </c>
      <c r="R184" s="3">
        <v>1</v>
      </c>
      <c r="S184" s="3">
        <v>5.2488000000000001</v>
      </c>
      <c r="T184" s="507">
        <v>553924.13982729008</v>
      </c>
      <c r="U184" s="507">
        <v>0</v>
      </c>
      <c r="V184" s="507">
        <v>553924.13982729008</v>
      </c>
      <c r="W184" s="507">
        <v>3969.7897574470503</v>
      </c>
      <c r="X184" s="507">
        <v>560011.15077026177</v>
      </c>
      <c r="Y184" s="507">
        <v>557893.92958473717</v>
      </c>
      <c r="Z184" s="507">
        <v>2939386.5281629502</v>
      </c>
      <c r="AA184" s="507">
        <v>2928273.6576043684</v>
      </c>
      <c r="AB184" s="507">
        <v>2928273.6576043684</v>
      </c>
      <c r="AC184" s="507">
        <v>11112.87</v>
      </c>
      <c r="AD184" s="507">
        <v>11112.87</v>
      </c>
      <c r="AE184" s="507">
        <v>0</v>
      </c>
      <c r="AF184" s="507">
        <v>11112.87</v>
      </c>
      <c r="AG184" s="507"/>
      <c r="AH184" s="507">
        <v>0</v>
      </c>
      <c r="AI184" s="507">
        <v>0</v>
      </c>
      <c r="AJ184" s="507">
        <v>0</v>
      </c>
      <c r="AK184" s="507">
        <v>0</v>
      </c>
      <c r="AL184" s="507">
        <v>0</v>
      </c>
      <c r="AM184" s="507">
        <v>0</v>
      </c>
      <c r="AN184" s="507"/>
      <c r="AO184" s="507"/>
    </row>
    <row r="185" spans="1:41">
      <c r="A185" s="2"/>
      <c r="B185" s="2"/>
      <c r="C185" s="2"/>
      <c r="D185" s="2"/>
      <c r="E185" s="2"/>
      <c r="F185" s="2"/>
      <c r="G185" s="2"/>
      <c r="I185" s="2"/>
      <c r="J185" s="3"/>
      <c r="K185" s="3"/>
      <c r="L185" s="507"/>
      <c r="M185" s="507"/>
      <c r="N185" s="507"/>
      <c r="O185" s="507"/>
      <c r="P185">
        <v>1</v>
      </c>
      <c r="Q185" s="2" t="s">
        <v>526</v>
      </c>
      <c r="R185" s="3">
        <v>1</v>
      </c>
      <c r="S185" s="3">
        <v>5.2488000000000001</v>
      </c>
      <c r="T185" s="507">
        <v>10693.554587965147</v>
      </c>
      <c r="U185" s="507">
        <v>0</v>
      </c>
      <c r="V185" s="507">
        <v>10693.554587965147</v>
      </c>
      <c r="W185" s="507">
        <v>7.752837178759334</v>
      </c>
      <c r="X185" s="507"/>
      <c r="Y185" s="507">
        <v>10701.307425143907</v>
      </c>
      <c r="Z185" s="507"/>
      <c r="AA185" s="507">
        <v>56169.022413095336</v>
      </c>
      <c r="AB185" s="507"/>
      <c r="AC185" s="507"/>
      <c r="AD185" s="507"/>
      <c r="AE185" s="507"/>
      <c r="AF185" s="507"/>
      <c r="AG185" s="507"/>
      <c r="AH185" s="507"/>
      <c r="AI185" s="507">
        <v>0</v>
      </c>
      <c r="AJ185" s="507"/>
      <c r="AK185" s="507"/>
      <c r="AL185" s="507"/>
      <c r="AM185" s="507"/>
      <c r="AN185" s="507"/>
      <c r="AO185" s="507"/>
    </row>
    <row r="186" spans="1:41">
      <c r="A186" s="2" t="s">
        <v>922</v>
      </c>
      <c r="B186" s="2" t="s">
        <v>136</v>
      </c>
      <c r="C186" s="2" t="s">
        <v>17</v>
      </c>
      <c r="D186" s="2" t="s">
        <v>25</v>
      </c>
      <c r="E186" s="2" t="s">
        <v>19</v>
      </c>
      <c r="F186" s="2" t="s">
        <v>20</v>
      </c>
      <c r="G186" s="2" t="s">
        <v>21</v>
      </c>
      <c r="H186">
        <v>1</v>
      </c>
      <c r="I186" s="2" t="s">
        <v>526</v>
      </c>
      <c r="J186" s="3">
        <v>1</v>
      </c>
      <c r="K186" s="3">
        <v>5.2488000000000001</v>
      </c>
      <c r="L186" s="507">
        <v>470343.68715415429</v>
      </c>
      <c r="M186" s="507">
        <v>0</v>
      </c>
      <c r="N186" s="507">
        <v>470343.68715415429</v>
      </c>
      <c r="O186" s="507">
        <v>361.25010284339623</v>
      </c>
      <c r="P186">
        <v>1</v>
      </c>
      <c r="Q186" s="2" t="s">
        <v>526</v>
      </c>
      <c r="R186" s="3">
        <v>1</v>
      </c>
      <c r="S186" s="3">
        <v>5.2488000000000001</v>
      </c>
      <c r="T186" s="507">
        <v>470343.68715415429</v>
      </c>
      <c r="U186" s="507">
        <v>0</v>
      </c>
      <c r="V186" s="507">
        <v>470343.68715415429</v>
      </c>
      <c r="W186" s="507">
        <v>2978.8433362981873</v>
      </c>
      <c r="X186" s="507">
        <v>470704.93725699768</v>
      </c>
      <c r="Y186" s="507">
        <v>473322.53049045248</v>
      </c>
      <c r="Z186" s="507">
        <v>2470636.0746745295</v>
      </c>
      <c r="AA186" s="507">
        <v>2484375.2980382871</v>
      </c>
      <c r="AB186" s="507">
        <v>2484375.2980382871</v>
      </c>
      <c r="AC186" s="507">
        <v>-13739.22</v>
      </c>
      <c r="AD186" s="507">
        <v>-13739.22</v>
      </c>
      <c r="AE186" s="507">
        <v>0</v>
      </c>
      <c r="AF186" s="507"/>
      <c r="AG186" s="507">
        <v>-13739.22</v>
      </c>
      <c r="AH186" s="507">
        <v>0</v>
      </c>
      <c r="AI186" s="507">
        <v>0</v>
      </c>
      <c r="AJ186" s="507">
        <v>0</v>
      </c>
      <c r="AK186" s="507">
        <v>0</v>
      </c>
      <c r="AL186" s="507">
        <v>0</v>
      </c>
      <c r="AM186" s="507">
        <v>0</v>
      </c>
      <c r="AN186" s="507"/>
      <c r="AO186" s="507"/>
    </row>
    <row r="187" spans="1:41">
      <c r="A187" s="2" t="s">
        <v>923</v>
      </c>
      <c r="B187" s="2" t="s">
        <v>155</v>
      </c>
      <c r="C187" s="2" t="s">
        <v>17</v>
      </c>
      <c r="D187" s="2" t="s">
        <v>25</v>
      </c>
      <c r="E187" s="2" t="s">
        <v>19</v>
      </c>
      <c r="F187" s="2" t="s">
        <v>20</v>
      </c>
      <c r="G187" s="2" t="s">
        <v>21</v>
      </c>
      <c r="H187">
        <v>1</v>
      </c>
      <c r="I187" s="2" t="s">
        <v>526</v>
      </c>
      <c r="J187" s="3">
        <v>1</v>
      </c>
      <c r="K187" s="3">
        <v>5.2488000000000001</v>
      </c>
      <c r="L187" s="507">
        <v>86597.548746885062</v>
      </c>
      <c r="M187" s="507">
        <v>0</v>
      </c>
      <c r="N187" s="507">
        <v>86597.548746885062</v>
      </c>
      <c r="O187" s="507">
        <v>1416.2306008021014</v>
      </c>
      <c r="P187">
        <v>1</v>
      </c>
      <c r="Q187" s="2" t="s">
        <v>526</v>
      </c>
      <c r="R187" s="3">
        <v>1</v>
      </c>
      <c r="S187" s="3">
        <v>5.2488000000000001</v>
      </c>
      <c r="T187" s="507">
        <v>86597.548746885062</v>
      </c>
      <c r="U187" s="507">
        <v>0</v>
      </c>
      <c r="V187" s="507">
        <v>86597.548746885062</v>
      </c>
      <c r="W187" s="507">
        <v>811.97239009480552</v>
      </c>
      <c r="X187" s="507">
        <v>88013.779347687159</v>
      </c>
      <c r="Y187" s="507">
        <v>87409.521136979864</v>
      </c>
      <c r="Z187" s="507">
        <v>461966.72504014039</v>
      </c>
      <c r="AA187" s="507">
        <v>458795.09454377991</v>
      </c>
      <c r="AB187" s="507">
        <v>458795.09454377991</v>
      </c>
      <c r="AC187" s="507">
        <v>3171.63</v>
      </c>
      <c r="AD187" s="507">
        <v>3171.63</v>
      </c>
      <c r="AE187" s="507">
        <v>0</v>
      </c>
      <c r="AF187" s="507">
        <v>3171.63</v>
      </c>
      <c r="AG187" s="507"/>
      <c r="AH187" s="507">
        <v>0</v>
      </c>
      <c r="AI187" s="507">
        <v>0</v>
      </c>
      <c r="AJ187" s="507">
        <v>0</v>
      </c>
      <c r="AK187" s="507">
        <v>0</v>
      </c>
      <c r="AL187" s="507">
        <v>0</v>
      </c>
      <c r="AM187" s="507">
        <v>0</v>
      </c>
      <c r="AN187" s="507"/>
      <c r="AO187" s="507"/>
    </row>
    <row r="188" spans="1:41">
      <c r="A188" s="2"/>
      <c r="B188" s="2"/>
      <c r="C188" s="2"/>
      <c r="D188" s="2"/>
      <c r="E188" s="2"/>
      <c r="F188" s="2"/>
      <c r="G188" s="2"/>
      <c r="I188" s="2"/>
      <c r="J188" s="3"/>
      <c r="K188" s="3"/>
      <c r="L188" s="507"/>
      <c r="M188" s="507"/>
      <c r="N188" s="507"/>
      <c r="O188" s="507"/>
      <c r="P188">
        <v>1</v>
      </c>
      <c r="Q188" s="2" t="s">
        <v>526</v>
      </c>
      <c r="R188" s="3">
        <v>1</v>
      </c>
      <c r="S188" s="3">
        <v>5.2488000000000001</v>
      </c>
      <c r="T188" s="507">
        <v>6578.2745390021764</v>
      </c>
      <c r="U188" s="507">
        <v>0</v>
      </c>
      <c r="V188" s="507">
        <v>6578.2745390021764</v>
      </c>
      <c r="W188" s="507">
        <v>4.7692471358258501</v>
      </c>
      <c r="X188" s="507"/>
      <c r="Y188" s="507">
        <v>6583.0437861380024</v>
      </c>
      <c r="Z188" s="507"/>
      <c r="AA188" s="507">
        <v>34553.080224681151</v>
      </c>
      <c r="AB188" s="507"/>
      <c r="AC188" s="507"/>
      <c r="AD188" s="507"/>
      <c r="AE188" s="507"/>
      <c r="AF188" s="507"/>
      <c r="AG188" s="507"/>
      <c r="AH188" s="507"/>
      <c r="AI188" s="507">
        <v>0</v>
      </c>
      <c r="AJ188" s="507"/>
      <c r="AK188" s="507"/>
      <c r="AL188" s="507"/>
      <c r="AM188" s="507"/>
      <c r="AN188" s="507"/>
      <c r="AO188" s="507"/>
    </row>
    <row r="189" spans="1:41">
      <c r="A189" s="2" t="s">
        <v>924</v>
      </c>
      <c r="B189" s="2" t="s">
        <v>156</v>
      </c>
      <c r="C189" s="2" t="s">
        <v>17</v>
      </c>
      <c r="D189" s="2" t="s">
        <v>25</v>
      </c>
      <c r="E189" s="2" t="s">
        <v>19</v>
      </c>
      <c r="F189" s="2" t="s">
        <v>20</v>
      </c>
      <c r="G189" s="2" t="s">
        <v>21</v>
      </c>
      <c r="H189">
        <v>1</v>
      </c>
      <c r="I189" s="2" t="s">
        <v>526</v>
      </c>
      <c r="J189" s="3">
        <v>1</v>
      </c>
      <c r="K189" s="3">
        <v>5.2488000000000001</v>
      </c>
      <c r="L189" s="507">
        <v>216493.87186721261</v>
      </c>
      <c r="M189" s="507">
        <v>0</v>
      </c>
      <c r="N189" s="507">
        <v>216493.87186721261</v>
      </c>
      <c r="O189" s="507">
        <v>3493.3693637629922</v>
      </c>
      <c r="P189">
        <v>1</v>
      </c>
      <c r="Q189" s="2" t="s">
        <v>526</v>
      </c>
      <c r="R189" s="3">
        <v>1</v>
      </c>
      <c r="S189" s="3">
        <v>5.2488000000000001</v>
      </c>
      <c r="T189" s="507">
        <v>216493.87186721261</v>
      </c>
      <c r="U189" s="507">
        <v>0</v>
      </c>
      <c r="V189" s="507">
        <v>216493.87186721261</v>
      </c>
      <c r="W189" s="507">
        <v>1982.723187513137</v>
      </c>
      <c r="X189" s="507">
        <v>219987.2412309756</v>
      </c>
      <c r="Y189" s="507">
        <v>218476.59505472574</v>
      </c>
      <c r="Z189" s="507">
        <v>1154669.0317731448</v>
      </c>
      <c r="AA189" s="507">
        <v>1146739.9521232445</v>
      </c>
      <c r="AB189" s="507">
        <v>1146739.9521232445</v>
      </c>
      <c r="AC189" s="507">
        <v>7929.08</v>
      </c>
      <c r="AD189" s="507">
        <v>7929.08</v>
      </c>
      <c r="AE189" s="507">
        <v>0</v>
      </c>
      <c r="AF189" s="507">
        <v>7929.08</v>
      </c>
      <c r="AG189" s="507"/>
      <c r="AH189" s="507">
        <v>0</v>
      </c>
      <c r="AI189" s="507">
        <v>0</v>
      </c>
      <c r="AJ189" s="507">
        <v>0</v>
      </c>
      <c r="AK189" s="507">
        <v>0</v>
      </c>
      <c r="AL189" s="507">
        <v>0</v>
      </c>
      <c r="AM189" s="507">
        <v>0</v>
      </c>
      <c r="AN189" s="507"/>
      <c r="AO189" s="507"/>
    </row>
    <row r="190" spans="1:41">
      <c r="A190" s="2" t="s">
        <v>925</v>
      </c>
      <c r="B190" s="2" t="s">
        <v>926</v>
      </c>
      <c r="C190" s="2" t="s">
        <v>17</v>
      </c>
      <c r="D190" s="2" t="s">
        <v>25</v>
      </c>
      <c r="E190" s="2" t="s">
        <v>19</v>
      </c>
      <c r="F190" s="2" t="s">
        <v>20</v>
      </c>
      <c r="G190" s="2" t="s">
        <v>21</v>
      </c>
      <c r="H190">
        <v>1</v>
      </c>
      <c r="I190" s="2" t="s">
        <v>526</v>
      </c>
      <c r="J190" s="3">
        <v>1</v>
      </c>
      <c r="K190" s="3">
        <v>5.2488000000000001</v>
      </c>
      <c r="L190" s="507">
        <v>173506.93740036391</v>
      </c>
      <c r="M190" s="507">
        <v>367662</v>
      </c>
      <c r="N190" s="507">
        <v>541168.93740036385</v>
      </c>
      <c r="O190" s="507">
        <v>150.13176732662799</v>
      </c>
      <c r="P190">
        <v>1</v>
      </c>
      <c r="Q190" s="2" t="s">
        <v>526</v>
      </c>
      <c r="R190" s="3">
        <v>1</v>
      </c>
      <c r="S190" s="3">
        <v>5.2488000000000001</v>
      </c>
      <c r="T190" s="507">
        <v>173548.46520899469</v>
      </c>
      <c r="U190" s="507">
        <v>367750</v>
      </c>
      <c r="V190" s="507">
        <v>541298.46520899469</v>
      </c>
      <c r="W190" s="507">
        <v>911.12944234722227</v>
      </c>
      <c r="X190" s="507">
        <v>173657.06916769053</v>
      </c>
      <c r="Y190" s="507">
        <v>174459.5946513419</v>
      </c>
      <c r="Z190" s="507">
        <v>911491.22464737401</v>
      </c>
      <c r="AA190" s="507">
        <v>915703.52040596341</v>
      </c>
      <c r="AB190" s="507">
        <v>915703.52040596341</v>
      </c>
      <c r="AC190" s="507">
        <v>-4212.3</v>
      </c>
      <c r="AD190" s="507">
        <v>-4212.3</v>
      </c>
      <c r="AE190" s="507">
        <v>0</v>
      </c>
      <c r="AF190" s="507"/>
      <c r="AG190" s="507">
        <v>-4212.3</v>
      </c>
      <c r="AH190" s="507">
        <v>1929784.3056000001</v>
      </c>
      <c r="AI190" s="507">
        <v>1930246.2</v>
      </c>
      <c r="AJ190" s="507">
        <v>1930246.2</v>
      </c>
      <c r="AK190" s="507">
        <v>-461.89</v>
      </c>
      <c r="AL190" s="507">
        <v>-461.89</v>
      </c>
      <c r="AM190" s="507">
        <v>0</v>
      </c>
      <c r="AN190" s="507"/>
      <c r="AO190" s="507">
        <v>-461.89</v>
      </c>
    </row>
    <row r="191" spans="1:41">
      <c r="A191" s="2"/>
      <c r="B191" s="2"/>
      <c r="C191" s="2"/>
      <c r="D191" s="2"/>
      <c r="E191" s="2"/>
      <c r="F191" s="2"/>
      <c r="G191" s="2"/>
      <c r="I191" s="2"/>
      <c r="J191" s="3"/>
      <c r="K191" s="3"/>
      <c r="L191" s="507"/>
      <c r="M191" s="507"/>
      <c r="N191" s="507"/>
      <c r="O191" s="507"/>
      <c r="P191">
        <v>1</v>
      </c>
      <c r="Q191" s="2" t="s">
        <v>526</v>
      </c>
      <c r="R191" s="3">
        <v>1</v>
      </c>
      <c r="S191" s="3">
        <v>5.2488000000000001</v>
      </c>
      <c r="T191" s="507">
        <v>29619.406838750401</v>
      </c>
      <c r="U191" s="507">
        <v>0</v>
      </c>
      <c r="V191" s="507">
        <v>29619.406838750401</v>
      </c>
      <c r="W191" s="507">
        <v>21.47410359140445</v>
      </c>
      <c r="X191" s="507"/>
      <c r="Y191" s="507">
        <v>29640.880942341806</v>
      </c>
      <c r="Z191" s="507"/>
      <c r="AA191" s="507">
        <v>155579.05589016367</v>
      </c>
      <c r="AB191" s="507"/>
      <c r="AC191" s="507"/>
      <c r="AD191" s="507"/>
      <c r="AE191" s="507"/>
      <c r="AF191" s="507"/>
      <c r="AG191" s="507"/>
      <c r="AH191" s="507"/>
      <c r="AI191" s="507">
        <v>0</v>
      </c>
      <c r="AJ191" s="507"/>
      <c r="AK191" s="507"/>
      <c r="AL191" s="507"/>
      <c r="AM191" s="507"/>
      <c r="AN191" s="507"/>
      <c r="AO191" s="507"/>
    </row>
    <row r="192" spans="1:41">
      <c r="A192" s="2" t="s">
        <v>927</v>
      </c>
      <c r="B192" s="2" t="s">
        <v>928</v>
      </c>
      <c r="C192" s="2" t="s">
        <v>17</v>
      </c>
      <c r="D192" s="2" t="s">
        <v>18</v>
      </c>
      <c r="E192" s="2" t="s">
        <v>19</v>
      </c>
      <c r="F192" s="2" t="s">
        <v>20</v>
      </c>
      <c r="G192" s="2" t="s">
        <v>21</v>
      </c>
      <c r="H192">
        <v>1</v>
      </c>
      <c r="I192" s="2" t="s">
        <v>526</v>
      </c>
      <c r="J192" s="3">
        <v>1</v>
      </c>
      <c r="K192" s="3">
        <v>5.2488000000000001</v>
      </c>
      <c r="L192" s="507">
        <v>553900.50476478972</v>
      </c>
      <c r="M192" s="507">
        <v>0</v>
      </c>
      <c r="N192" s="507">
        <v>553900.50476478972</v>
      </c>
      <c r="O192" s="507">
        <v>430.81144216144708</v>
      </c>
      <c r="P192">
        <v>1</v>
      </c>
      <c r="Q192" s="2" t="s">
        <v>526</v>
      </c>
      <c r="R192" s="3">
        <v>1</v>
      </c>
      <c r="S192" s="3">
        <v>5.2488000000000001</v>
      </c>
      <c r="T192" s="507">
        <v>553900.50476478972</v>
      </c>
      <c r="U192" s="507">
        <v>0</v>
      </c>
      <c r="V192" s="507">
        <v>553900.50476478972</v>
      </c>
      <c r="W192" s="507">
        <v>1931.7280103672042</v>
      </c>
      <c r="X192" s="507">
        <v>554331.31620695116</v>
      </c>
      <c r="Y192" s="507">
        <v>555832.23277515697</v>
      </c>
      <c r="Z192" s="507">
        <v>2909574.2125070454</v>
      </c>
      <c r="AA192" s="507">
        <v>2917452.2233902439</v>
      </c>
      <c r="AB192" s="507">
        <v>2917452.2233902439</v>
      </c>
      <c r="AC192" s="507">
        <v>-7878.01</v>
      </c>
      <c r="AD192" s="507">
        <v>-7878.01</v>
      </c>
      <c r="AE192" s="507">
        <v>0</v>
      </c>
      <c r="AF192" s="507"/>
      <c r="AG192" s="507">
        <v>-7878.01</v>
      </c>
      <c r="AH192" s="507">
        <v>0</v>
      </c>
      <c r="AI192" s="507">
        <v>0</v>
      </c>
      <c r="AJ192" s="507">
        <v>0</v>
      </c>
      <c r="AK192" s="507">
        <v>0</v>
      </c>
      <c r="AL192" s="507">
        <v>0</v>
      </c>
      <c r="AM192" s="507">
        <v>0</v>
      </c>
      <c r="AN192" s="507"/>
      <c r="AO192" s="507"/>
    </row>
    <row r="193" spans="1:41">
      <c r="A193" s="2"/>
      <c r="B193" s="2"/>
      <c r="C193" s="2"/>
      <c r="D193" s="2"/>
      <c r="E193" s="2"/>
      <c r="F193" s="2"/>
      <c r="G193" s="2"/>
      <c r="I193" s="2"/>
      <c r="J193" s="3"/>
      <c r="K193" s="3"/>
      <c r="L193" s="507"/>
      <c r="M193" s="507"/>
      <c r="N193" s="507"/>
      <c r="O193" s="507"/>
      <c r="P193">
        <v>1</v>
      </c>
      <c r="Q193" s="2" t="s">
        <v>526</v>
      </c>
      <c r="R193" s="3">
        <v>1</v>
      </c>
      <c r="S193" s="3">
        <v>5.2488000000000001</v>
      </c>
      <c r="T193" s="507">
        <v>538922.76370470249</v>
      </c>
      <c r="U193" s="507">
        <v>0</v>
      </c>
      <c r="V193" s="507">
        <v>538922.76370470249</v>
      </c>
      <c r="W193" s="507">
        <v>7113.7805554940078</v>
      </c>
      <c r="X193" s="507"/>
      <c r="Y193" s="507">
        <v>546036.5442601965</v>
      </c>
      <c r="Z193" s="507"/>
      <c r="AA193" s="507">
        <v>2866036.6135129193</v>
      </c>
      <c r="AB193" s="507"/>
      <c r="AC193" s="507"/>
      <c r="AD193" s="507"/>
      <c r="AE193" s="507"/>
      <c r="AF193" s="507"/>
      <c r="AG193" s="507"/>
      <c r="AH193" s="507"/>
      <c r="AI193" s="507">
        <v>0</v>
      </c>
      <c r="AJ193" s="507"/>
      <c r="AK193" s="507"/>
      <c r="AL193" s="507"/>
      <c r="AM193" s="507"/>
      <c r="AN193" s="507"/>
      <c r="AO193" s="507"/>
    </row>
    <row r="194" spans="1:41">
      <c r="A194" s="2" t="s">
        <v>929</v>
      </c>
      <c r="B194" s="2" t="s">
        <v>94</v>
      </c>
      <c r="C194" s="2" t="s">
        <v>17</v>
      </c>
      <c r="D194" s="2" t="s">
        <v>95</v>
      </c>
      <c r="E194" s="2" t="s">
        <v>19</v>
      </c>
      <c r="F194" s="2" t="s">
        <v>20</v>
      </c>
      <c r="G194" s="2" t="s">
        <v>21</v>
      </c>
      <c r="H194">
        <v>1</v>
      </c>
      <c r="I194" s="2" t="s">
        <v>526</v>
      </c>
      <c r="J194" s="3">
        <v>1</v>
      </c>
      <c r="K194" s="3">
        <v>5.2488000000000001</v>
      </c>
      <c r="L194" s="507">
        <v>149734.7946038369</v>
      </c>
      <c r="M194" s="507">
        <v>0</v>
      </c>
      <c r="N194" s="507">
        <v>149734.7946038369</v>
      </c>
      <c r="O194" s="507">
        <v>125.19499232245842</v>
      </c>
      <c r="P194">
        <v>1</v>
      </c>
      <c r="Q194" s="2" t="s">
        <v>526</v>
      </c>
      <c r="R194" s="3">
        <v>1</v>
      </c>
      <c r="S194" s="3">
        <v>5.2488000000000001</v>
      </c>
      <c r="T194" s="507">
        <v>149734.7946038369</v>
      </c>
      <c r="U194" s="507">
        <v>0</v>
      </c>
      <c r="V194" s="507">
        <v>149734.7946038369</v>
      </c>
      <c r="W194" s="507">
        <v>90.46469213969975</v>
      </c>
      <c r="X194" s="507">
        <v>149859.98959615934</v>
      </c>
      <c r="Y194" s="507">
        <v>149825.2592959766</v>
      </c>
      <c r="Z194" s="507">
        <v>786585.11339232116</v>
      </c>
      <c r="AA194" s="507">
        <v>786402.82099272206</v>
      </c>
      <c r="AB194" s="507">
        <v>786402.82099272206</v>
      </c>
      <c r="AC194" s="507">
        <v>182.29</v>
      </c>
      <c r="AD194" s="507">
        <v>182.29</v>
      </c>
      <c r="AE194" s="507">
        <v>0</v>
      </c>
      <c r="AF194" s="507">
        <v>182.29</v>
      </c>
      <c r="AG194" s="507"/>
      <c r="AH194" s="507">
        <v>0</v>
      </c>
      <c r="AI194" s="507">
        <v>0</v>
      </c>
      <c r="AJ194" s="507">
        <v>0</v>
      </c>
      <c r="AK194" s="507">
        <v>0</v>
      </c>
      <c r="AL194" s="507">
        <v>0</v>
      </c>
      <c r="AM194" s="507">
        <v>0</v>
      </c>
      <c r="AN194" s="507"/>
      <c r="AO194" s="507"/>
    </row>
    <row r="195" spans="1:41">
      <c r="A195" s="2" t="s">
        <v>930</v>
      </c>
      <c r="B195" s="2" t="s">
        <v>931</v>
      </c>
      <c r="C195" s="2" t="s">
        <v>17</v>
      </c>
      <c r="D195" s="2" t="s">
        <v>25</v>
      </c>
      <c r="E195" s="2" t="s">
        <v>19</v>
      </c>
      <c r="F195" s="2" t="s">
        <v>20</v>
      </c>
      <c r="G195" s="2" t="s">
        <v>21</v>
      </c>
      <c r="H195">
        <v>1</v>
      </c>
      <c r="I195" s="2" t="s">
        <v>526</v>
      </c>
      <c r="J195" s="3">
        <v>1</v>
      </c>
      <c r="K195" s="3">
        <v>5.2488000000000001</v>
      </c>
      <c r="L195" s="507">
        <v>650470.59143521439</v>
      </c>
      <c r="M195" s="507">
        <v>0</v>
      </c>
      <c r="N195" s="507">
        <v>650470.59143521439</v>
      </c>
      <c r="O195" s="507">
        <v>632.4020738097787</v>
      </c>
      <c r="P195">
        <v>1</v>
      </c>
      <c r="Q195" s="2" t="s">
        <v>526</v>
      </c>
      <c r="R195" s="3">
        <v>1</v>
      </c>
      <c r="S195" s="3">
        <v>5.2488000000000001</v>
      </c>
      <c r="T195" s="507">
        <v>650470.59143521439</v>
      </c>
      <c r="U195" s="507">
        <v>0</v>
      </c>
      <c r="V195" s="507">
        <v>650470.59143521439</v>
      </c>
      <c r="W195" s="507">
        <v>451.71556935865658</v>
      </c>
      <c r="X195" s="507">
        <v>651102.99350902415</v>
      </c>
      <c r="Y195" s="507">
        <v>650922.30700457306</v>
      </c>
      <c r="Z195" s="507">
        <v>3417509.392330166</v>
      </c>
      <c r="AA195" s="507">
        <v>3416561.0050056032</v>
      </c>
      <c r="AB195" s="507">
        <v>3416561.0050056032</v>
      </c>
      <c r="AC195" s="507">
        <v>948.39</v>
      </c>
      <c r="AD195" s="507">
        <v>948.39</v>
      </c>
      <c r="AE195" s="507">
        <v>0</v>
      </c>
      <c r="AF195" s="507">
        <v>948.39</v>
      </c>
      <c r="AG195" s="507"/>
      <c r="AH195" s="507">
        <v>0</v>
      </c>
      <c r="AI195" s="507">
        <v>0</v>
      </c>
      <c r="AJ195" s="507">
        <v>0</v>
      </c>
      <c r="AK195" s="507">
        <v>0</v>
      </c>
      <c r="AL195" s="507">
        <v>0</v>
      </c>
      <c r="AM195" s="507">
        <v>0</v>
      </c>
      <c r="AN195" s="507"/>
      <c r="AO195" s="507"/>
    </row>
    <row r="196" spans="1:41">
      <c r="A196" s="2" t="s">
        <v>932</v>
      </c>
      <c r="B196" s="2" t="s">
        <v>137</v>
      </c>
      <c r="C196" s="2" t="s">
        <v>17</v>
      </c>
      <c r="D196" s="2" t="s">
        <v>933</v>
      </c>
      <c r="E196" s="2" t="s">
        <v>19</v>
      </c>
      <c r="F196" s="2" t="s">
        <v>20</v>
      </c>
      <c r="G196" s="2" t="s">
        <v>21</v>
      </c>
      <c r="H196">
        <v>1</v>
      </c>
      <c r="I196" s="2" t="s">
        <v>526</v>
      </c>
      <c r="J196" s="3">
        <v>1</v>
      </c>
      <c r="K196" s="3">
        <v>5.2488000000000001</v>
      </c>
      <c r="L196" s="507">
        <v>1383538.2974785266</v>
      </c>
      <c r="M196" s="507">
        <v>0</v>
      </c>
      <c r="N196" s="507">
        <v>1383538.2974785266</v>
      </c>
      <c r="O196" s="507">
        <v>1170.2429021864734</v>
      </c>
      <c r="P196">
        <v>1</v>
      </c>
      <c r="Q196" s="2" t="s">
        <v>526</v>
      </c>
      <c r="R196" s="3">
        <v>1</v>
      </c>
      <c r="S196" s="3">
        <v>5.2488000000000001</v>
      </c>
      <c r="T196" s="507">
        <v>1383538.2974785266</v>
      </c>
      <c r="U196" s="507">
        <v>0</v>
      </c>
      <c r="V196" s="507">
        <v>1383538.2974785266</v>
      </c>
      <c r="W196" s="507">
        <v>4734.7754761812175</v>
      </c>
      <c r="X196" s="507">
        <v>1384708.5403807131</v>
      </c>
      <c r="Y196" s="507">
        <v>1388273.0729547078</v>
      </c>
      <c r="Z196" s="507">
        <v>7268058.1867502872</v>
      </c>
      <c r="AA196" s="507">
        <v>7286767.7053246703</v>
      </c>
      <c r="AB196" s="507">
        <v>7286767.7053246703</v>
      </c>
      <c r="AC196" s="507">
        <v>-18709.52</v>
      </c>
      <c r="AD196" s="507">
        <v>-18709.52</v>
      </c>
      <c r="AE196" s="507">
        <v>0</v>
      </c>
      <c r="AF196" s="507"/>
      <c r="AG196" s="507">
        <v>-18709.52</v>
      </c>
      <c r="AH196" s="507">
        <v>0</v>
      </c>
      <c r="AI196" s="507">
        <v>0</v>
      </c>
      <c r="AJ196" s="507">
        <v>0</v>
      </c>
      <c r="AK196" s="507">
        <v>0</v>
      </c>
      <c r="AL196" s="507">
        <v>0</v>
      </c>
      <c r="AM196" s="507">
        <v>0</v>
      </c>
      <c r="AN196" s="507"/>
      <c r="AO196" s="507"/>
    </row>
    <row r="197" spans="1:41">
      <c r="A197" s="2" t="s">
        <v>934</v>
      </c>
      <c r="B197" s="2" t="s">
        <v>124</v>
      </c>
      <c r="C197" s="2" t="s">
        <v>17</v>
      </c>
      <c r="D197" s="2" t="s">
        <v>25</v>
      </c>
      <c r="E197" s="2" t="s">
        <v>19</v>
      </c>
      <c r="F197" s="2" t="s">
        <v>20</v>
      </c>
      <c r="G197" s="2" t="s">
        <v>21</v>
      </c>
      <c r="H197">
        <v>1</v>
      </c>
      <c r="I197" s="2" t="s">
        <v>526</v>
      </c>
      <c r="J197" s="3">
        <v>1</v>
      </c>
      <c r="K197" s="3">
        <v>5.2488000000000001</v>
      </c>
      <c r="L197" s="507">
        <v>29348.773527392703</v>
      </c>
      <c r="M197" s="507">
        <v>710260</v>
      </c>
      <c r="N197" s="507">
        <v>739608.77352739265</v>
      </c>
      <c r="O197" s="507">
        <v>217.67010945986058</v>
      </c>
      <c r="P197">
        <v>1</v>
      </c>
      <c r="Q197" s="2" t="s">
        <v>526</v>
      </c>
      <c r="R197" s="3">
        <v>1</v>
      </c>
      <c r="S197" s="3">
        <v>5.2488000000000001</v>
      </c>
      <c r="T197" s="507">
        <v>29348.773527392703</v>
      </c>
      <c r="U197" s="507">
        <v>710260</v>
      </c>
      <c r="V197" s="507">
        <v>739608.77352739265</v>
      </c>
      <c r="W197" s="507">
        <v>101.57939224094122</v>
      </c>
      <c r="X197" s="507">
        <v>29566.443636852564</v>
      </c>
      <c r="Y197" s="507">
        <v>29450.352919633646</v>
      </c>
      <c r="Z197" s="507">
        <v>155188.34936111173</v>
      </c>
      <c r="AA197" s="507">
        <v>154579.01240457309</v>
      </c>
      <c r="AB197" s="507">
        <v>154579.01240457309</v>
      </c>
      <c r="AC197" s="507">
        <v>609.34</v>
      </c>
      <c r="AD197" s="507">
        <v>609.34</v>
      </c>
      <c r="AE197" s="507">
        <v>0</v>
      </c>
      <c r="AF197" s="507">
        <v>609.34</v>
      </c>
      <c r="AG197" s="507"/>
      <c r="AH197" s="507">
        <v>3728012.6880000001</v>
      </c>
      <c r="AI197" s="507">
        <v>3728012.6880000001</v>
      </c>
      <c r="AJ197" s="507">
        <v>3728012.6880000001</v>
      </c>
      <c r="AK197" s="507">
        <v>0</v>
      </c>
      <c r="AL197" s="507">
        <v>0</v>
      </c>
      <c r="AM197" s="507">
        <v>0</v>
      </c>
      <c r="AN197" s="507"/>
      <c r="AO197" s="507"/>
    </row>
    <row r="198" spans="1:41">
      <c r="A198" s="2" t="s">
        <v>935</v>
      </c>
      <c r="B198" s="2" t="s">
        <v>931</v>
      </c>
      <c r="C198" s="2" t="s">
        <v>17</v>
      </c>
      <c r="D198" s="2" t="s">
        <v>25</v>
      </c>
      <c r="E198" s="2" t="s">
        <v>19</v>
      </c>
      <c r="F198" s="2" t="s">
        <v>20</v>
      </c>
      <c r="G198" s="2" t="s">
        <v>21</v>
      </c>
      <c r="H198">
        <v>1</v>
      </c>
      <c r="I198" s="2" t="s">
        <v>526</v>
      </c>
      <c r="J198" s="3">
        <v>1</v>
      </c>
      <c r="K198" s="3">
        <v>5.2488000000000001</v>
      </c>
      <c r="L198" s="507">
        <v>179652.38705190161</v>
      </c>
      <c r="M198" s="507">
        <v>0</v>
      </c>
      <c r="N198" s="507">
        <v>179652.38705190161</v>
      </c>
      <c r="O198" s="507">
        <v>174.66202528858162</v>
      </c>
      <c r="P198">
        <v>1</v>
      </c>
      <c r="Q198" s="2" t="s">
        <v>526</v>
      </c>
      <c r="R198" s="3">
        <v>1</v>
      </c>
      <c r="S198" s="3">
        <v>5.2488000000000001</v>
      </c>
      <c r="T198" s="507">
        <v>179652.38705190161</v>
      </c>
      <c r="U198" s="507">
        <v>0</v>
      </c>
      <c r="V198" s="507">
        <v>179652.38705190161</v>
      </c>
      <c r="W198" s="507">
        <v>124.75862902150968</v>
      </c>
      <c r="X198" s="507">
        <v>179827.0490771902</v>
      </c>
      <c r="Y198" s="507">
        <v>179777.1456809231</v>
      </c>
      <c r="Z198" s="507">
        <v>943876.21519635594</v>
      </c>
      <c r="AA198" s="507">
        <v>943614.28225002915</v>
      </c>
      <c r="AB198" s="507">
        <v>943614.28225002915</v>
      </c>
      <c r="AC198" s="507">
        <v>261.93</v>
      </c>
      <c r="AD198" s="507">
        <v>261.93</v>
      </c>
      <c r="AE198" s="507">
        <v>0</v>
      </c>
      <c r="AF198" s="507">
        <v>261.93</v>
      </c>
      <c r="AG198" s="507"/>
      <c r="AH198" s="507">
        <v>0</v>
      </c>
      <c r="AI198" s="507">
        <v>0</v>
      </c>
      <c r="AJ198" s="507">
        <v>0</v>
      </c>
      <c r="AK198" s="507">
        <v>0</v>
      </c>
      <c r="AL198" s="507">
        <v>0</v>
      </c>
      <c r="AM198" s="507">
        <v>0</v>
      </c>
      <c r="AN198" s="507"/>
      <c r="AO198" s="507"/>
    </row>
    <row r="199" spans="1:41">
      <c r="A199" s="2"/>
      <c r="B199" s="2"/>
      <c r="C199" s="2"/>
      <c r="D199" s="2"/>
      <c r="E199" s="2"/>
      <c r="F199" s="2"/>
      <c r="G199" s="2"/>
      <c r="I199" s="2"/>
      <c r="J199" s="3"/>
      <c r="K199" s="3"/>
      <c r="L199" s="507"/>
      <c r="M199" s="507"/>
      <c r="N199" s="507"/>
      <c r="O199" s="507"/>
      <c r="P199">
        <v>1</v>
      </c>
      <c r="Q199" s="2" t="s">
        <v>526</v>
      </c>
      <c r="R199" s="3">
        <v>1</v>
      </c>
      <c r="S199" s="3">
        <v>5.2488000000000001</v>
      </c>
      <c r="T199" s="507">
        <v>43298.774373442531</v>
      </c>
      <c r="U199" s="507">
        <v>0</v>
      </c>
      <c r="V199" s="507">
        <v>43298.774373442531</v>
      </c>
      <c r="W199" s="507">
        <v>689.23248840292047</v>
      </c>
      <c r="X199" s="507"/>
      <c r="Y199" s="507">
        <v>43988.006861845453</v>
      </c>
      <c r="Z199" s="507"/>
      <c r="AA199" s="507">
        <v>230884.25041645442</v>
      </c>
      <c r="AB199" s="507"/>
      <c r="AC199" s="507"/>
      <c r="AD199" s="507"/>
      <c r="AE199" s="507"/>
      <c r="AF199" s="507"/>
      <c r="AG199" s="507"/>
      <c r="AH199" s="507"/>
      <c r="AI199" s="507">
        <v>0</v>
      </c>
      <c r="AJ199" s="507"/>
      <c r="AK199" s="507"/>
      <c r="AL199" s="507"/>
      <c r="AM199" s="507"/>
      <c r="AN199" s="507"/>
      <c r="AO199" s="507"/>
    </row>
    <row r="200" spans="1:41">
      <c r="A200" s="2" t="s">
        <v>936</v>
      </c>
      <c r="B200" s="2" t="s">
        <v>138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21</v>
      </c>
      <c r="H200">
        <v>1</v>
      </c>
      <c r="I200" s="2" t="s">
        <v>526</v>
      </c>
      <c r="J200" s="3">
        <v>1</v>
      </c>
      <c r="K200" s="3">
        <v>5.2488000000000001</v>
      </c>
      <c r="L200" s="507">
        <v>109.77778626173141</v>
      </c>
      <c r="M200" s="507">
        <v>0</v>
      </c>
      <c r="N200" s="507">
        <v>109.77778626173141</v>
      </c>
      <c r="O200" s="507">
        <v>9.2853710879714474E-2</v>
      </c>
      <c r="P200">
        <v>1</v>
      </c>
      <c r="Q200" s="2" t="s">
        <v>526</v>
      </c>
      <c r="R200" s="3">
        <v>1</v>
      </c>
      <c r="S200" s="3">
        <v>5.2488000000000001</v>
      </c>
      <c r="T200" s="507">
        <v>78.431642767698619</v>
      </c>
      <c r="U200" s="507">
        <v>0</v>
      </c>
      <c r="V200" s="507">
        <v>78.431642767698619</v>
      </c>
      <c r="W200" s="507">
        <v>4.7385784172151252E-2</v>
      </c>
      <c r="X200" s="507">
        <v>109.87063997261112</v>
      </c>
      <c r="Y200" s="507">
        <v>78.479028551870769</v>
      </c>
      <c r="Z200" s="507">
        <v>576.68901508824126</v>
      </c>
      <c r="AA200" s="507">
        <v>411.92072506305931</v>
      </c>
      <c r="AB200" s="507">
        <v>411.92072506305931</v>
      </c>
      <c r="AC200" s="507">
        <v>164.77</v>
      </c>
      <c r="AD200" s="507">
        <v>164.77</v>
      </c>
      <c r="AE200" s="507">
        <v>0</v>
      </c>
      <c r="AF200" s="507">
        <v>164.77</v>
      </c>
      <c r="AG200" s="507"/>
      <c r="AH200" s="507">
        <v>0</v>
      </c>
      <c r="AI200" s="507">
        <v>0</v>
      </c>
      <c r="AJ200" s="507">
        <v>0</v>
      </c>
      <c r="AK200" s="507">
        <v>0</v>
      </c>
      <c r="AL200" s="507">
        <v>0</v>
      </c>
      <c r="AM200" s="507">
        <v>0</v>
      </c>
      <c r="AN200" s="507"/>
      <c r="AO200" s="507"/>
    </row>
    <row r="201" spans="1:41">
      <c r="A201" s="2" t="s">
        <v>937</v>
      </c>
      <c r="B201" s="2" t="s">
        <v>928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21</v>
      </c>
      <c r="H201">
        <v>1</v>
      </c>
      <c r="I201" s="2" t="s">
        <v>526</v>
      </c>
      <c r="J201" s="3">
        <v>1</v>
      </c>
      <c r="K201" s="3">
        <v>5.2488000000000001</v>
      </c>
      <c r="L201" s="507">
        <v>738534.00635305303</v>
      </c>
      <c r="M201" s="507">
        <v>0</v>
      </c>
      <c r="N201" s="507">
        <v>738534.00635305303</v>
      </c>
      <c r="O201" s="507">
        <v>581.59553000302924</v>
      </c>
      <c r="P201">
        <v>1</v>
      </c>
      <c r="Q201" s="2" t="s">
        <v>526</v>
      </c>
      <c r="R201" s="3">
        <v>1</v>
      </c>
      <c r="S201" s="3">
        <v>5.2488000000000001</v>
      </c>
      <c r="T201" s="507">
        <v>738534.00635305303</v>
      </c>
      <c r="U201" s="507">
        <v>0</v>
      </c>
      <c r="V201" s="507">
        <v>738534.00635305303</v>
      </c>
      <c r="W201" s="507">
        <v>1261.6621993086314</v>
      </c>
      <c r="X201" s="507">
        <v>739115.60188305611</v>
      </c>
      <c r="Y201" s="507">
        <v>739795.66855236166</v>
      </c>
      <c r="Z201" s="507">
        <v>3879469.9711637851</v>
      </c>
      <c r="AA201" s="507">
        <v>3883039.505097636</v>
      </c>
      <c r="AB201" s="507">
        <v>3883039.505097636</v>
      </c>
      <c r="AC201" s="507">
        <v>-3569.53</v>
      </c>
      <c r="AD201" s="507">
        <v>-3569.53</v>
      </c>
      <c r="AE201" s="507">
        <v>0</v>
      </c>
      <c r="AF201" s="507"/>
      <c r="AG201" s="507">
        <v>-3569.53</v>
      </c>
      <c r="AH201" s="507">
        <v>0</v>
      </c>
      <c r="AI201" s="507">
        <v>0</v>
      </c>
      <c r="AJ201" s="507">
        <v>0</v>
      </c>
      <c r="AK201" s="507">
        <v>0</v>
      </c>
      <c r="AL201" s="507">
        <v>0</v>
      </c>
      <c r="AM201" s="507">
        <v>0</v>
      </c>
      <c r="AN201" s="507"/>
      <c r="AO201" s="507"/>
    </row>
    <row r="202" spans="1:41">
      <c r="A202" s="2" t="s">
        <v>938</v>
      </c>
      <c r="B202" s="2" t="s">
        <v>133</v>
      </c>
      <c r="C202" s="2" t="s">
        <v>17</v>
      </c>
      <c r="D202" s="2" t="s">
        <v>25</v>
      </c>
      <c r="E202" s="2" t="s">
        <v>19</v>
      </c>
      <c r="F202" s="2" t="s">
        <v>20</v>
      </c>
      <c r="G202" s="2" t="s">
        <v>21</v>
      </c>
      <c r="H202">
        <v>1</v>
      </c>
      <c r="I202" s="2" t="s">
        <v>526</v>
      </c>
      <c r="J202" s="3">
        <v>1</v>
      </c>
      <c r="K202" s="3">
        <v>5.2488000000000001</v>
      </c>
      <c r="L202" s="507">
        <v>28612.081504017471</v>
      </c>
      <c r="M202" s="507">
        <v>0</v>
      </c>
      <c r="N202" s="507">
        <v>28612.081504017471</v>
      </c>
      <c r="O202" s="507">
        <v>21.141148202981753</v>
      </c>
      <c r="P202">
        <v>1</v>
      </c>
      <c r="Q202" s="2" t="s">
        <v>526</v>
      </c>
      <c r="R202" s="3">
        <v>1</v>
      </c>
      <c r="S202" s="3">
        <v>5.2488000000000001</v>
      </c>
      <c r="T202" s="507">
        <v>28612.081504017471</v>
      </c>
      <c r="U202" s="507">
        <v>0</v>
      </c>
      <c r="V202" s="507">
        <v>28612.081504017471</v>
      </c>
      <c r="W202" s="507">
        <v>27.539128447616818</v>
      </c>
      <c r="X202" s="507">
        <v>28633.222652220455</v>
      </c>
      <c r="Y202" s="507">
        <v>28639.620632465088</v>
      </c>
      <c r="Z202" s="507">
        <v>150290.05905697471</v>
      </c>
      <c r="AA202" s="507">
        <v>150323.64077568275</v>
      </c>
      <c r="AB202" s="507">
        <v>150323.64077568275</v>
      </c>
      <c r="AC202" s="507">
        <v>-33.58</v>
      </c>
      <c r="AD202" s="507">
        <v>-33.58</v>
      </c>
      <c r="AE202" s="507">
        <v>0</v>
      </c>
      <c r="AF202" s="507"/>
      <c r="AG202" s="507">
        <v>-33.58</v>
      </c>
      <c r="AH202" s="507">
        <v>0</v>
      </c>
      <c r="AI202" s="507">
        <v>0</v>
      </c>
      <c r="AJ202" s="507">
        <v>0</v>
      </c>
      <c r="AK202" s="507">
        <v>0</v>
      </c>
      <c r="AL202" s="507">
        <v>0</v>
      </c>
      <c r="AM202" s="507">
        <v>0</v>
      </c>
      <c r="AN202" s="507"/>
      <c r="AO202" s="507"/>
    </row>
    <row r="203" spans="1:41">
      <c r="A203" s="2" t="s">
        <v>939</v>
      </c>
      <c r="B203" s="2" t="s">
        <v>926</v>
      </c>
      <c r="C203" s="2" t="s">
        <v>17</v>
      </c>
      <c r="D203" s="2" t="s">
        <v>25</v>
      </c>
      <c r="E203" s="2" t="s">
        <v>19</v>
      </c>
      <c r="F203" s="2" t="s">
        <v>20</v>
      </c>
      <c r="G203" s="2" t="s">
        <v>21</v>
      </c>
      <c r="H203">
        <v>1</v>
      </c>
      <c r="I203" s="2" t="s">
        <v>526</v>
      </c>
      <c r="J203" s="3">
        <v>1</v>
      </c>
      <c r="K203" s="3">
        <v>5.2488000000000001</v>
      </c>
      <c r="L203" s="507">
        <v>338787.1350812125</v>
      </c>
      <c r="M203" s="507">
        <v>381489</v>
      </c>
      <c r="N203" s="507">
        <v>720276.1350812125</v>
      </c>
      <c r="O203" s="507">
        <v>293.14497938277134</v>
      </c>
      <c r="P203">
        <v>1</v>
      </c>
      <c r="Q203" s="2" t="s">
        <v>526</v>
      </c>
      <c r="R203" s="3">
        <v>1</v>
      </c>
      <c r="S203" s="3">
        <v>5.2488000000000001</v>
      </c>
      <c r="T203" s="507">
        <v>338789.88420942926</v>
      </c>
      <c r="U203" s="507">
        <v>381492</v>
      </c>
      <c r="V203" s="507">
        <v>720281.88420942926</v>
      </c>
      <c r="W203" s="507">
        <v>338.78988420942926</v>
      </c>
      <c r="X203" s="507">
        <v>339080.28006059525</v>
      </c>
      <c r="Y203" s="507">
        <v>339128.67409363872</v>
      </c>
      <c r="Z203" s="507">
        <v>1779764.5739820525</v>
      </c>
      <c r="AA203" s="507">
        <v>1780018.5845826911</v>
      </c>
      <c r="AB203" s="507">
        <v>1780018.5845826911</v>
      </c>
      <c r="AC203" s="507">
        <v>-254.01</v>
      </c>
      <c r="AD203" s="507">
        <v>-254.01</v>
      </c>
      <c r="AE203" s="507">
        <v>0</v>
      </c>
      <c r="AF203" s="507"/>
      <c r="AG203" s="507">
        <v>-254.01</v>
      </c>
      <c r="AH203" s="507">
        <v>2002359.4632000001</v>
      </c>
      <c r="AI203" s="507">
        <v>2002375.2095999999</v>
      </c>
      <c r="AJ203" s="507">
        <v>2002375.2095999999</v>
      </c>
      <c r="AK203" s="507">
        <v>-15.75</v>
      </c>
      <c r="AL203" s="507">
        <v>-15.75</v>
      </c>
      <c r="AM203" s="507">
        <v>0</v>
      </c>
      <c r="AN203" s="507"/>
      <c r="AO203" s="507">
        <v>-15.75</v>
      </c>
    </row>
    <row r="204" spans="1:41">
      <c r="A204" s="2"/>
      <c r="B204" s="2"/>
      <c r="C204" s="2"/>
      <c r="D204" s="2"/>
      <c r="E204" s="2"/>
      <c r="F204" s="2"/>
      <c r="G204" s="2"/>
      <c r="I204" s="2"/>
      <c r="J204" s="3"/>
      <c r="K204" s="3"/>
      <c r="L204" s="507"/>
      <c r="M204" s="507"/>
      <c r="N204" s="507"/>
      <c r="O204" s="507"/>
      <c r="P204">
        <v>1</v>
      </c>
      <c r="Q204" s="2" t="s">
        <v>526</v>
      </c>
      <c r="R204" s="3">
        <v>1</v>
      </c>
      <c r="S204" s="3">
        <v>5.2488000000000001</v>
      </c>
      <c r="T204" s="507">
        <v>923167.50794131635</v>
      </c>
      <c r="U204" s="507">
        <v>0</v>
      </c>
      <c r="V204" s="507">
        <v>923167.50794131635</v>
      </c>
      <c r="W204" s="507">
        <v>6564.7468051975829</v>
      </c>
      <c r="X204" s="507"/>
      <c r="Y204" s="507">
        <v>929732.25474651391</v>
      </c>
      <c r="Z204" s="507"/>
      <c r="AA204" s="507">
        <v>4879978.6587135019</v>
      </c>
      <c r="AB204" s="507"/>
      <c r="AC204" s="507"/>
      <c r="AD204" s="507"/>
      <c r="AE204" s="507"/>
      <c r="AF204" s="507"/>
      <c r="AG204" s="507"/>
      <c r="AH204" s="507"/>
      <c r="AI204" s="507">
        <v>0</v>
      </c>
      <c r="AJ204" s="507"/>
      <c r="AK204" s="507"/>
      <c r="AL204" s="507"/>
      <c r="AM204" s="507"/>
      <c r="AN204" s="507"/>
      <c r="AO204" s="507"/>
    </row>
    <row r="205" spans="1:41">
      <c r="A205" s="2" t="s">
        <v>159</v>
      </c>
      <c r="B205" s="2" t="s">
        <v>160</v>
      </c>
      <c r="C205" s="2" t="s">
        <v>17</v>
      </c>
      <c r="D205" s="2" t="s">
        <v>95</v>
      </c>
      <c r="E205" s="2" t="s">
        <v>19</v>
      </c>
      <c r="F205" s="2" t="s">
        <v>20</v>
      </c>
      <c r="G205" s="2" t="s">
        <v>57</v>
      </c>
      <c r="H205">
        <v>1</v>
      </c>
      <c r="I205" s="2" t="s">
        <v>526</v>
      </c>
      <c r="J205" s="3">
        <v>0.15684552284455039</v>
      </c>
      <c r="K205" s="3">
        <v>5.2488000000000001</v>
      </c>
      <c r="L205" s="507">
        <v>1815229.1174944267</v>
      </c>
      <c r="M205" s="507">
        <v>0</v>
      </c>
      <c r="N205" s="507">
        <v>1815229.1174944267</v>
      </c>
      <c r="O205" s="507">
        <v>3334.0882021804323</v>
      </c>
      <c r="P205">
        <v>1</v>
      </c>
      <c r="Q205" s="2" t="s">
        <v>526</v>
      </c>
      <c r="R205" s="3">
        <v>0.15702038124548567</v>
      </c>
      <c r="S205" s="3">
        <v>5.2488000000000001</v>
      </c>
      <c r="T205" s="507">
        <v>1932814.8093159283</v>
      </c>
      <c r="U205" s="507">
        <v>0</v>
      </c>
      <c r="V205" s="507">
        <v>1932814.8093159283</v>
      </c>
      <c r="W205" s="507">
        <v>31833.746230592922</v>
      </c>
      <c r="X205" s="507">
        <v>1818563.205696607</v>
      </c>
      <c r="Y205" s="507">
        <v>1964648.5555465212</v>
      </c>
      <c r="Z205" s="507">
        <v>9545274.5540603511</v>
      </c>
      <c r="AA205" s="507">
        <v>10312047.338352581</v>
      </c>
      <c r="AB205" s="507">
        <v>10323543.669744458</v>
      </c>
      <c r="AC205" s="507">
        <v>-766772.78</v>
      </c>
      <c r="AD205" s="507">
        <v>-778269.12</v>
      </c>
      <c r="AE205" s="507">
        <v>11496.34</v>
      </c>
      <c r="AF205" s="507"/>
      <c r="AG205" s="507">
        <v>-778269.12</v>
      </c>
      <c r="AH205" s="507">
        <v>0</v>
      </c>
      <c r="AI205" s="507">
        <v>0</v>
      </c>
      <c r="AJ205" s="507">
        <v>0</v>
      </c>
      <c r="AK205" s="507">
        <v>0</v>
      </c>
      <c r="AL205" s="507">
        <v>0</v>
      </c>
      <c r="AM205" s="507">
        <v>0</v>
      </c>
      <c r="AN205" s="507"/>
      <c r="AO205" s="507"/>
    </row>
    <row r="206" spans="1:41">
      <c r="A206" s="2"/>
      <c r="B206" s="2"/>
      <c r="C206" s="2"/>
      <c r="D206" s="2"/>
      <c r="E206" s="2"/>
      <c r="F206" s="2"/>
      <c r="G206" s="2"/>
      <c r="I206" s="2"/>
      <c r="J206" s="3"/>
      <c r="K206" s="3"/>
      <c r="L206" s="507"/>
      <c r="M206" s="507"/>
      <c r="N206" s="507"/>
      <c r="O206" s="507"/>
      <c r="P206">
        <v>1</v>
      </c>
      <c r="Q206" s="2" t="s">
        <v>526</v>
      </c>
      <c r="R206" s="3">
        <v>1</v>
      </c>
      <c r="S206" s="3">
        <v>5.2488000000000001</v>
      </c>
      <c r="T206" s="507">
        <v>548581.04650814156</v>
      </c>
      <c r="U206" s="507">
        <v>0</v>
      </c>
      <c r="V206" s="507">
        <v>548581.04650814156</v>
      </c>
      <c r="W206" s="507">
        <v>419.05483751051167</v>
      </c>
      <c r="X206" s="507"/>
      <c r="Y206" s="507">
        <v>549000.10134565202</v>
      </c>
      <c r="Z206" s="507"/>
      <c r="AA206" s="507">
        <v>2881591.7319430583</v>
      </c>
      <c r="AB206" s="507"/>
      <c r="AC206" s="507"/>
      <c r="AD206" s="507"/>
      <c r="AE206" s="507"/>
      <c r="AF206" s="507"/>
      <c r="AG206" s="507"/>
      <c r="AH206" s="507"/>
      <c r="AI206" s="507">
        <v>0</v>
      </c>
      <c r="AJ206" s="507"/>
      <c r="AK206" s="507"/>
      <c r="AL206" s="507"/>
      <c r="AM206" s="507"/>
      <c r="AN206" s="507"/>
      <c r="AO206" s="507"/>
    </row>
    <row r="207" spans="1:41">
      <c r="A207" s="2" t="s">
        <v>161</v>
      </c>
      <c r="B207" s="2" t="s">
        <v>162</v>
      </c>
      <c r="C207" s="2" t="s">
        <v>17</v>
      </c>
      <c r="D207" s="2" t="s">
        <v>163</v>
      </c>
      <c r="E207" s="2" t="s">
        <v>19</v>
      </c>
      <c r="F207" s="2" t="s">
        <v>20</v>
      </c>
      <c r="G207" s="2" t="s">
        <v>164</v>
      </c>
      <c r="H207">
        <v>1</v>
      </c>
      <c r="I207" s="2" t="s">
        <v>526</v>
      </c>
      <c r="J207" s="3">
        <v>1.2230919765166341</v>
      </c>
      <c r="K207" s="3">
        <v>5.2488000000000001</v>
      </c>
      <c r="L207" s="507">
        <v>994209.51373743138</v>
      </c>
      <c r="M207" s="507">
        <v>0</v>
      </c>
      <c r="N207" s="507">
        <v>994209.51373743138</v>
      </c>
      <c r="O207" s="507">
        <v>1523.4301753370657</v>
      </c>
      <c r="P207">
        <v>1</v>
      </c>
      <c r="Q207" s="2" t="s">
        <v>526</v>
      </c>
      <c r="R207" s="3">
        <v>1.2246047588140927</v>
      </c>
      <c r="S207" s="3">
        <v>5.2488000000000001</v>
      </c>
      <c r="T207" s="507">
        <v>994209.51373743138</v>
      </c>
      <c r="U207" s="507">
        <v>0</v>
      </c>
      <c r="V207" s="507">
        <v>994209.51373743138</v>
      </c>
      <c r="W207" s="507">
        <v>46.164537073443952</v>
      </c>
      <c r="X207" s="507">
        <v>995732.94391276839</v>
      </c>
      <c r="Y207" s="507">
        <v>994255.67827450484</v>
      </c>
      <c r="Z207" s="507">
        <v>5226403.0760093387</v>
      </c>
      <c r="AA207" s="507">
        <v>5218649.2041272214</v>
      </c>
      <c r="AB207" s="507">
        <v>5225103.8946036752</v>
      </c>
      <c r="AC207" s="507">
        <v>7753.87</v>
      </c>
      <c r="AD207" s="507">
        <v>1299.18</v>
      </c>
      <c r="AE207" s="507">
        <v>6454.69</v>
      </c>
      <c r="AF207" s="507">
        <v>1299.18</v>
      </c>
      <c r="AG207" s="507"/>
      <c r="AH207" s="507">
        <v>0</v>
      </c>
      <c r="AI207" s="507">
        <v>0</v>
      </c>
      <c r="AJ207" s="507">
        <v>0</v>
      </c>
      <c r="AK207" s="507">
        <v>0</v>
      </c>
      <c r="AL207" s="507">
        <v>0</v>
      </c>
      <c r="AM207" s="507">
        <v>0</v>
      </c>
      <c r="AN207" s="507"/>
      <c r="AO207" s="507"/>
    </row>
    <row r="208" spans="1:41">
      <c r="A208" s="2" t="s">
        <v>165</v>
      </c>
      <c r="B208" s="2" t="s">
        <v>166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57</v>
      </c>
      <c r="H208">
        <v>1</v>
      </c>
      <c r="I208" s="2" t="s">
        <v>526</v>
      </c>
      <c r="J208" s="3">
        <v>0.15684552284455039</v>
      </c>
      <c r="K208" s="3">
        <v>5.2488000000000001</v>
      </c>
      <c r="L208" s="507">
        <v>1409792.320211479</v>
      </c>
      <c r="M208" s="507">
        <v>0</v>
      </c>
      <c r="N208" s="507">
        <v>1409792.320211479</v>
      </c>
      <c r="O208" s="507">
        <v>6805.3318657208501</v>
      </c>
      <c r="P208">
        <v>1</v>
      </c>
      <c r="Q208" s="2" t="s">
        <v>526</v>
      </c>
      <c r="R208" s="3">
        <v>0.15702038124548567</v>
      </c>
      <c r="S208" s="3">
        <v>5.2488000000000001</v>
      </c>
      <c r="T208" s="507">
        <v>1409792.320211479</v>
      </c>
      <c r="U208" s="507">
        <v>0</v>
      </c>
      <c r="V208" s="507">
        <v>1409792.320211479</v>
      </c>
      <c r="W208" s="507">
        <v>4513.0095530569843</v>
      </c>
      <c r="X208" s="507">
        <v>1416597.6520771999</v>
      </c>
      <c r="Y208" s="507">
        <v>1414305.3297645359</v>
      </c>
      <c r="Z208" s="507">
        <v>7435437.7562228069</v>
      </c>
      <c r="AA208" s="507">
        <v>7423405.8148680963</v>
      </c>
      <c r="AB208" s="507">
        <v>7431681.7595475502</v>
      </c>
      <c r="AC208" s="507">
        <v>12031.94</v>
      </c>
      <c r="AD208" s="507">
        <v>3756</v>
      </c>
      <c r="AE208" s="507">
        <v>8275.94</v>
      </c>
      <c r="AF208" s="507">
        <v>3756</v>
      </c>
      <c r="AG208" s="507"/>
      <c r="AH208" s="507">
        <v>0</v>
      </c>
      <c r="AI208" s="507">
        <v>0</v>
      </c>
      <c r="AJ208" s="507">
        <v>0</v>
      </c>
      <c r="AK208" s="507">
        <v>0</v>
      </c>
      <c r="AL208" s="507">
        <v>0</v>
      </c>
      <c r="AM208" s="507">
        <v>0</v>
      </c>
      <c r="AN208" s="507"/>
      <c r="AO208" s="507"/>
    </row>
    <row r="209" spans="1:41">
      <c r="A209" s="2" t="s">
        <v>167</v>
      </c>
      <c r="B209" s="2" t="s">
        <v>168</v>
      </c>
      <c r="C209" s="2" t="s">
        <v>17</v>
      </c>
      <c r="D209" s="2" t="s">
        <v>25</v>
      </c>
      <c r="E209" s="2" t="s">
        <v>19</v>
      </c>
      <c r="F209" s="2" t="s">
        <v>20</v>
      </c>
      <c r="G209" s="2" t="s">
        <v>57</v>
      </c>
      <c r="H209">
        <v>1</v>
      </c>
      <c r="I209" s="2" t="s">
        <v>526</v>
      </c>
      <c r="J209" s="3">
        <v>0.15684552284455039</v>
      </c>
      <c r="K209" s="3">
        <v>5.2488000000000001</v>
      </c>
      <c r="L209" s="507">
        <v>747642.39634621271</v>
      </c>
      <c r="M209" s="507">
        <v>0</v>
      </c>
      <c r="N209" s="507">
        <v>747642.39634621271</v>
      </c>
      <c r="O209" s="507">
        <v>2912.2129240357858</v>
      </c>
      <c r="P209">
        <v>1</v>
      </c>
      <c r="Q209" s="2" t="s">
        <v>526</v>
      </c>
      <c r="R209" s="3">
        <v>0.15702038124548567</v>
      </c>
      <c r="S209" s="3">
        <v>5.2488000000000001</v>
      </c>
      <c r="T209" s="507">
        <v>747642.39634621271</v>
      </c>
      <c r="U209" s="507">
        <v>0</v>
      </c>
      <c r="V209" s="507">
        <v>747642.39634621271</v>
      </c>
      <c r="W209" s="507">
        <v>1701.9428703936712</v>
      </c>
      <c r="X209" s="507">
        <v>750554.60927024845</v>
      </c>
      <c r="Y209" s="507">
        <v>749344.33921660634</v>
      </c>
      <c r="Z209" s="507">
        <v>3939511.03313768</v>
      </c>
      <c r="AA209" s="507">
        <v>3933158.5676801233</v>
      </c>
      <c r="AB209" s="507">
        <v>3937543.4286904763</v>
      </c>
      <c r="AC209" s="507">
        <v>6352.47</v>
      </c>
      <c r="AD209" s="507">
        <v>1967.6</v>
      </c>
      <c r="AE209" s="507">
        <v>4384.87</v>
      </c>
      <c r="AF209" s="507">
        <v>1967.6</v>
      </c>
      <c r="AG209" s="507"/>
      <c r="AH209" s="507">
        <v>0</v>
      </c>
      <c r="AI209" s="507">
        <v>0</v>
      </c>
      <c r="AJ209" s="507">
        <v>0</v>
      </c>
      <c r="AK209" s="507">
        <v>0</v>
      </c>
      <c r="AL209" s="507">
        <v>0</v>
      </c>
      <c r="AM209" s="507">
        <v>0</v>
      </c>
      <c r="AN209" s="507"/>
      <c r="AO209" s="507"/>
    </row>
    <row r="210" spans="1:41">
      <c r="A210" s="2" t="s">
        <v>959</v>
      </c>
      <c r="B210" s="2" t="s">
        <v>169</v>
      </c>
      <c r="C210" s="2" t="s">
        <v>17</v>
      </c>
      <c r="D210" s="2" t="s">
        <v>25</v>
      </c>
      <c r="E210" s="2" t="s">
        <v>19</v>
      </c>
      <c r="F210" s="2" t="s">
        <v>20</v>
      </c>
      <c r="G210" s="2" t="s">
        <v>170</v>
      </c>
      <c r="H210">
        <v>1</v>
      </c>
      <c r="I210" s="2" t="s">
        <v>526</v>
      </c>
      <c r="J210" s="3">
        <v>5.2308000000000003</v>
      </c>
      <c r="K210" s="3">
        <v>5.2488000000000001</v>
      </c>
      <c r="L210" s="507">
        <v>559152.06385064591</v>
      </c>
      <c r="M210" s="507">
        <v>0</v>
      </c>
      <c r="N210" s="507">
        <v>559152.06385064591</v>
      </c>
      <c r="O210" s="507">
        <v>326.17202979084925</v>
      </c>
      <c r="P210">
        <v>1</v>
      </c>
      <c r="Q210" s="2" t="s">
        <v>526</v>
      </c>
      <c r="R210" s="3">
        <v>5.2488000000000001</v>
      </c>
      <c r="S210" s="3">
        <v>5.2488000000000001</v>
      </c>
      <c r="T210" s="507">
        <v>559152.06385064591</v>
      </c>
      <c r="U210" s="507">
        <v>0</v>
      </c>
      <c r="V210" s="507">
        <v>559152.06385064591</v>
      </c>
      <c r="W210" s="507">
        <v>1351.2841617610886</v>
      </c>
      <c r="X210" s="507">
        <v>559478.23588043672</v>
      </c>
      <c r="Y210" s="507">
        <v>560503.34801240696</v>
      </c>
      <c r="Z210" s="507">
        <v>2936589.3644892364</v>
      </c>
      <c r="AA210" s="507">
        <v>2941969.9730475219</v>
      </c>
      <c r="AB210" s="507">
        <v>2952093.7513443129</v>
      </c>
      <c r="AC210" s="507">
        <v>-5380.61</v>
      </c>
      <c r="AD210" s="507">
        <v>-15504.39</v>
      </c>
      <c r="AE210" s="507">
        <v>10123.780000000001</v>
      </c>
      <c r="AF210" s="507"/>
      <c r="AG210" s="507">
        <v>-15504.39</v>
      </c>
      <c r="AH210" s="507">
        <v>0</v>
      </c>
      <c r="AI210" s="507">
        <v>0</v>
      </c>
      <c r="AJ210" s="507">
        <v>0</v>
      </c>
      <c r="AK210" s="507">
        <v>0</v>
      </c>
      <c r="AL210" s="507">
        <v>0</v>
      </c>
      <c r="AM210" s="507">
        <v>0</v>
      </c>
      <c r="AN210" s="507"/>
      <c r="AO210" s="507"/>
    </row>
    <row r="211" spans="1:41">
      <c r="A211" s="2" t="s">
        <v>960</v>
      </c>
      <c r="B211" s="2" t="s">
        <v>169</v>
      </c>
      <c r="C211" s="2" t="s">
        <v>17</v>
      </c>
      <c r="D211" s="2" t="s">
        <v>25</v>
      </c>
      <c r="E211" s="2" t="s">
        <v>19</v>
      </c>
      <c r="F211" s="2" t="s">
        <v>20</v>
      </c>
      <c r="G211" s="2" t="s">
        <v>170</v>
      </c>
      <c r="H211">
        <v>1</v>
      </c>
      <c r="I211" s="2" t="s">
        <v>526</v>
      </c>
      <c r="J211" s="3">
        <v>5.2308000000000003</v>
      </c>
      <c r="K211" s="3">
        <v>5.2488000000000001</v>
      </c>
      <c r="L211" s="507">
        <v>1118304.1277012918</v>
      </c>
      <c r="M211" s="507">
        <v>0</v>
      </c>
      <c r="N211" s="507">
        <v>1118304.1277012918</v>
      </c>
      <c r="O211" s="507">
        <v>652.34408194778109</v>
      </c>
      <c r="P211">
        <v>1</v>
      </c>
      <c r="Q211" s="2" t="s">
        <v>526</v>
      </c>
      <c r="R211" s="3">
        <v>5.2488000000000001</v>
      </c>
      <c r="S211" s="3">
        <v>5.2488000000000001</v>
      </c>
      <c r="T211" s="507">
        <v>1118304.1277012918</v>
      </c>
      <c r="U211" s="507">
        <v>0</v>
      </c>
      <c r="V211" s="507">
        <v>1118304.1277012918</v>
      </c>
      <c r="W211" s="507">
        <v>2702.568301156095</v>
      </c>
      <c r="X211" s="507">
        <v>1118956.4717832396</v>
      </c>
      <c r="Y211" s="507">
        <v>1121006.696002448</v>
      </c>
      <c r="Z211" s="507">
        <v>5873178.7290958688</v>
      </c>
      <c r="AA211" s="507">
        <v>5883939.9459776487</v>
      </c>
      <c r="AB211" s="507">
        <v>5904187.5025708275</v>
      </c>
      <c r="AC211" s="507">
        <v>-10761.22</v>
      </c>
      <c r="AD211" s="507">
        <v>-31008.77</v>
      </c>
      <c r="AE211" s="507">
        <v>20247.55</v>
      </c>
      <c r="AF211" s="507"/>
      <c r="AG211" s="507">
        <v>-31008.77</v>
      </c>
      <c r="AH211" s="507">
        <v>0</v>
      </c>
      <c r="AI211" s="507">
        <v>0</v>
      </c>
      <c r="AJ211" s="507">
        <v>0</v>
      </c>
      <c r="AK211" s="507">
        <v>0</v>
      </c>
      <c r="AL211" s="507">
        <v>0</v>
      </c>
      <c r="AM211" s="507">
        <v>0</v>
      </c>
      <c r="AN211" s="507"/>
      <c r="AO211" s="507"/>
    </row>
    <row r="212" spans="1:41">
      <c r="A212" s="2" t="s">
        <v>961</v>
      </c>
      <c r="B212" s="2" t="s">
        <v>962</v>
      </c>
      <c r="C212" s="2" t="s">
        <v>667</v>
      </c>
      <c r="D212" s="2" t="s">
        <v>30</v>
      </c>
      <c r="E212" s="2" t="s">
        <v>19</v>
      </c>
      <c r="F212" s="2" t="s">
        <v>20</v>
      </c>
      <c r="G212" s="2" t="s">
        <v>21</v>
      </c>
      <c r="H212">
        <v>1</v>
      </c>
      <c r="I212" s="2" t="s">
        <v>526</v>
      </c>
      <c r="J212" s="3">
        <v>1</v>
      </c>
      <c r="K212" s="3">
        <v>5.2488000000000001</v>
      </c>
      <c r="L212" s="507">
        <v>24129.991495220089</v>
      </c>
      <c r="M212" s="507">
        <v>0</v>
      </c>
      <c r="N212" s="507">
        <v>24129.991495220089</v>
      </c>
      <c r="O212" s="507">
        <v>0</v>
      </c>
      <c r="P212">
        <v>1</v>
      </c>
      <c r="Q212" s="2" t="s">
        <v>526</v>
      </c>
      <c r="R212" s="3">
        <v>1</v>
      </c>
      <c r="S212" s="3">
        <v>5.2488000000000001</v>
      </c>
      <c r="T212" s="507">
        <v>24129.991495220089</v>
      </c>
      <c r="U212" s="507">
        <v>0</v>
      </c>
      <c r="V212" s="507">
        <v>24129.991495220089</v>
      </c>
      <c r="W212" s="507">
        <v>0</v>
      </c>
      <c r="X212" s="507">
        <v>24129.991495220089</v>
      </c>
      <c r="Y212" s="507">
        <v>24129.991495220089</v>
      </c>
      <c r="Z212" s="507">
        <v>126653.49936011121</v>
      </c>
      <c r="AA212" s="507">
        <v>126653.49936011121</v>
      </c>
      <c r="AB212" s="507">
        <v>126653.49936011121</v>
      </c>
      <c r="AC212" s="507">
        <v>0</v>
      </c>
      <c r="AD212" s="507">
        <v>0</v>
      </c>
      <c r="AE212" s="507">
        <v>0</v>
      </c>
      <c r="AF212" s="507"/>
      <c r="AG212" s="507"/>
      <c r="AH212" s="507">
        <v>0</v>
      </c>
      <c r="AI212" s="507">
        <v>0</v>
      </c>
      <c r="AJ212" s="507">
        <v>0</v>
      </c>
      <c r="AK212" s="507">
        <v>0</v>
      </c>
      <c r="AL212" s="507">
        <v>0</v>
      </c>
      <c r="AM212" s="507">
        <v>0</v>
      </c>
      <c r="AN212" s="507"/>
      <c r="AO212" s="507"/>
    </row>
    <row r="213" spans="1:41">
      <c r="A213" s="2" t="s">
        <v>963</v>
      </c>
      <c r="B213" s="2" t="s">
        <v>964</v>
      </c>
      <c r="C213" s="2" t="s">
        <v>667</v>
      </c>
      <c r="D213" s="2" t="s">
        <v>30</v>
      </c>
      <c r="E213" s="2" t="s">
        <v>19</v>
      </c>
      <c r="F213" s="2" t="s">
        <v>20</v>
      </c>
      <c r="G213" s="2" t="s">
        <v>21</v>
      </c>
      <c r="H213">
        <v>1</v>
      </c>
      <c r="I213" s="2" t="s">
        <v>526</v>
      </c>
      <c r="J213" s="3">
        <v>1</v>
      </c>
      <c r="K213" s="3">
        <v>5.2488000000000001</v>
      </c>
      <c r="L213" s="507">
        <v>49944.451701918078</v>
      </c>
      <c r="M213" s="507">
        <v>0</v>
      </c>
      <c r="N213" s="507">
        <v>49944.451701918078</v>
      </c>
      <c r="O213" s="507">
        <v>0</v>
      </c>
      <c r="P213">
        <v>1</v>
      </c>
      <c r="Q213" s="2" t="s">
        <v>526</v>
      </c>
      <c r="R213" s="3">
        <v>1</v>
      </c>
      <c r="S213" s="3">
        <v>5.2488000000000001</v>
      </c>
      <c r="T213" s="507">
        <v>49944.451701918078</v>
      </c>
      <c r="U213" s="507">
        <v>0</v>
      </c>
      <c r="V213" s="507">
        <v>49944.451701918078</v>
      </c>
      <c r="W213" s="507">
        <v>0</v>
      </c>
      <c r="X213" s="507">
        <v>49944.451701918078</v>
      </c>
      <c r="Y213" s="507">
        <v>49944.451701918078</v>
      </c>
      <c r="Z213" s="507">
        <v>262148.43809302762</v>
      </c>
      <c r="AA213" s="507">
        <v>262148.43809302762</v>
      </c>
      <c r="AB213" s="507">
        <v>262148.43809302762</v>
      </c>
      <c r="AC213" s="507">
        <v>0</v>
      </c>
      <c r="AD213" s="507">
        <v>0</v>
      </c>
      <c r="AE213" s="507">
        <v>0</v>
      </c>
      <c r="AF213" s="507"/>
      <c r="AG213" s="507"/>
      <c r="AH213" s="507">
        <v>0</v>
      </c>
      <c r="AI213" s="507">
        <v>0</v>
      </c>
      <c r="AJ213" s="507">
        <v>0</v>
      </c>
      <c r="AK213" s="507">
        <v>0</v>
      </c>
      <c r="AL213" s="507">
        <v>0</v>
      </c>
      <c r="AM213" s="507">
        <v>0</v>
      </c>
      <c r="AN213" s="507"/>
      <c r="AO213" s="507"/>
    </row>
    <row r="214" spans="1:41">
      <c r="A214" s="2" t="s">
        <v>965</v>
      </c>
      <c r="B214" s="2" t="s">
        <v>966</v>
      </c>
      <c r="C214" s="2" t="s">
        <v>667</v>
      </c>
      <c r="D214" s="2" t="s">
        <v>30</v>
      </c>
      <c r="E214" s="2" t="s">
        <v>19</v>
      </c>
      <c r="F214" s="2" t="s">
        <v>20</v>
      </c>
      <c r="G214" s="2" t="s">
        <v>21</v>
      </c>
      <c r="H214">
        <v>1</v>
      </c>
      <c r="I214" s="2" t="s">
        <v>526</v>
      </c>
      <c r="J214" s="3">
        <v>1</v>
      </c>
      <c r="K214" s="3">
        <v>5.2488000000000001</v>
      </c>
      <c r="L214" s="507">
        <v>29297.813525580066</v>
      </c>
      <c r="M214" s="507">
        <v>0</v>
      </c>
      <c r="N214" s="507">
        <v>29297.813525580066</v>
      </c>
      <c r="O214" s="507">
        <v>0</v>
      </c>
      <c r="P214">
        <v>1</v>
      </c>
      <c r="Q214" s="2" t="s">
        <v>526</v>
      </c>
      <c r="R214" s="3">
        <v>1</v>
      </c>
      <c r="S214" s="3">
        <v>5.2488000000000001</v>
      </c>
      <c r="T214" s="507">
        <v>29297.813525580066</v>
      </c>
      <c r="U214" s="507">
        <v>0</v>
      </c>
      <c r="V214" s="507">
        <v>29297.813525580066</v>
      </c>
      <c r="W214" s="507">
        <v>0</v>
      </c>
      <c r="X214" s="507">
        <v>29297.813525580066</v>
      </c>
      <c r="Y214" s="507">
        <v>29297.813525580066</v>
      </c>
      <c r="Z214" s="507">
        <v>153778.36363306467</v>
      </c>
      <c r="AA214" s="507">
        <v>153778.36363306467</v>
      </c>
      <c r="AB214" s="507">
        <v>153778.36363306467</v>
      </c>
      <c r="AC214" s="507">
        <v>0</v>
      </c>
      <c r="AD214" s="507">
        <v>0</v>
      </c>
      <c r="AE214" s="507">
        <v>0</v>
      </c>
      <c r="AF214" s="507"/>
      <c r="AG214" s="507"/>
      <c r="AH214" s="507">
        <v>0</v>
      </c>
      <c r="AI214" s="507">
        <v>0</v>
      </c>
      <c r="AJ214" s="507">
        <v>0</v>
      </c>
      <c r="AK214" s="507">
        <v>0</v>
      </c>
      <c r="AL214" s="507">
        <v>0</v>
      </c>
      <c r="AM214" s="507">
        <v>0</v>
      </c>
      <c r="AN214" s="507"/>
      <c r="AO214" s="507"/>
    </row>
    <row r="215" spans="1:41">
      <c r="A215" s="2" t="s">
        <v>967</v>
      </c>
      <c r="B215" s="2" t="s">
        <v>968</v>
      </c>
      <c r="C215" s="2" t="s">
        <v>667</v>
      </c>
      <c r="D215" s="2" t="s">
        <v>933</v>
      </c>
      <c r="E215" s="2" t="s">
        <v>19</v>
      </c>
      <c r="F215" s="2" t="s">
        <v>20</v>
      </c>
      <c r="G215" s="2" t="s">
        <v>21</v>
      </c>
      <c r="H215">
        <v>1</v>
      </c>
      <c r="I215" s="2" t="s">
        <v>526</v>
      </c>
      <c r="J215" s="3">
        <v>1</v>
      </c>
      <c r="K215" s="3">
        <v>5.2488000000000001</v>
      </c>
      <c r="L215" s="507">
        <v>12049.115845589489</v>
      </c>
      <c r="M215" s="507">
        <v>0</v>
      </c>
      <c r="N215" s="507">
        <v>12049.115845589489</v>
      </c>
      <c r="O215" s="507">
        <v>0</v>
      </c>
      <c r="P215">
        <v>1</v>
      </c>
      <c r="Q215" s="2" t="s">
        <v>526</v>
      </c>
      <c r="R215" s="3">
        <v>1</v>
      </c>
      <c r="S215" s="3">
        <v>5.2488000000000001</v>
      </c>
      <c r="T215" s="507">
        <v>12049.115845589489</v>
      </c>
      <c r="U215" s="507">
        <v>0</v>
      </c>
      <c r="V215" s="507">
        <v>12049.115845589489</v>
      </c>
      <c r="W215" s="507">
        <v>0</v>
      </c>
      <c r="X215" s="507">
        <v>12049.115845589489</v>
      </c>
      <c r="Y215" s="507">
        <v>12049.115845589489</v>
      </c>
      <c r="Z215" s="507">
        <v>63243.399250330112</v>
      </c>
      <c r="AA215" s="507">
        <v>63243.399250330112</v>
      </c>
      <c r="AB215" s="507">
        <v>63243.399250330112</v>
      </c>
      <c r="AC215" s="507">
        <v>0</v>
      </c>
      <c r="AD215" s="507">
        <v>0</v>
      </c>
      <c r="AE215" s="507">
        <v>0</v>
      </c>
      <c r="AF215" s="507"/>
      <c r="AG215" s="507"/>
      <c r="AH215" s="507">
        <v>0</v>
      </c>
      <c r="AI215" s="507">
        <v>0</v>
      </c>
      <c r="AJ215" s="507">
        <v>0</v>
      </c>
      <c r="AK215" s="507">
        <v>0</v>
      </c>
      <c r="AL215" s="507">
        <v>0</v>
      </c>
      <c r="AM215" s="507">
        <v>0</v>
      </c>
      <c r="AN215" s="507"/>
      <c r="AO215" s="507"/>
    </row>
    <row r="216" spans="1:41">
      <c r="A216" s="2" t="s">
        <v>969</v>
      </c>
      <c r="B216" s="2" t="s">
        <v>970</v>
      </c>
      <c r="C216" s="2" t="s">
        <v>667</v>
      </c>
      <c r="D216" s="2" t="s">
        <v>30</v>
      </c>
      <c r="E216" s="2" t="s">
        <v>19</v>
      </c>
      <c r="F216" s="2" t="s">
        <v>20</v>
      </c>
      <c r="G216" s="2" t="s">
        <v>21</v>
      </c>
      <c r="H216">
        <v>1</v>
      </c>
      <c r="I216" s="2" t="s">
        <v>526</v>
      </c>
      <c r="J216" s="3">
        <v>1</v>
      </c>
      <c r="K216" s="3">
        <v>5.2488000000000001</v>
      </c>
      <c r="L216" s="507">
        <v>30884.319949272376</v>
      </c>
      <c r="M216" s="507">
        <v>0</v>
      </c>
      <c r="N216" s="507">
        <v>30884.319949272376</v>
      </c>
      <c r="O216" s="507">
        <v>0</v>
      </c>
      <c r="P216">
        <v>1</v>
      </c>
      <c r="Q216" s="2" t="s">
        <v>526</v>
      </c>
      <c r="R216" s="3">
        <v>1</v>
      </c>
      <c r="S216" s="3">
        <v>5.2488000000000001</v>
      </c>
      <c r="T216" s="507">
        <v>30884.319949272376</v>
      </c>
      <c r="U216" s="507">
        <v>0</v>
      </c>
      <c r="V216" s="507">
        <v>30884.319949272376</v>
      </c>
      <c r="W216" s="507">
        <v>0</v>
      </c>
      <c r="X216" s="507">
        <v>30884.319949272376</v>
      </c>
      <c r="Y216" s="507">
        <v>30884.319949272376</v>
      </c>
      <c r="Z216" s="507">
        <v>162105.61854974084</v>
      </c>
      <c r="AA216" s="507">
        <v>162105.61854974084</v>
      </c>
      <c r="AB216" s="507">
        <v>162105.61854974084</v>
      </c>
      <c r="AC216" s="507">
        <v>0</v>
      </c>
      <c r="AD216" s="507">
        <v>0</v>
      </c>
      <c r="AE216" s="507">
        <v>0</v>
      </c>
      <c r="AF216" s="507"/>
      <c r="AG216" s="507"/>
      <c r="AH216" s="507">
        <v>0</v>
      </c>
      <c r="AI216" s="507">
        <v>0</v>
      </c>
      <c r="AJ216" s="507">
        <v>0</v>
      </c>
      <c r="AK216" s="507">
        <v>0</v>
      </c>
      <c r="AL216" s="507">
        <v>0</v>
      </c>
      <c r="AM216" s="507">
        <v>0</v>
      </c>
      <c r="AN216" s="507"/>
      <c r="AO216" s="507"/>
    </row>
    <row r="217" spans="1:41">
      <c r="A217" s="2" t="s">
        <v>971</v>
      </c>
      <c r="B217" s="2" t="s">
        <v>972</v>
      </c>
      <c r="C217" s="2" t="s">
        <v>667</v>
      </c>
      <c r="D217" s="2" t="s">
        <v>30</v>
      </c>
      <c r="E217" s="2" t="s">
        <v>19</v>
      </c>
      <c r="F217" s="2" t="s">
        <v>20</v>
      </c>
      <c r="G217" s="2" t="s">
        <v>21</v>
      </c>
      <c r="H217">
        <v>1</v>
      </c>
      <c r="I217" s="2" t="s">
        <v>526</v>
      </c>
      <c r="J217" s="3">
        <v>1</v>
      </c>
      <c r="K217" s="3">
        <v>5.2488000000000001</v>
      </c>
      <c r="L217" s="507">
        <v>27167.471755360246</v>
      </c>
      <c r="M217" s="507">
        <v>0</v>
      </c>
      <c r="N217" s="507">
        <v>27167.471755360246</v>
      </c>
      <c r="O217" s="507">
        <v>0</v>
      </c>
      <c r="P217">
        <v>1</v>
      </c>
      <c r="Q217" s="2" t="s">
        <v>526</v>
      </c>
      <c r="R217" s="3">
        <v>1</v>
      </c>
      <c r="S217" s="3">
        <v>5.2488000000000001</v>
      </c>
      <c r="T217" s="507">
        <v>27167.471755360246</v>
      </c>
      <c r="U217" s="507">
        <v>0</v>
      </c>
      <c r="V217" s="507">
        <v>27167.471755360246</v>
      </c>
      <c r="W217" s="507">
        <v>0</v>
      </c>
      <c r="X217" s="507">
        <v>27167.471755360246</v>
      </c>
      <c r="Y217" s="507">
        <v>27167.471755360246</v>
      </c>
      <c r="Z217" s="507">
        <v>142596.62574953487</v>
      </c>
      <c r="AA217" s="507">
        <v>142596.62574953487</v>
      </c>
      <c r="AB217" s="507">
        <v>142596.62574953487</v>
      </c>
      <c r="AC217" s="507">
        <v>0</v>
      </c>
      <c r="AD217" s="507">
        <v>0</v>
      </c>
      <c r="AE217" s="507">
        <v>0</v>
      </c>
      <c r="AF217" s="507"/>
      <c r="AG217" s="507"/>
      <c r="AH217" s="507">
        <v>0</v>
      </c>
      <c r="AI217" s="507">
        <v>0</v>
      </c>
      <c r="AJ217" s="507">
        <v>0</v>
      </c>
      <c r="AK217" s="507">
        <v>0</v>
      </c>
      <c r="AL217" s="507">
        <v>0</v>
      </c>
      <c r="AM217" s="507">
        <v>0</v>
      </c>
      <c r="AN217" s="507"/>
      <c r="AO217" s="507"/>
    </row>
    <row r="218" spans="1:41">
      <c r="A218" s="2" t="s">
        <v>174</v>
      </c>
      <c r="B218" s="2" t="s">
        <v>176</v>
      </c>
      <c r="C218" s="2" t="s">
        <v>175</v>
      </c>
      <c r="D218" s="2" t="s">
        <v>25</v>
      </c>
      <c r="E218" s="2" t="s">
        <v>172</v>
      </c>
      <c r="F218" s="2" t="s">
        <v>173</v>
      </c>
      <c r="G218" s="2" t="s">
        <v>21</v>
      </c>
      <c r="H218">
        <v>1</v>
      </c>
      <c r="I218" s="2" t="s">
        <v>526</v>
      </c>
      <c r="J218" s="3">
        <v>1</v>
      </c>
      <c r="K218" s="3">
        <v>5.2488000000000001</v>
      </c>
      <c r="L218" s="507">
        <v>470343.68715415429</v>
      </c>
      <c r="M218" s="507">
        <v>0</v>
      </c>
      <c r="N218" s="507">
        <v>470343.68715415429</v>
      </c>
      <c r="O218" s="507">
        <v>0</v>
      </c>
      <c r="P218">
        <v>1</v>
      </c>
      <c r="Q218" s="2" t="s">
        <v>526</v>
      </c>
      <c r="R218" s="3">
        <v>1</v>
      </c>
      <c r="S218" s="3">
        <v>5.2488000000000001</v>
      </c>
      <c r="T218" s="507">
        <v>470343.68715415429</v>
      </c>
      <c r="U218" s="507">
        <v>0</v>
      </c>
      <c r="V218" s="507">
        <v>470343.68715415429</v>
      </c>
      <c r="W218" s="507">
        <v>0</v>
      </c>
      <c r="X218" s="507">
        <v>470343.68715415429</v>
      </c>
      <c r="Y218" s="507">
        <v>470343.68715415429</v>
      </c>
      <c r="Z218" s="507">
        <v>2468739.945134725</v>
      </c>
      <c r="AA218" s="507">
        <v>2468739.945134725</v>
      </c>
      <c r="AB218" s="507">
        <v>2468739.945134725</v>
      </c>
      <c r="AC218" s="507">
        <v>0</v>
      </c>
      <c r="AD218" s="507">
        <v>0</v>
      </c>
      <c r="AE218" s="507">
        <v>0</v>
      </c>
      <c r="AF218" s="507"/>
      <c r="AG218" s="507"/>
      <c r="AH218" s="507">
        <v>0</v>
      </c>
      <c r="AI218" s="507">
        <v>0</v>
      </c>
      <c r="AJ218" s="507">
        <v>0</v>
      </c>
      <c r="AK218" s="507">
        <v>0</v>
      </c>
      <c r="AL218" s="507">
        <v>0</v>
      </c>
      <c r="AM218" s="507">
        <v>0</v>
      </c>
      <c r="AN218" s="507"/>
      <c r="AO218" s="507"/>
    </row>
    <row r="219" spans="1:41">
      <c r="A219" s="2" t="s">
        <v>182</v>
      </c>
      <c r="B219" s="2" t="s">
        <v>183</v>
      </c>
      <c r="C219" s="2" t="s">
        <v>175</v>
      </c>
      <c r="D219" s="2" t="s">
        <v>25</v>
      </c>
      <c r="E219" s="2" t="s">
        <v>172</v>
      </c>
      <c r="F219" s="2" t="s">
        <v>173</v>
      </c>
      <c r="G219" s="2" t="s">
        <v>21</v>
      </c>
      <c r="H219">
        <v>1</v>
      </c>
      <c r="I219" s="2" t="s">
        <v>526</v>
      </c>
      <c r="J219" s="3">
        <v>1</v>
      </c>
      <c r="K219" s="3">
        <v>5.2488000000000001</v>
      </c>
      <c r="L219" s="507">
        <v>791339.18780729617</v>
      </c>
      <c r="M219" s="507">
        <v>0</v>
      </c>
      <c r="N219" s="507">
        <v>791339.18780729617</v>
      </c>
      <c r="O219" s="507">
        <v>5724.0201866839434</v>
      </c>
      <c r="P219">
        <v>1</v>
      </c>
      <c r="Q219" s="2" t="s">
        <v>526</v>
      </c>
      <c r="R219" s="3">
        <v>1</v>
      </c>
      <c r="S219" s="3">
        <v>5.2488000000000001</v>
      </c>
      <c r="T219" s="507">
        <v>791339.18780729617</v>
      </c>
      <c r="U219" s="507">
        <v>0</v>
      </c>
      <c r="V219" s="507">
        <v>791339.18780729617</v>
      </c>
      <c r="W219" s="507">
        <v>2769.6871573255371</v>
      </c>
      <c r="X219" s="507">
        <v>797063.20799398015</v>
      </c>
      <c r="Y219" s="507">
        <v>794108.87496462173</v>
      </c>
      <c r="Z219" s="507">
        <v>4183625.3661188032</v>
      </c>
      <c r="AA219" s="507">
        <v>4168118.6629143069</v>
      </c>
      <c r="AB219" s="507">
        <v>4168118.6629143069</v>
      </c>
      <c r="AC219" s="507">
        <v>15506.7</v>
      </c>
      <c r="AD219" s="507">
        <v>15506.7</v>
      </c>
      <c r="AE219" s="507">
        <v>0</v>
      </c>
      <c r="AF219" s="507">
        <v>15506.7</v>
      </c>
      <c r="AG219" s="507"/>
      <c r="AH219" s="507">
        <v>0</v>
      </c>
      <c r="AI219" s="507">
        <v>0</v>
      </c>
      <c r="AJ219" s="507">
        <v>0</v>
      </c>
      <c r="AK219" s="507">
        <v>0</v>
      </c>
      <c r="AL219" s="507">
        <v>0</v>
      </c>
      <c r="AM219" s="507">
        <v>0</v>
      </c>
      <c r="AN219" s="507"/>
      <c r="AO219" s="507"/>
    </row>
    <row r="220" spans="1:41">
      <c r="A220" s="2" t="s">
        <v>184</v>
      </c>
      <c r="B220" s="2" t="s">
        <v>185</v>
      </c>
      <c r="C220" s="2" t="s">
        <v>175</v>
      </c>
      <c r="D220" s="2" t="s">
        <v>25</v>
      </c>
      <c r="E220" s="2" t="s">
        <v>172</v>
      </c>
      <c r="F220" s="2" t="s">
        <v>173</v>
      </c>
      <c r="G220" s="2" t="s">
        <v>21</v>
      </c>
      <c r="H220">
        <v>1</v>
      </c>
      <c r="I220" s="2" t="s">
        <v>526</v>
      </c>
      <c r="J220" s="3">
        <v>1</v>
      </c>
      <c r="K220" s="3">
        <v>5.2488000000000001</v>
      </c>
      <c r="L220" s="507">
        <v>98098.565156631332</v>
      </c>
      <c r="M220" s="507">
        <v>0</v>
      </c>
      <c r="N220" s="507">
        <v>98098.565156631332</v>
      </c>
      <c r="O220" s="507">
        <v>75.345150685539494</v>
      </c>
      <c r="P220">
        <v>1</v>
      </c>
      <c r="Q220" s="2" t="s">
        <v>526</v>
      </c>
      <c r="R220" s="3">
        <v>1</v>
      </c>
      <c r="S220" s="3">
        <v>5.2488000000000001</v>
      </c>
      <c r="T220" s="507">
        <v>98098.565156631332</v>
      </c>
      <c r="U220" s="507">
        <v>0</v>
      </c>
      <c r="V220" s="507">
        <v>98098.565156631332</v>
      </c>
      <c r="W220" s="507">
        <v>710.39710934260529</v>
      </c>
      <c r="X220" s="507">
        <v>98173.910307316866</v>
      </c>
      <c r="Y220" s="507">
        <v>98808.96226597394</v>
      </c>
      <c r="Z220" s="507">
        <v>515295.2204210448</v>
      </c>
      <c r="AA220" s="507">
        <v>518628.48114164401</v>
      </c>
      <c r="AB220" s="507">
        <v>518628.48114164401</v>
      </c>
      <c r="AC220" s="507">
        <v>-3333.26</v>
      </c>
      <c r="AD220" s="507">
        <v>-3333.26</v>
      </c>
      <c r="AE220" s="507">
        <v>0</v>
      </c>
      <c r="AF220" s="507"/>
      <c r="AG220" s="507">
        <v>-3333.26</v>
      </c>
      <c r="AH220" s="507">
        <v>0</v>
      </c>
      <c r="AI220" s="507">
        <v>0</v>
      </c>
      <c r="AJ220" s="507">
        <v>0</v>
      </c>
      <c r="AK220" s="507">
        <v>0</v>
      </c>
      <c r="AL220" s="507">
        <v>0</v>
      </c>
      <c r="AM220" s="507">
        <v>0</v>
      </c>
      <c r="AN220" s="507"/>
      <c r="AO220" s="507"/>
    </row>
    <row r="221" spans="1:41">
      <c r="A221" s="2" t="s">
        <v>186</v>
      </c>
      <c r="B221" s="2" t="s">
        <v>187</v>
      </c>
      <c r="C221" s="2" t="s">
        <v>175</v>
      </c>
      <c r="D221" s="2" t="s">
        <v>25</v>
      </c>
      <c r="E221" s="2" t="s">
        <v>172</v>
      </c>
      <c r="F221" s="2" t="s">
        <v>173</v>
      </c>
      <c r="G221" s="2" t="s">
        <v>21</v>
      </c>
      <c r="H221">
        <v>1</v>
      </c>
      <c r="I221" s="2" t="s">
        <v>526</v>
      </c>
      <c r="J221" s="3">
        <v>1</v>
      </c>
      <c r="K221" s="3">
        <v>5.2488000000000001</v>
      </c>
      <c r="L221" s="507">
        <v>1173950.9410957084</v>
      </c>
      <c r="M221" s="507">
        <v>0</v>
      </c>
      <c r="N221" s="507">
        <v>1173950.9410957084</v>
      </c>
      <c r="O221" s="507">
        <v>1027.2070734587446</v>
      </c>
      <c r="P221">
        <v>1</v>
      </c>
      <c r="Q221" s="2" t="s">
        <v>526</v>
      </c>
      <c r="R221" s="3">
        <v>1</v>
      </c>
      <c r="S221" s="3">
        <v>5.2488000000000001</v>
      </c>
      <c r="T221" s="507">
        <v>1173950.9410957084</v>
      </c>
      <c r="U221" s="507">
        <v>0</v>
      </c>
      <c r="V221" s="507">
        <v>1173950.9410957084</v>
      </c>
      <c r="W221" s="507">
        <v>9685.0952640395917</v>
      </c>
      <c r="X221" s="507">
        <v>1174978.1481691671</v>
      </c>
      <c r="Y221" s="507">
        <v>1183636.0363597481</v>
      </c>
      <c r="Z221" s="507">
        <v>6167225.304110324</v>
      </c>
      <c r="AA221" s="507">
        <v>6212668.8276450457</v>
      </c>
      <c r="AB221" s="507">
        <v>6212668.8276450457</v>
      </c>
      <c r="AC221" s="507">
        <v>-45443.519999999997</v>
      </c>
      <c r="AD221" s="507">
        <v>-45443.519999999997</v>
      </c>
      <c r="AE221" s="507">
        <v>0</v>
      </c>
      <c r="AF221" s="507"/>
      <c r="AG221" s="507">
        <v>-45443.519999999997</v>
      </c>
      <c r="AH221" s="507">
        <v>0</v>
      </c>
      <c r="AI221" s="507">
        <v>0</v>
      </c>
      <c r="AJ221" s="507">
        <v>0</v>
      </c>
      <c r="AK221" s="507">
        <v>0</v>
      </c>
      <c r="AL221" s="507">
        <v>0</v>
      </c>
      <c r="AM221" s="507">
        <v>0</v>
      </c>
      <c r="AN221" s="507"/>
      <c r="AO221" s="507"/>
    </row>
    <row r="222" spans="1:41">
      <c r="A222" s="2"/>
      <c r="B222" s="2"/>
      <c r="C222" s="2"/>
      <c r="D222" s="2"/>
      <c r="E222" s="2"/>
      <c r="F222" s="2"/>
      <c r="G222" s="2"/>
      <c r="I222" s="2"/>
      <c r="J222" s="3"/>
      <c r="K222" s="3"/>
      <c r="L222" s="507"/>
      <c r="M222" s="507"/>
      <c r="N222" s="507"/>
      <c r="O222" s="507"/>
      <c r="P222">
        <v>1</v>
      </c>
      <c r="Q222" s="2" t="s">
        <v>526</v>
      </c>
      <c r="R222" s="3">
        <v>1</v>
      </c>
      <c r="S222" s="3">
        <v>5.2488000000000001</v>
      </c>
      <c r="T222" s="507">
        <v>81748.804297192793</v>
      </c>
      <c r="U222" s="507">
        <v>0</v>
      </c>
      <c r="V222" s="507">
        <v>81748.804297192793</v>
      </c>
      <c r="W222" s="507">
        <v>2735.1787410519487</v>
      </c>
      <c r="X222" s="507"/>
      <c r="Y222" s="507">
        <v>84483.98303824474</v>
      </c>
      <c r="Z222" s="507"/>
      <c r="AA222" s="507">
        <v>443439.53017113899</v>
      </c>
      <c r="AB222" s="507"/>
      <c r="AC222" s="507"/>
      <c r="AD222" s="507"/>
      <c r="AE222" s="507"/>
      <c r="AF222" s="507"/>
      <c r="AG222" s="507"/>
      <c r="AH222" s="507"/>
      <c r="AI222" s="507">
        <v>0</v>
      </c>
      <c r="AJ222" s="507"/>
      <c r="AK222" s="507"/>
      <c r="AL222" s="507"/>
      <c r="AM222" s="507"/>
      <c r="AN222" s="507"/>
      <c r="AO222" s="507"/>
    </row>
    <row r="223" spans="1:41">
      <c r="A223" s="2" t="s">
        <v>189</v>
      </c>
      <c r="B223" s="2" t="s">
        <v>190</v>
      </c>
      <c r="C223" s="2" t="s">
        <v>175</v>
      </c>
      <c r="D223" s="2" t="s">
        <v>25</v>
      </c>
      <c r="E223" s="2" t="s">
        <v>172</v>
      </c>
      <c r="F223" s="2" t="s">
        <v>173</v>
      </c>
      <c r="G223" s="2" t="s">
        <v>21</v>
      </c>
      <c r="H223">
        <v>1</v>
      </c>
      <c r="I223" s="2" t="s">
        <v>526</v>
      </c>
      <c r="J223" s="3">
        <v>1</v>
      </c>
      <c r="K223" s="3">
        <v>5.2488000000000001</v>
      </c>
      <c r="L223" s="507">
        <v>249036.89354613479</v>
      </c>
      <c r="M223" s="507">
        <v>0</v>
      </c>
      <c r="N223" s="507">
        <v>249036.89354613479</v>
      </c>
      <c r="O223" s="507">
        <v>0</v>
      </c>
      <c r="P223">
        <v>1</v>
      </c>
      <c r="Q223" s="2" t="s">
        <v>526</v>
      </c>
      <c r="R223" s="3">
        <v>1</v>
      </c>
      <c r="S223" s="3">
        <v>5.2488000000000001</v>
      </c>
      <c r="T223" s="507">
        <v>249036.89354613479</v>
      </c>
      <c r="U223" s="507">
        <v>0</v>
      </c>
      <c r="V223" s="507">
        <v>249036.89354613479</v>
      </c>
      <c r="W223" s="507">
        <v>0</v>
      </c>
      <c r="X223" s="507">
        <v>249036.89354613479</v>
      </c>
      <c r="Y223" s="507">
        <v>249036.89354613479</v>
      </c>
      <c r="Z223" s="507">
        <v>1307144.8468449523</v>
      </c>
      <c r="AA223" s="507">
        <v>1307144.8468449523</v>
      </c>
      <c r="AB223" s="507">
        <v>1307144.8468449523</v>
      </c>
      <c r="AC223" s="507">
        <v>0</v>
      </c>
      <c r="AD223" s="507">
        <v>0</v>
      </c>
      <c r="AE223" s="507">
        <v>0</v>
      </c>
      <c r="AF223" s="507"/>
      <c r="AG223" s="507"/>
      <c r="AH223" s="507">
        <v>0</v>
      </c>
      <c r="AI223" s="507">
        <v>0</v>
      </c>
      <c r="AJ223" s="507">
        <v>0</v>
      </c>
      <c r="AK223" s="507">
        <v>0</v>
      </c>
      <c r="AL223" s="507">
        <v>0</v>
      </c>
      <c r="AM223" s="507">
        <v>0</v>
      </c>
      <c r="AN223" s="507"/>
      <c r="AO223" s="507"/>
    </row>
    <row r="224" spans="1:41">
      <c r="A224" s="2"/>
      <c r="B224" s="2"/>
      <c r="C224" s="2"/>
      <c r="D224" s="2"/>
      <c r="E224" s="2"/>
      <c r="F224" s="2"/>
      <c r="G224" s="2"/>
      <c r="I224" s="2"/>
      <c r="J224" s="3"/>
      <c r="K224" s="3"/>
      <c r="L224" s="507"/>
      <c r="M224" s="507"/>
      <c r="N224" s="507"/>
      <c r="O224" s="507"/>
      <c r="P224">
        <v>1</v>
      </c>
      <c r="Q224" s="2" t="s">
        <v>526</v>
      </c>
      <c r="R224" s="3">
        <v>0.15702038124548567</v>
      </c>
      <c r="S224" s="3">
        <v>5.2488000000000001</v>
      </c>
      <c r="T224" s="507">
        <v>72887.56090659427</v>
      </c>
      <c r="U224" s="507">
        <v>0</v>
      </c>
      <c r="V224" s="507">
        <v>72887.56090659427</v>
      </c>
      <c r="W224" s="507">
        <v>1.1338180724455786</v>
      </c>
      <c r="X224" s="507"/>
      <c r="Y224" s="507">
        <v>72888.694724666711</v>
      </c>
      <c r="Z224" s="507"/>
      <c r="AA224" s="507">
        <v>382578.18087083066</v>
      </c>
      <c r="AB224" s="507"/>
      <c r="AC224" s="507"/>
      <c r="AD224" s="507"/>
      <c r="AE224" s="507"/>
      <c r="AF224" s="507"/>
      <c r="AG224" s="507"/>
      <c r="AH224" s="507"/>
      <c r="AI224" s="507">
        <v>0</v>
      </c>
      <c r="AJ224" s="507"/>
      <c r="AK224" s="507"/>
      <c r="AL224" s="507"/>
      <c r="AM224" s="507"/>
      <c r="AN224" s="507"/>
      <c r="AO224" s="507"/>
    </row>
    <row r="225" spans="1:41">
      <c r="A225" s="2" t="s">
        <v>191</v>
      </c>
      <c r="B225" s="2" t="s">
        <v>190</v>
      </c>
      <c r="C225" s="2" t="s">
        <v>175</v>
      </c>
      <c r="D225" s="2" t="s">
        <v>25</v>
      </c>
      <c r="E225" s="2" t="s">
        <v>172</v>
      </c>
      <c r="F225" s="2" t="s">
        <v>173</v>
      </c>
      <c r="G225" s="2" t="s">
        <v>21</v>
      </c>
      <c r="H225">
        <v>1</v>
      </c>
      <c r="I225" s="2" t="s">
        <v>526</v>
      </c>
      <c r="J225" s="3">
        <v>1</v>
      </c>
      <c r="K225" s="3">
        <v>5.2488000000000001</v>
      </c>
      <c r="L225" s="507">
        <v>332049.19139484642</v>
      </c>
      <c r="M225" s="507">
        <v>0</v>
      </c>
      <c r="N225" s="507">
        <v>332049.19139484642</v>
      </c>
      <c r="O225" s="507">
        <v>0</v>
      </c>
      <c r="P225">
        <v>1</v>
      </c>
      <c r="Q225" s="2" t="s">
        <v>526</v>
      </c>
      <c r="R225" s="3">
        <v>1</v>
      </c>
      <c r="S225" s="3">
        <v>5.2488000000000001</v>
      </c>
      <c r="T225" s="507">
        <v>332049.19139484642</v>
      </c>
      <c r="U225" s="507">
        <v>0</v>
      </c>
      <c r="V225" s="507">
        <v>332049.19139484642</v>
      </c>
      <c r="W225" s="507">
        <v>0</v>
      </c>
      <c r="X225" s="507">
        <v>332049.19139484642</v>
      </c>
      <c r="Y225" s="507">
        <v>332049.19139484642</v>
      </c>
      <c r="Z225" s="507">
        <v>1742859.79579327</v>
      </c>
      <c r="AA225" s="507">
        <v>1742859.79579327</v>
      </c>
      <c r="AB225" s="507">
        <v>1742859.79579327</v>
      </c>
      <c r="AC225" s="507">
        <v>0</v>
      </c>
      <c r="AD225" s="507">
        <v>0</v>
      </c>
      <c r="AE225" s="507">
        <v>0</v>
      </c>
      <c r="AF225" s="507"/>
      <c r="AG225" s="507"/>
      <c r="AH225" s="507">
        <v>0</v>
      </c>
      <c r="AI225" s="507">
        <v>0</v>
      </c>
      <c r="AJ225" s="507">
        <v>0</v>
      </c>
      <c r="AK225" s="507">
        <v>0</v>
      </c>
      <c r="AL225" s="507">
        <v>0</v>
      </c>
      <c r="AM225" s="507">
        <v>0</v>
      </c>
      <c r="AN225" s="507"/>
      <c r="AO225" s="507"/>
    </row>
    <row r="226" spans="1:41">
      <c r="A226" s="2"/>
      <c r="B226" s="2"/>
      <c r="C226" s="2"/>
      <c r="D226" s="2"/>
      <c r="E226" s="2"/>
      <c r="F226" s="2"/>
      <c r="G226" s="2"/>
      <c r="I226" s="2"/>
      <c r="J226" s="3"/>
      <c r="K226" s="3"/>
      <c r="L226" s="507"/>
      <c r="M226" s="507"/>
      <c r="N226" s="507"/>
      <c r="O226" s="507"/>
      <c r="P226">
        <v>1</v>
      </c>
      <c r="Q226" s="2" t="s">
        <v>526</v>
      </c>
      <c r="R226" s="3">
        <v>1</v>
      </c>
      <c r="S226" s="3">
        <v>5.2488000000000001</v>
      </c>
      <c r="T226" s="507">
        <v>89923.684726912063</v>
      </c>
      <c r="U226" s="507">
        <v>0</v>
      </c>
      <c r="V226" s="507">
        <v>89923.684726912063</v>
      </c>
      <c r="W226" s="507">
        <v>4.5536372960056699</v>
      </c>
      <c r="X226" s="507"/>
      <c r="Y226" s="507">
        <v>89928.238364208068</v>
      </c>
      <c r="Z226" s="507"/>
      <c r="AA226" s="507">
        <v>472015.33752605534</v>
      </c>
      <c r="AB226" s="507"/>
      <c r="AC226" s="507"/>
      <c r="AD226" s="507"/>
      <c r="AE226" s="507"/>
      <c r="AF226" s="507"/>
      <c r="AG226" s="507"/>
      <c r="AH226" s="507"/>
      <c r="AI226" s="507">
        <v>0</v>
      </c>
      <c r="AJ226" s="507"/>
      <c r="AK226" s="507"/>
      <c r="AL226" s="507"/>
      <c r="AM226" s="507"/>
      <c r="AN226" s="507"/>
      <c r="AO226" s="507"/>
    </row>
    <row r="227" spans="1:41">
      <c r="A227" s="2" t="s">
        <v>192</v>
      </c>
      <c r="B227" s="2" t="s">
        <v>193</v>
      </c>
      <c r="C227" s="2" t="s">
        <v>175</v>
      </c>
      <c r="D227" s="2" t="s">
        <v>25</v>
      </c>
      <c r="E227" s="2" t="s">
        <v>172</v>
      </c>
      <c r="F227" s="2" t="s">
        <v>173</v>
      </c>
      <c r="G227" s="2" t="s">
        <v>21</v>
      </c>
      <c r="H227">
        <v>1</v>
      </c>
      <c r="I227" s="2" t="s">
        <v>526</v>
      </c>
      <c r="J227" s="3">
        <v>1</v>
      </c>
      <c r="K227" s="3">
        <v>5.2488000000000001</v>
      </c>
      <c r="L227" s="507">
        <v>155322.72816466627</v>
      </c>
      <c r="M227" s="507">
        <v>0</v>
      </c>
      <c r="N227" s="507">
        <v>155322.72816466627</v>
      </c>
      <c r="O227" s="507">
        <v>548.59987587760145</v>
      </c>
      <c r="P227">
        <v>1</v>
      </c>
      <c r="Q227" s="2" t="s">
        <v>526</v>
      </c>
      <c r="R227" s="3">
        <v>1</v>
      </c>
      <c r="S227" s="3">
        <v>5.2488000000000001</v>
      </c>
      <c r="T227" s="507">
        <v>155322.72816466627</v>
      </c>
      <c r="U227" s="507">
        <v>0</v>
      </c>
      <c r="V227" s="507">
        <v>155322.72816466627</v>
      </c>
      <c r="W227" s="507">
        <v>60.955538130897736</v>
      </c>
      <c r="X227" s="507">
        <v>155871.32804054389</v>
      </c>
      <c r="Y227" s="507">
        <v>155383.68370279716</v>
      </c>
      <c r="Z227" s="507">
        <v>818137.42661920679</v>
      </c>
      <c r="AA227" s="507">
        <v>815577.87901924178</v>
      </c>
      <c r="AB227" s="507">
        <v>815577.87901924178</v>
      </c>
      <c r="AC227" s="507">
        <v>2559.5500000000002</v>
      </c>
      <c r="AD227" s="507">
        <v>2559.5500000000002</v>
      </c>
      <c r="AE227" s="507">
        <v>0</v>
      </c>
      <c r="AF227" s="507">
        <v>2559.5500000000002</v>
      </c>
      <c r="AG227" s="507"/>
      <c r="AH227" s="507">
        <v>0</v>
      </c>
      <c r="AI227" s="507">
        <v>0</v>
      </c>
      <c r="AJ227" s="507">
        <v>0</v>
      </c>
      <c r="AK227" s="507">
        <v>0</v>
      </c>
      <c r="AL227" s="507">
        <v>0</v>
      </c>
      <c r="AM227" s="507">
        <v>0</v>
      </c>
      <c r="AN227" s="507"/>
      <c r="AO227" s="507"/>
    </row>
    <row r="228" spans="1:41">
      <c r="A228" s="2"/>
      <c r="B228" s="2"/>
      <c r="C228" s="2"/>
      <c r="D228" s="2"/>
      <c r="E228" s="2"/>
      <c r="F228" s="2"/>
      <c r="G228" s="2"/>
      <c r="I228" s="2"/>
      <c r="J228" s="3"/>
      <c r="K228" s="3"/>
      <c r="L228" s="507"/>
      <c r="M228" s="507"/>
      <c r="N228" s="507"/>
      <c r="O228" s="507"/>
      <c r="P228">
        <v>1</v>
      </c>
      <c r="Q228" s="2" t="s">
        <v>526</v>
      </c>
      <c r="R228" s="3">
        <v>1</v>
      </c>
      <c r="S228" s="3">
        <v>5.2488000000000001</v>
      </c>
      <c r="T228" s="507">
        <v>49049.282578315666</v>
      </c>
      <c r="U228" s="507">
        <v>0</v>
      </c>
      <c r="V228" s="507">
        <v>49049.282578315666</v>
      </c>
      <c r="W228" s="507">
        <v>2.4837984456028979</v>
      </c>
      <c r="X228" s="507"/>
      <c r="Y228" s="507">
        <v>49051.766376761268</v>
      </c>
      <c r="Z228" s="507"/>
      <c r="AA228" s="507">
        <v>257462.91135834454</v>
      </c>
      <c r="AB228" s="507"/>
      <c r="AC228" s="507"/>
      <c r="AD228" s="507"/>
      <c r="AE228" s="507"/>
      <c r="AF228" s="507"/>
      <c r="AG228" s="507"/>
      <c r="AH228" s="507"/>
      <c r="AI228" s="507">
        <v>0</v>
      </c>
      <c r="AJ228" s="507"/>
      <c r="AK228" s="507"/>
      <c r="AL228" s="507"/>
      <c r="AM228" s="507"/>
      <c r="AN228" s="507"/>
      <c r="AO228" s="507"/>
    </row>
    <row r="229" spans="1:41">
      <c r="A229" s="2" t="s">
        <v>195</v>
      </c>
      <c r="B229" s="2" t="s">
        <v>196</v>
      </c>
      <c r="C229" s="2" t="s">
        <v>175</v>
      </c>
      <c r="D229" s="2" t="s">
        <v>25</v>
      </c>
      <c r="E229" s="2" t="s">
        <v>172</v>
      </c>
      <c r="F229" s="2" t="s">
        <v>173</v>
      </c>
      <c r="G229" s="2" t="s">
        <v>21</v>
      </c>
      <c r="H229">
        <v>1</v>
      </c>
      <c r="I229" s="2" t="s">
        <v>526</v>
      </c>
      <c r="J229" s="3">
        <v>1</v>
      </c>
      <c r="K229" s="3">
        <v>5.2488000000000001</v>
      </c>
      <c r="L229" s="507">
        <v>586975.4705478542</v>
      </c>
      <c r="M229" s="507">
        <v>0</v>
      </c>
      <c r="N229" s="507">
        <v>586975.4705478542</v>
      </c>
      <c r="O229" s="507">
        <v>0</v>
      </c>
      <c r="P229">
        <v>1</v>
      </c>
      <c r="Q229" s="2" t="s">
        <v>526</v>
      </c>
      <c r="R229" s="3">
        <v>1</v>
      </c>
      <c r="S229" s="3">
        <v>5.2488000000000001</v>
      </c>
      <c r="T229" s="507">
        <v>586975.4705478542</v>
      </c>
      <c r="U229" s="507">
        <v>0</v>
      </c>
      <c r="V229" s="507">
        <v>586975.4705478542</v>
      </c>
      <c r="W229" s="507">
        <v>0</v>
      </c>
      <c r="X229" s="507">
        <v>586975.4705478542</v>
      </c>
      <c r="Y229" s="507">
        <v>586975.4705478542</v>
      </c>
      <c r="Z229" s="507">
        <v>3080916.8498115772</v>
      </c>
      <c r="AA229" s="507">
        <v>3080916.8498115772</v>
      </c>
      <c r="AB229" s="507">
        <v>3080916.8498115772</v>
      </c>
      <c r="AC229" s="507">
        <v>0</v>
      </c>
      <c r="AD229" s="507">
        <v>0</v>
      </c>
      <c r="AE229" s="507">
        <v>0</v>
      </c>
      <c r="AF229" s="507"/>
      <c r="AG229" s="507"/>
      <c r="AH229" s="507">
        <v>0</v>
      </c>
      <c r="AI229" s="507">
        <v>0</v>
      </c>
      <c r="AJ229" s="507">
        <v>0</v>
      </c>
      <c r="AK229" s="507">
        <v>0</v>
      </c>
      <c r="AL229" s="507">
        <v>0</v>
      </c>
      <c r="AM229" s="507">
        <v>0</v>
      </c>
      <c r="AN229" s="507"/>
      <c r="AO229" s="507"/>
    </row>
    <row r="230" spans="1:41">
      <c r="A230" s="2" t="s">
        <v>197</v>
      </c>
      <c r="B230" s="2" t="s">
        <v>183</v>
      </c>
      <c r="C230" s="2" t="s">
        <v>175</v>
      </c>
      <c r="D230" s="2" t="s">
        <v>25</v>
      </c>
      <c r="E230" s="2" t="s">
        <v>172</v>
      </c>
      <c r="F230" s="2" t="s">
        <v>173</v>
      </c>
      <c r="G230" s="2" t="s">
        <v>21</v>
      </c>
      <c r="H230">
        <v>1</v>
      </c>
      <c r="I230" s="2" t="s">
        <v>526</v>
      </c>
      <c r="J230" s="3">
        <v>1</v>
      </c>
      <c r="K230" s="3">
        <v>5.2488000000000001</v>
      </c>
      <c r="L230" s="507">
        <v>1054995.8280753363</v>
      </c>
      <c r="M230" s="507">
        <v>0</v>
      </c>
      <c r="N230" s="507">
        <v>1054995.8280753363</v>
      </c>
      <c r="O230" s="507">
        <v>7631.1365512894317</v>
      </c>
      <c r="P230">
        <v>1</v>
      </c>
      <c r="Q230" s="2" t="s">
        <v>526</v>
      </c>
      <c r="R230" s="3">
        <v>1</v>
      </c>
      <c r="S230" s="3">
        <v>5.2488000000000001</v>
      </c>
      <c r="T230" s="507">
        <v>1054995.8280753363</v>
      </c>
      <c r="U230" s="507">
        <v>0</v>
      </c>
      <c r="V230" s="507">
        <v>1054995.8280753363</v>
      </c>
      <c r="W230" s="507">
        <v>3692.4853982636769</v>
      </c>
      <c r="X230" s="507">
        <v>1062626.9646266256</v>
      </c>
      <c r="Y230" s="507">
        <v>1058688.3134736</v>
      </c>
      <c r="Z230" s="507">
        <v>5577516.4119322328</v>
      </c>
      <c r="AA230" s="507">
        <v>5556843.2197602317</v>
      </c>
      <c r="AB230" s="507">
        <v>5556843.2197602317</v>
      </c>
      <c r="AC230" s="507">
        <v>20673.189999999999</v>
      </c>
      <c r="AD230" s="507">
        <v>20673.189999999999</v>
      </c>
      <c r="AE230" s="507">
        <v>0</v>
      </c>
      <c r="AF230" s="507">
        <v>20673.189999999999</v>
      </c>
      <c r="AG230" s="507"/>
      <c r="AH230" s="507">
        <v>0</v>
      </c>
      <c r="AI230" s="507">
        <v>0</v>
      </c>
      <c r="AJ230" s="507">
        <v>0</v>
      </c>
      <c r="AK230" s="507">
        <v>0</v>
      </c>
      <c r="AL230" s="507">
        <v>0</v>
      </c>
      <c r="AM230" s="507">
        <v>0</v>
      </c>
      <c r="AN230" s="507"/>
      <c r="AO230" s="507"/>
    </row>
    <row r="231" spans="1:41">
      <c r="A231" s="2" t="s">
        <v>198</v>
      </c>
      <c r="B231" s="2" t="s">
        <v>199</v>
      </c>
      <c r="C231" s="2" t="s">
        <v>175</v>
      </c>
      <c r="D231" s="2" t="s">
        <v>25</v>
      </c>
      <c r="E231" s="2" t="s">
        <v>172</v>
      </c>
      <c r="F231" s="2" t="s">
        <v>173</v>
      </c>
      <c r="G231" s="2" t="s">
        <v>21</v>
      </c>
      <c r="H231">
        <v>1</v>
      </c>
      <c r="I231" s="2" t="s">
        <v>526</v>
      </c>
      <c r="J231" s="3">
        <v>1</v>
      </c>
      <c r="K231" s="3">
        <v>5.2488000000000001</v>
      </c>
      <c r="L231" s="507">
        <v>1846335.0158826327</v>
      </c>
      <c r="M231" s="507">
        <v>0</v>
      </c>
      <c r="N231" s="507">
        <v>1846335.0158826327</v>
      </c>
      <c r="O231" s="507">
        <v>1723.24595327929</v>
      </c>
      <c r="P231">
        <v>1</v>
      </c>
      <c r="Q231" s="2" t="s">
        <v>526</v>
      </c>
      <c r="R231" s="3">
        <v>1</v>
      </c>
      <c r="S231" s="3">
        <v>5.2488000000000001</v>
      </c>
      <c r="T231" s="507">
        <v>1846335.0158826327</v>
      </c>
      <c r="U231" s="507">
        <v>0</v>
      </c>
      <c r="V231" s="507">
        <v>1846335.0158826327</v>
      </c>
      <c r="W231" s="507">
        <v>16247.748139767169</v>
      </c>
      <c r="X231" s="507">
        <v>1848058.261835912</v>
      </c>
      <c r="Y231" s="507">
        <v>1862582.7640223999</v>
      </c>
      <c r="Z231" s="507">
        <v>9700088.204724336</v>
      </c>
      <c r="AA231" s="507">
        <v>9776324.411800772</v>
      </c>
      <c r="AB231" s="507">
        <v>9776324.411800772</v>
      </c>
      <c r="AC231" s="507">
        <v>-76236.210000000006</v>
      </c>
      <c r="AD231" s="507">
        <v>-76236.210000000006</v>
      </c>
      <c r="AE231" s="507">
        <v>0</v>
      </c>
      <c r="AF231" s="507"/>
      <c r="AG231" s="507">
        <v>-76236.210000000006</v>
      </c>
      <c r="AH231" s="507">
        <v>0</v>
      </c>
      <c r="AI231" s="507">
        <v>0</v>
      </c>
      <c r="AJ231" s="507">
        <v>0</v>
      </c>
      <c r="AK231" s="507">
        <v>0</v>
      </c>
      <c r="AL231" s="507">
        <v>0</v>
      </c>
      <c r="AM231" s="507">
        <v>0</v>
      </c>
      <c r="AN231" s="507"/>
      <c r="AO231" s="507"/>
    </row>
    <row r="232" spans="1:41">
      <c r="A232" s="2" t="s">
        <v>200</v>
      </c>
      <c r="B232" s="2" t="s">
        <v>201</v>
      </c>
      <c r="C232" s="2" t="s">
        <v>175</v>
      </c>
      <c r="D232" s="2" t="s">
        <v>25</v>
      </c>
      <c r="E232" s="2" t="s">
        <v>172</v>
      </c>
      <c r="F232" s="2" t="s">
        <v>173</v>
      </c>
      <c r="G232" s="2" t="s">
        <v>21</v>
      </c>
      <c r="H232">
        <v>1</v>
      </c>
      <c r="I232" s="2" t="s">
        <v>526</v>
      </c>
      <c r="J232" s="3">
        <v>1</v>
      </c>
      <c r="K232" s="3">
        <v>5.2488000000000001</v>
      </c>
      <c r="L232" s="507">
        <v>1760926.4116435624</v>
      </c>
      <c r="M232" s="507">
        <v>0</v>
      </c>
      <c r="N232" s="507">
        <v>1760926.4116435624</v>
      </c>
      <c r="O232" s="507">
        <v>1318.249116737087</v>
      </c>
      <c r="P232">
        <v>1</v>
      </c>
      <c r="Q232" s="2" t="s">
        <v>526</v>
      </c>
      <c r="R232" s="3">
        <v>1</v>
      </c>
      <c r="S232" s="3">
        <v>5.2488000000000001</v>
      </c>
      <c r="T232" s="507">
        <v>1760926.4116435624</v>
      </c>
      <c r="U232" s="507">
        <v>0</v>
      </c>
      <c r="V232" s="507">
        <v>1760926.4116435624</v>
      </c>
      <c r="W232" s="507">
        <v>12240.884252918342</v>
      </c>
      <c r="X232" s="507">
        <v>1762244.6607602995</v>
      </c>
      <c r="Y232" s="507">
        <v>1773167.2958964808</v>
      </c>
      <c r="Z232" s="507">
        <v>9249669.7753986605</v>
      </c>
      <c r="AA232" s="507">
        <v>9307000.5027014483</v>
      </c>
      <c r="AB232" s="507">
        <v>9307000.5027014483</v>
      </c>
      <c r="AC232" s="507">
        <v>-57330.73</v>
      </c>
      <c r="AD232" s="507">
        <v>-57330.73</v>
      </c>
      <c r="AE232" s="507">
        <v>0</v>
      </c>
      <c r="AF232" s="507"/>
      <c r="AG232" s="507">
        <v>-57330.73</v>
      </c>
      <c r="AH232" s="507">
        <v>0</v>
      </c>
      <c r="AI232" s="507">
        <v>0</v>
      </c>
      <c r="AJ232" s="507">
        <v>0</v>
      </c>
      <c r="AK232" s="507">
        <v>0</v>
      </c>
      <c r="AL232" s="507">
        <v>0</v>
      </c>
      <c r="AM232" s="507">
        <v>0</v>
      </c>
      <c r="AN232" s="507"/>
      <c r="AO232" s="507"/>
    </row>
    <row r="233" spans="1:41">
      <c r="A233" s="2" t="s">
        <v>202</v>
      </c>
      <c r="B233" s="2" t="s">
        <v>180</v>
      </c>
      <c r="C233" s="2" t="s">
        <v>175</v>
      </c>
      <c r="D233" s="2" t="s">
        <v>25</v>
      </c>
      <c r="E233" s="2" t="s">
        <v>172</v>
      </c>
      <c r="F233" s="2" t="s">
        <v>173</v>
      </c>
      <c r="G233" s="2" t="s">
        <v>21</v>
      </c>
      <c r="H233">
        <v>1</v>
      </c>
      <c r="I233" s="2" t="s">
        <v>526</v>
      </c>
      <c r="J233" s="3">
        <v>1</v>
      </c>
      <c r="K233" s="3">
        <v>5.2488000000000001</v>
      </c>
      <c r="L233" s="507">
        <v>705515.53073123144</v>
      </c>
      <c r="M233" s="507">
        <v>0</v>
      </c>
      <c r="N233" s="507">
        <v>705515.53073123144</v>
      </c>
      <c r="O233" s="507">
        <v>438.98742566575447</v>
      </c>
      <c r="P233">
        <v>1</v>
      </c>
      <c r="Q233" s="2" t="s">
        <v>526</v>
      </c>
      <c r="R233" s="3">
        <v>1</v>
      </c>
      <c r="S233" s="3">
        <v>5.2488000000000001</v>
      </c>
      <c r="T233" s="507">
        <v>705515.53073123144</v>
      </c>
      <c r="U233" s="507">
        <v>0</v>
      </c>
      <c r="V233" s="507">
        <v>705515.53073123144</v>
      </c>
      <c r="W233" s="507">
        <v>4076.3119710141273</v>
      </c>
      <c r="X233" s="507">
        <v>705954.51815689716</v>
      </c>
      <c r="Y233" s="507">
        <v>709591.84270224557</v>
      </c>
      <c r="Z233" s="507">
        <v>3705414.0749019221</v>
      </c>
      <c r="AA233" s="507">
        <v>3724505.6639755466</v>
      </c>
      <c r="AB233" s="507">
        <v>3724505.6639755466</v>
      </c>
      <c r="AC233" s="507">
        <v>-19091.59</v>
      </c>
      <c r="AD233" s="507">
        <v>-19091.59</v>
      </c>
      <c r="AE233" s="507">
        <v>0</v>
      </c>
      <c r="AF233" s="507"/>
      <c r="AG233" s="507">
        <v>-19091.59</v>
      </c>
      <c r="AH233" s="507">
        <v>0</v>
      </c>
      <c r="AI233" s="507">
        <v>0</v>
      </c>
      <c r="AJ233" s="507">
        <v>0</v>
      </c>
      <c r="AK233" s="507">
        <v>0</v>
      </c>
      <c r="AL233" s="507">
        <v>0</v>
      </c>
      <c r="AM233" s="507">
        <v>0</v>
      </c>
      <c r="AN233" s="507"/>
      <c r="AO233" s="507"/>
    </row>
    <row r="234" spans="1:41">
      <c r="A234" s="2" t="s">
        <v>205</v>
      </c>
      <c r="B234" s="2" t="s">
        <v>204</v>
      </c>
      <c r="C234" s="2" t="s">
        <v>175</v>
      </c>
      <c r="D234" s="2" t="s">
        <v>25</v>
      </c>
      <c r="E234" s="2" t="s">
        <v>172</v>
      </c>
      <c r="F234" s="2" t="s">
        <v>173</v>
      </c>
      <c r="G234" s="2" t="s">
        <v>21</v>
      </c>
      <c r="H234">
        <v>1</v>
      </c>
      <c r="I234" s="2" t="s">
        <v>526</v>
      </c>
      <c r="J234" s="3">
        <v>1</v>
      </c>
      <c r="K234" s="3">
        <v>5.2488000000000001</v>
      </c>
      <c r="L234" s="507">
        <v>1846335.0158826327</v>
      </c>
      <c r="M234" s="507">
        <v>0</v>
      </c>
      <c r="N234" s="507">
        <v>1846335.0158826327</v>
      </c>
      <c r="O234" s="507">
        <v>0</v>
      </c>
      <c r="P234">
        <v>1</v>
      </c>
      <c r="Q234" s="2" t="s">
        <v>526</v>
      </c>
      <c r="R234" s="3">
        <v>1</v>
      </c>
      <c r="S234" s="3">
        <v>5.2488000000000001</v>
      </c>
      <c r="T234" s="507">
        <v>1846335.0158826327</v>
      </c>
      <c r="U234" s="507">
        <v>0</v>
      </c>
      <c r="V234" s="507">
        <v>1846335.0158826327</v>
      </c>
      <c r="W234" s="507">
        <v>0</v>
      </c>
      <c r="X234" s="507">
        <v>1846335.0158826327</v>
      </c>
      <c r="Y234" s="507">
        <v>1846335.0158826327</v>
      </c>
      <c r="Z234" s="507">
        <v>9691043.2313647624</v>
      </c>
      <c r="AA234" s="507">
        <v>9691043.2313647624</v>
      </c>
      <c r="AB234" s="507">
        <v>9691043.2313647624</v>
      </c>
      <c r="AC234" s="507">
        <v>0</v>
      </c>
      <c r="AD234" s="507">
        <v>0</v>
      </c>
      <c r="AE234" s="507">
        <v>0</v>
      </c>
      <c r="AF234" s="507"/>
      <c r="AG234" s="507"/>
      <c r="AH234" s="507">
        <v>0</v>
      </c>
      <c r="AI234" s="507">
        <v>0</v>
      </c>
      <c r="AJ234" s="507">
        <v>0</v>
      </c>
      <c r="AK234" s="507">
        <v>0</v>
      </c>
      <c r="AL234" s="507">
        <v>0</v>
      </c>
      <c r="AM234" s="507">
        <v>0</v>
      </c>
      <c r="AN234" s="507"/>
      <c r="AO234" s="507"/>
    </row>
    <row r="235" spans="1:41">
      <c r="A235" s="2" t="s">
        <v>206</v>
      </c>
      <c r="B235" s="2" t="s">
        <v>207</v>
      </c>
      <c r="C235" s="2" t="s">
        <v>175</v>
      </c>
      <c r="D235" s="2" t="s">
        <v>25</v>
      </c>
      <c r="E235" s="2" t="s">
        <v>172</v>
      </c>
      <c r="F235" s="2" t="s">
        <v>173</v>
      </c>
      <c r="G235" s="2" t="s">
        <v>21</v>
      </c>
      <c r="H235">
        <v>1</v>
      </c>
      <c r="I235" s="2" t="s">
        <v>526</v>
      </c>
      <c r="J235" s="3">
        <v>1</v>
      </c>
      <c r="K235" s="3">
        <v>5.2488000000000001</v>
      </c>
      <c r="L235" s="507">
        <v>147147.84773494702</v>
      </c>
      <c r="M235" s="507">
        <v>0</v>
      </c>
      <c r="N235" s="507">
        <v>147147.84773494702</v>
      </c>
      <c r="O235" s="507">
        <v>0</v>
      </c>
      <c r="P235">
        <v>1</v>
      </c>
      <c r="Q235" s="2" t="s">
        <v>526</v>
      </c>
      <c r="R235" s="3">
        <v>1</v>
      </c>
      <c r="S235" s="3">
        <v>5.2488000000000001</v>
      </c>
      <c r="T235" s="507">
        <v>147147.84773494702</v>
      </c>
      <c r="U235" s="507">
        <v>0</v>
      </c>
      <c r="V235" s="507">
        <v>147147.84773494702</v>
      </c>
      <c r="W235" s="507">
        <v>0</v>
      </c>
      <c r="X235" s="507">
        <v>147147.84773494702</v>
      </c>
      <c r="Y235" s="507">
        <v>147147.84773494702</v>
      </c>
      <c r="Z235" s="507">
        <v>772349.62319118995</v>
      </c>
      <c r="AA235" s="507">
        <v>772349.62319118995</v>
      </c>
      <c r="AB235" s="507">
        <v>772349.62319118995</v>
      </c>
      <c r="AC235" s="507">
        <v>0</v>
      </c>
      <c r="AD235" s="507">
        <v>0</v>
      </c>
      <c r="AE235" s="507">
        <v>0</v>
      </c>
      <c r="AF235" s="507"/>
      <c r="AG235" s="507"/>
      <c r="AH235" s="507">
        <v>0</v>
      </c>
      <c r="AI235" s="507">
        <v>0</v>
      </c>
      <c r="AJ235" s="507">
        <v>0</v>
      </c>
      <c r="AK235" s="507">
        <v>0</v>
      </c>
      <c r="AL235" s="507">
        <v>0</v>
      </c>
      <c r="AM235" s="507">
        <v>0</v>
      </c>
      <c r="AN235" s="507"/>
      <c r="AO235" s="507"/>
    </row>
    <row r="236" spans="1:41">
      <c r="A236" s="2" t="s">
        <v>208</v>
      </c>
      <c r="B236" s="2" t="s">
        <v>203</v>
      </c>
      <c r="C236" s="2" t="s">
        <v>175</v>
      </c>
      <c r="D236" s="2" t="s">
        <v>25</v>
      </c>
      <c r="E236" s="2" t="s">
        <v>172</v>
      </c>
      <c r="F236" s="2" t="s">
        <v>173</v>
      </c>
      <c r="G236" s="2" t="s">
        <v>21</v>
      </c>
      <c r="H236">
        <v>1</v>
      </c>
      <c r="I236" s="2" t="s">
        <v>526</v>
      </c>
      <c r="J236" s="3">
        <v>1</v>
      </c>
      <c r="K236" s="3">
        <v>5.2488000000000001</v>
      </c>
      <c r="L236" s="507">
        <v>208515.52218630974</v>
      </c>
      <c r="M236" s="507">
        <v>0</v>
      </c>
      <c r="N236" s="507">
        <v>208515.52218630974</v>
      </c>
      <c r="O236" s="507">
        <v>0</v>
      </c>
      <c r="P236">
        <v>1</v>
      </c>
      <c r="Q236" s="2" t="s">
        <v>526</v>
      </c>
      <c r="R236" s="3">
        <v>1</v>
      </c>
      <c r="S236" s="3">
        <v>5.2488000000000001</v>
      </c>
      <c r="T236" s="507">
        <v>208515.52218630974</v>
      </c>
      <c r="U236" s="507">
        <v>0</v>
      </c>
      <c r="V236" s="507">
        <v>208515.52218630974</v>
      </c>
      <c r="W236" s="507">
        <v>0</v>
      </c>
      <c r="X236" s="507">
        <v>208515.52218630974</v>
      </c>
      <c r="Y236" s="507">
        <v>208515.52218630974</v>
      </c>
      <c r="Z236" s="507">
        <v>1094456.2728515025</v>
      </c>
      <c r="AA236" s="507">
        <v>1094456.2728515025</v>
      </c>
      <c r="AB236" s="507">
        <v>1094456.2728515025</v>
      </c>
      <c r="AC236" s="507">
        <v>0</v>
      </c>
      <c r="AD236" s="507">
        <v>0</v>
      </c>
      <c r="AE236" s="507">
        <v>0</v>
      </c>
      <c r="AF236" s="507"/>
      <c r="AG236" s="507"/>
      <c r="AH236" s="507">
        <v>0</v>
      </c>
      <c r="AI236" s="507">
        <v>0</v>
      </c>
      <c r="AJ236" s="507">
        <v>0</v>
      </c>
      <c r="AK236" s="507">
        <v>0</v>
      </c>
      <c r="AL236" s="507">
        <v>0</v>
      </c>
      <c r="AM236" s="507">
        <v>0</v>
      </c>
      <c r="AN236" s="507"/>
      <c r="AO236" s="507"/>
    </row>
    <row r="237" spans="1:41">
      <c r="A237" s="2" t="s">
        <v>211</v>
      </c>
      <c r="B237" s="2" t="s">
        <v>180</v>
      </c>
      <c r="C237" s="2" t="s">
        <v>175</v>
      </c>
      <c r="D237" s="2" t="s">
        <v>25</v>
      </c>
      <c r="E237" s="2" t="s">
        <v>172</v>
      </c>
      <c r="F237" s="2" t="s">
        <v>173</v>
      </c>
      <c r="G237" s="2" t="s">
        <v>21</v>
      </c>
      <c r="H237">
        <v>1</v>
      </c>
      <c r="I237" s="2" t="s">
        <v>526</v>
      </c>
      <c r="J237" s="3">
        <v>1</v>
      </c>
      <c r="K237" s="3">
        <v>5.2488000000000001</v>
      </c>
      <c r="L237" s="507">
        <v>235171.84357707715</v>
      </c>
      <c r="M237" s="507">
        <v>0</v>
      </c>
      <c r="N237" s="507">
        <v>235171.84357707715</v>
      </c>
      <c r="O237" s="507">
        <v>146.32914188858479</v>
      </c>
      <c r="P237">
        <v>1</v>
      </c>
      <c r="Q237" s="2" t="s">
        <v>526</v>
      </c>
      <c r="R237" s="3">
        <v>1</v>
      </c>
      <c r="S237" s="3">
        <v>5.2488000000000001</v>
      </c>
      <c r="T237" s="507">
        <v>235171.84357707715</v>
      </c>
      <c r="U237" s="507">
        <v>0</v>
      </c>
      <c r="V237" s="507">
        <v>235171.84357707715</v>
      </c>
      <c r="W237" s="507">
        <v>1358.7706570047089</v>
      </c>
      <c r="X237" s="507">
        <v>235318.17271896574</v>
      </c>
      <c r="Y237" s="507">
        <v>236530.61423408185</v>
      </c>
      <c r="Z237" s="507">
        <v>1235138.0249673075</v>
      </c>
      <c r="AA237" s="507">
        <v>1241501.8879918489</v>
      </c>
      <c r="AB237" s="507">
        <v>1241501.8879918489</v>
      </c>
      <c r="AC237" s="507">
        <v>-6363.86</v>
      </c>
      <c r="AD237" s="507">
        <v>-6363.86</v>
      </c>
      <c r="AE237" s="507">
        <v>0</v>
      </c>
      <c r="AF237" s="507"/>
      <c r="AG237" s="507">
        <v>-6363.86</v>
      </c>
      <c r="AH237" s="507">
        <v>0</v>
      </c>
      <c r="AI237" s="507">
        <v>0</v>
      </c>
      <c r="AJ237" s="507">
        <v>0</v>
      </c>
      <c r="AK237" s="507">
        <v>0</v>
      </c>
      <c r="AL237" s="507">
        <v>0</v>
      </c>
      <c r="AM237" s="507">
        <v>0</v>
      </c>
      <c r="AN237" s="507"/>
      <c r="AO237" s="507"/>
    </row>
    <row r="238" spans="1:41">
      <c r="A238" s="2" t="s">
        <v>212</v>
      </c>
      <c r="B238" s="2" t="s">
        <v>213</v>
      </c>
      <c r="C238" s="2" t="s">
        <v>175</v>
      </c>
      <c r="D238" s="2" t="s">
        <v>25</v>
      </c>
      <c r="E238" s="2" t="s">
        <v>172</v>
      </c>
      <c r="F238" s="2" t="s">
        <v>173</v>
      </c>
      <c r="G238" s="2" t="s">
        <v>21</v>
      </c>
      <c r="H238">
        <v>1</v>
      </c>
      <c r="I238" s="2" t="s">
        <v>526</v>
      </c>
      <c r="J238" s="3">
        <v>1</v>
      </c>
      <c r="K238" s="3">
        <v>5.2488000000000001</v>
      </c>
      <c r="L238" s="507">
        <v>1846335.0158826327</v>
      </c>
      <c r="M238" s="507">
        <v>0</v>
      </c>
      <c r="N238" s="507">
        <v>1846335.0158826327</v>
      </c>
      <c r="O238" s="507">
        <v>1956.6022049681783</v>
      </c>
      <c r="P238">
        <v>1</v>
      </c>
      <c r="Q238" s="2" t="s">
        <v>526</v>
      </c>
      <c r="R238" s="3">
        <v>1</v>
      </c>
      <c r="S238" s="3">
        <v>5.2488000000000001</v>
      </c>
      <c r="T238" s="507">
        <v>1846335.0158826327</v>
      </c>
      <c r="U238" s="507">
        <v>0</v>
      </c>
      <c r="V238" s="507">
        <v>1846335.0158826327</v>
      </c>
      <c r="W238" s="507">
        <v>19286.50779186283</v>
      </c>
      <c r="X238" s="507">
        <v>1848291.6180876009</v>
      </c>
      <c r="Y238" s="507">
        <v>1865621.5236744955</v>
      </c>
      <c r="Z238" s="507">
        <v>9701313.0450181998</v>
      </c>
      <c r="AA238" s="507">
        <v>9792274.2534626927</v>
      </c>
      <c r="AB238" s="507">
        <v>9792274.2534626927</v>
      </c>
      <c r="AC238" s="507">
        <v>-90961.21</v>
      </c>
      <c r="AD238" s="507">
        <v>-90961.21</v>
      </c>
      <c r="AE238" s="507">
        <v>0</v>
      </c>
      <c r="AF238" s="507"/>
      <c r="AG238" s="507">
        <v>-90961.21</v>
      </c>
      <c r="AH238" s="507">
        <v>0</v>
      </c>
      <c r="AI238" s="507">
        <v>0</v>
      </c>
      <c r="AJ238" s="507">
        <v>0</v>
      </c>
      <c r="AK238" s="507">
        <v>0</v>
      </c>
      <c r="AL238" s="507">
        <v>0</v>
      </c>
      <c r="AM238" s="507">
        <v>0</v>
      </c>
      <c r="AN238" s="507"/>
      <c r="AO238" s="507"/>
    </row>
    <row r="239" spans="1:41">
      <c r="A239" s="2" t="s">
        <v>214</v>
      </c>
      <c r="B239" s="2" t="s">
        <v>188</v>
      </c>
      <c r="C239" s="2" t="s">
        <v>175</v>
      </c>
      <c r="D239" s="2" t="s">
        <v>25</v>
      </c>
      <c r="E239" s="2" t="s">
        <v>172</v>
      </c>
      <c r="F239" s="2" t="s">
        <v>173</v>
      </c>
      <c r="G239" s="2" t="s">
        <v>21</v>
      </c>
      <c r="H239">
        <v>1</v>
      </c>
      <c r="I239" s="2" t="s">
        <v>526</v>
      </c>
      <c r="J239" s="3">
        <v>1</v>
      </c>
      <c r="K239" s="3">
        <v>5.2488000000000001</v>
      </c>
      <c r="L239" s="507">
        <v>923167.50794131635</v>
      </c>
      <c r="M239" s="507">
        <v>0</v>
      </c>
      <c r="N239" s="507">
        <v>923167.50794131635</v>
      </c>
      <c r="O239" s="507">
        <v>18463.350158826328</v>
      </c>
      <c r="P239">
        <v>1</v>
      </c>
      <c r="Q239" s="2" t="s">
        <v>526</v>
      </c>
      <c r="R239" s="3">
        <v>1</v>
      </c>
      <c r="S239" s="3">
        <v>5.2488000000000001</v>
      </c>
      <c r="T239" s="507">
        <v>923167.50794131635</v>
      </c>
      <c r="U239" s="507">
        <v>0</v>
      </c>
      <c r="V239" s="507">
        <v>923167.50794131635</v>
      </c>
      <c r="W239" s="507">
        <v>14770.680127061059</v>
      </c>
      <c r="X239" s="507">
        <v>941630.85810014268</v>
      </c>
      <c r="Y239" s="507">
        <v>937938.18806837744</v>
      </c>
      <c r="Z239" s="507">
        <v>4942432.0479960293</v>
      </c>
      <c r="AA239" s="507">
        <v>4923049.9615332996</v>
      </c>
      <c r="AB239" s="507">
        <v>4923049.9615332996</v>
      </c>
      <c r="AC239" s="507">
        <v>19382.09</v>
      </c>
      <c r="AD239" s="507">
        <v>19382.09</v>
      </c>
      <c r="AE239" s="507">
        <v>0</v>
      </c>
      <c r="AF239" s="507">
        <v>19382.09</v>
      </c>
      <c r="AG239" s="507"/>
      <c r="AH239" s="507">
        <v>0</v>
      </c>
      <c r="AI239" s="507">
        <v>0</v>
      </c>
      <c r="AJ239" s="507">
        <v>0</v>
      </c>
      <c r="AK239" s="507">
        <v>0</v>
      </c>
      <c r="AL239" s="507">
        <v>0</v>
      </c>
      <c r="AM239" s="507">
        <v>0</v>
      </c>
      <c r="AN239" s="507"/>
      <c r="AO239" s="507"/>
    </row>
    <row r="240" spans="1:41">
      <c r="A240" s="2" t="s">
        <v>976</v>
      </c>
      <c r="B240" s="2" t="s">
        <v>193</v>
      </c>
      <c r="C240" s="2" t="s">
        <v>175</v>
      </c>
      <c r="D240" s="2" t="s">
        <v>25</v>
      </c>
      <c r="E240" s="2" t="s">
        <v>172</v>
      </c>
      <c r="F240" s="2" t="s">
        <v>173</v>
      </c>
      <c r="G240" s="2" t="s">
        <v>21</v>
      </c>
      <c r="H240">
        <v>1</v>
      </c>
      <c r="I240" s="2" t="s">
        <v>526</v>
      </c>
      <c r="J240" s="3">
        <v>1</v>
      </c>
      <c r="K240" s="3">
        <v>5.2488000000000001</v>
      </c>
      <c r="L240" s="507">
        <v>81748.804297192793</v>
      </c>
      <c r="M240" s="507">
        <v>0</v>
      </c>
      <c r="N240" s="507">
        <v>81748.804297192793</v>
      </c>
      <c r="O240" s="507">
        <v>62.787626933762979</v>
      </c>
      <c r="P240">
        <v>1</v>
      </c>
      <c r="Q240" s="2" t="s">
        <v>526</v>
      </c>
      <c r="R240" s="3">
        <v>1</v>
      </c>
      <c r="S240" s="3">
        <v>5.2488000000000001</v>
      </c>
      <c r="T240" s="507">
        <v>81748.804297192793</v>
      </c>
      <c r="U240" s="507">
        <v>0</v>
      </c>
      <c r="V240" s="507">
        <v>81748.804297192793</v>
      </c>
      <c r="W240" s="507">
        <v>591.99759384379797</v>
      </c>
      <c r="X240" s="507">
        <v>81811.591924126551</v>
      </c>
      <c r="Y240" s="507">
        <v>82340.801891036594</v>
      </c>
      <c r="Z240" s="507">
        <v>429412.68369135546</v>
      </c>
      <c r="AA240" s="507">
        <v>432190.40096567286</v>
      </c>
      <c r="AB240" s="507">
        <v>432190.40096567286</v>
      </c>
      <c r="AC240" s="507">
        <v>-2777.72</v>
      </c>
      <c r="AD240" s="507">
        <v>-2777.72</v>
      </c>
      <c r="AE240" s="507">
        <v>0</v>
      </c>
      <c r="AF240" s="507"/>
      <c r="AG240" s="507">
        <v>-2777.72</v>
      </c>
      <c r="AH240" s="507">
        <v>0</v>
      </c>
      <c r="AI240" s="507">
        <v>0</v>
      </c>
      <c r="AJ240" s="507">
        <v>0</v>
      </c>
      <c r="AK240" s="507">
        <v>0</v>
      </c>
      <c r="AL240" s="507">
        <v>0</v>
      </c>
      <c r="AM240" s="507">
        <v>0</v>
      </c>
      <c r="AN240" s="507"/>
      <c r="AO240" s="507"/>
    </row>
    <row r="241" spans="1:41">
      <c r="A241" s="2"/>
      <c r="B241" s="2"/>
      <c r="C241" s="2"/>
      <c r="D241" s="2"/>
      <c r="E241" s="2"/>
      <c r="F241" s="2"/>
      <c r="G241" s="2"/>
      <c r="I241" s="2"/>
      <c r="J241" s="3"/>
      <c r="K241" s="3"/>
      <c r="L241" s="507"/>
      <c r="M241" s="507"/>
      <c r="N241" s="507"/>
      <c r="O241" s="507"/>
      <c r="P241">
        <v>1</v>
      </c>
      <c r="Q241" s="2" t="s">
        <v>526</v>
      </c>
      <c r="R241" s="3">
        <v>1</v>
      </c>
      <c r="S241" s="3">
        <v>5.2488000000000001</v>
      </c>
      <c r="T241" s="507">
        <v>1173950.9410957084</v>
      </c>
      <c r="U241" s="507">
        <v>0</v>
      </c>
      <c r="V241" s="507">
        <v>1173950.9410957084</v>
      </c>
      <c r="W241" s="507">
        <v>0</v>
      </c>
      <c r="X241" s="507"/>
      <c r="Y241" s="507">
        <v>1173950.9410957084</v>
      </c>
      <c r="Z241" s="507"/>
      <c r="AA241" s="507">
        <v>6161833.6996231545</v>
      </c>
      <c r="AB241" s="507"/>
      <c r="AC241" s="507"/>
      <c r="AD241" s="507"/>
      <c r="AE241" s="507"/>
      <c r="AF241" s="507"/>
      <c r="AG241" s="507"/>
      <c r="AH241" s="507"/>
      <c r="AI241" s="507">
        <v>0</v>
      </c>
      <c r="AJ241" s="507"/>
      <c r="AK241" s="507"/>
      <c r="AL241" s="507"/>
      <c r="AM241" s="507"/>
      <c r="AN241" s="507"/>
      <c r="AO241" s="507"/>
    </row>
    <row r="242" spans="1:41">
      <c r="A242" s="2" t="s">
        <v>977</v>
      </c>
      <c r="B242" s="2" t="s">
        <v>209</v>
      </c>
      <c r="C242" s="2" t="s">
        <v>175</v>
      </c>
      <c r="D242" s="2" t="s">
        <v>25</v>
      </c>
      <c r="E242" s="2" t="s">
        <v>172</v>
      </c>
      <c r="F242" s="2" t="s">
        <v>173</v>
      </c>
      <c r="G242" s="2" t="s">
        <v>21</v>
      </c>
      <c r="H242">
        <v>1</v>
      </c>
      <c r="I242" s="2" t="s">
        <v>526</v>
      </c>
      <c r="J242" s="3">
        <v>1</v>
      </c>
      <c r="K242" s="3">
        <v>5.2488000000000001</v>
      </c>
      <c r="L242" s="507">
        <v>470343.68715415429</v>
      </c>
      <c r="M242" s="507">
        <v>0</v>
      </c>
      <c r="N242" s="507">
        <v>470343.68715415429</v>
      </c>
      <c r="O242" s="507">
        <v>388.68680224926567</v>
      </c>
      <c r="P242">
        <v>1</v>
      </c>
      <c r="Q242" s="2" t="s">
        <v>526</v>
      </c>
      <c r="R242" s="3">
        <v>1</v>
      </c>
      <c r="S242" s="3">
        <v>5.2488000000000001</v>
      </c>
      <c r="T242" s="507">
        <v>470343.68715415429</v>
      </c>
      <c r="U242" s="507">
        <v>0</v>
      </c>
      <c r="V242" s="507">
        <v>470343.68715415429</v>
      </c>
      <c r="W242" s="507">
        <v>3664.7612447542415</v>
      </c>
      <c r="X242" s="507">
        <v>470732.37395640358</v>
      </c>
      <c r="Y242" s="507">
        <v>474008.44839890854</v>
      </c>
      <c r="Z242" s="507">
        <v>2470780.0844223714</v>
      </c>
      <c r="AA242" s="507">
        <v>2487975.5439561913</v>
      </c>
      <c r="AB242" s="507">
        <v>2487975.5439561913</v>
      </c>
      <c r="AC242" s="507">
        <v>-17195.46</v>
      </c>
      <c r="AD242" s="507">
        <v>-17195.46</v>
      </c>
      <c r="AE242" s="507">
        <v>0</v>
      </c>
      <c r="AF242" s="507"/>
      <c r="AG242" s="507">
        <v>-17195.46</v>
      </c>
      <c r="AH242" s="507">
        <v>0</v>
      </c>
      <c r="AI242" s="507">
        <v>0</v>
      </c>
      <c r="AJ242" s="507">
        <v>0</v>
      </c>
      <c r="AK242" s="507">
        <v>0</v>
      </c>
      <c r="AL242" s="507">
        <v>0</v>
      </c>
      <c r="AM242" s="507">
        <v>0</v>
      </c>
      <c r="AN242" s="507"/>
      <c r="AO242" s="507"/>
    </row>
    <row r="243" spans="1:41">
      <c r="A243" s="2" t="s">
        <v>978</v>
      </c>
      <c r="B243" s="2" t="s">
        <v>188</v>
      </c>
      <c r="C243" s="2" t="s">
        <v>175</v>
      </c>
      <c r="D243" s="2" t="s">
        <v>25</v>
      </c>
      <c r="E243" s="2" t="s">
        <v>172</v>
      </c>
      <c r="F243" s="2" t="s">
        <v>173</v>
      </c>
      <c r="G243" s="2" t="s">
        <v>21</v>
      </c>
      <c r="H243">
        <v>1</v>
      </c>
      <c r="I243" s="2" t="s">
        <v>526</v>
      </c>
      <c r="J243" s="3">
        <v>1</v>
      </c>
      <c r="K243" s="3">
        <v>5.2488000000000001</v>
      </c>
      <c r="L243" s="507">
        <v>1846335.0158826327</v>
      </c>
      <c r="M243" s="507">
        <v>0</v>
      </c>
      <c r="N243" s="507">
        <v>1846335.0158826327</v>
      </c>
      <c r="O243" s="507">
        <v>33172.485846902462</v>
      </c>
      <c r="P243">
        <v>1</v>
      </c>
      <c r="Q243" s="2" t="s">
        <v>526</v>
      </c>
      <c r="R243" s="3">
        <v>1</v>
      </c>
      <c r="S243" s="3">
        <v>5.2488000000000001</v>
      </c>
      <c r="T243" s="507">
        <v>1846335.0158826327</v>
      </c>
      <c r="U243" s="507">
        <v>0</v>
      </c>
      <c r="V243" s="507">
        <v>1846335.0158826327</v>
      </c>
      <c r="W243" s="507">
        <v>25951.264471965223</v>
      </c>
      <c r="X243" s="507">
        <v>1879507.5017295352</v>
      </c>
      <c r="Y243" s="507">
        <v>1872286.2803545978</v>
      </c>
      <c r="Z243" s="507">
        <v>9865158.9750779849</v>
      </c>
      <c r="AA243" s="507">
        <v>9827256.2283252142</v>
      </c>
      <c r="AB243" s="507">
        <v>9827256.2283252142</v>
      </c>
      <c r="AC243" s="507">
        <v>37902.75</v>
      </c>
      <c r="AD243" s="507">
        <v>37902.75</v>
      </c>
      <c r="AE243" s="507">
        <v>0</v>
      </c>
      <c r="AF243" s="507">
        <v>37902.75</v>
      </c>
      <c r="AG243" s="507"/>
      <c r="AH243" s="507">
        <v>0</v>
      </c>
      <c r="AI243" s="507">
        <v>0</v>
      </c>
      <c r="AJ243" s="507">
        <v>0</v>
      </c>
      <c r="AK243" s="507">
        <v>0</v>
      </c>
      <c r="AL243" s="507">
        <v>0</v>
      </c>
      <c r="AM243" s="507">
        <v>0</v>
      </c>
      <c r="AN243" s="507"/>
      <c r="AO243" s="507"/>
    </row>
    <row r="244" spans="1:41">
      <c r="A244" s="2"/>
      <c r="B244" s="2"/>
      <c r="C244" s="2"/>
      <c r="D244" s="2"/>
      <c r="E244" s="2"/>
      <c r="F244" s="2"/>
      <c r="G244" s="2"/>
      <c r="I244" s="2"/>
      <c r="J244" s="3"/>
      <c r="K244" s="3"/>
      <c r="L244" s="507"/>
      <c r="M244" s="507"/>
      <c r="N244" s="507"/>
      <c r="O244" s="507"/>
      <c r="P244">
        <v>1</v>
      </c>
      <c r="Q244" s="2" t="s">
        <v>526</v>
      </c>
      <c r="R244" s="3">
        <v>1</v>
      </c>
      <c r="S244" s="3">
        <v>5.2488000000000001</v>
      </c>
      <c r="T244" s="507">
        <v>1846335.0158826327</v>
      </c>
      <c r="U244" s="507">
        <v>0</v>
      </c>
      <c r="V244" s="507">
        <v>1846335.0158826327</v>
      </c>
      <c r="W244" s="507">
        <v>0</v>
      </c>
      <c r="X244" s="507"/>
      <c r="Y244" s="507">
        <v>1846335.0158826327</v>
      </c>
      <c r="Z244" s="507"/>
      <c r="AA244" s="507">
        <v>9691043.2313647624</v>
      </c>
      <c r="AB244" s="507"/>
      <c r="AC244" s="507"/>
      <c r="AD244" s="507"/>
      <c r="AE244" s="507"/>
      <c r="AF244" s="507"/>
      <c r="AG244" s="507"/>
      <c r="AH244" s="507"/>
      <c r="AI244" s="507">
        <v>0</v>
      </c>
      <c r="AJ244" s="507"/>
      <c r="AK244" s="507"/>
      <c r="AL244" s="507"/>
      <c r="AM244" s="507"/>
      <c r="AN244" s="507"/>
      <c r="AO244" s="507"/>
    </row>
    <row r="245" spans="1:41">
      <c r="A245" s="2" t="s">
        <v>979</v>
      </c>
      <c r="B245" s="2" t="s">
        <v>178</v>
      </c>
      <c r="C245" s="2" t="s">
        <v>175</v>
      </c>
      <c r="D245" s="2" t="s">
        <v>25</v>
      </c>
      <c r="E245" s="2" t="s">
        <v>172</v>
      </c>
      <c r="F245" s="2" t="s">
        <v>173</v>
      </c>
      <c r="G245" s="2" t="s">
        <v>21</v>
      </c>
      <c r="H245">
        <v>1</v>
      </c>
      <c r="I245" s="2" t="s">
        <v>526</v>
      </c>
      <c r="J245" s="3">
        <v>1</v>
      </c>
      <c r="K245" s="3">
        <v>5.2488000000000001</v>
      </c>
      <c r="L245" s="507">
        <v>208515.52218630974</v>
      </c>
      <c r="M245" s="507">
        <v>0</v>
      </c>
      <c r="N245" s="507">
        <v>208515.52218630974</v>
      </c>
      <c r="O245" s="507">
        <v>166.23320333151867</v>
      </c>
      <c r="P245">
        <v>1</v>
      </c>
      <c r="Q245" s="2" t="s">
        <v>526</v>
      </c>
      <c r="R245" s="3">
        <v>1</v>
      </c>
      <c r="S245" s="3">
        <v>5.2488000000000001</v>
      </c>
      <c r="T245" s="507">
        <v>208515.52218630974</v>
      </c>
      <c r="U245" s="507">
        <v>0</v>
      </c>
      <c r="V245" s="507">
        <v>208515.52218630974</v>
      </c>
      <c r="W245" s="507">
        <v>118.73799642206983</v>
      </c>
      <c r="X245" s="507">
        <v>208681.75538964127</v>
      </c>
      <c r="Y245" s="507">
        <v>208634.26018273181</v>
      </c>
      <c r="Z245" s="507">
        <v>1095328.7976891492</v>
      </c>
      <c r="AA245" s="507">
        <v>1095079.5048471228</v>
      </c>
      <c r="AB245" s="507">
        <v>1095079.5048471228</v>
      </c>
      <c r="AC245" s="507">
        <v>249.29</v>
      </c>
      <c r="AD245" s="507">
        <v>249.29</v>
      </c>
      <c r="AE245" s="507">
        <v>0</v>
      </c>
      <c r="AF245" s="507">
        <v>249.29</v>
      </c>
      <c r="AG245" s="507"/>
      <c r="AH245" s="507">
        <v>0</v>
      </c>
      <c r="AI245" s="507">
        <v>0</v>
      </c>
      <c r="AJ245" s="507">
        <v>0</v>
      </c>
      <c r="AK245" s="507">
        <v>0</v>
      </c>
      <c r="AL245" s="507">
        <v>0</v>
      </c>
      <c r="AM245" s="507">
        <v>0</v>
      </c>
      <c r="AN245" s="507"/>
      <c r="AO245" s="507"/>
    </row>
    <row r="246" spans="1:41">
      <c r="A246" s="2" t="s">
        <v>980</v>
      </c>
      <c r="B246" s="2" t="s">
        <v>181</v>
      </c>
      <c r="C246" s="2" t="s">
        <v>175</v>
      </c>
      <c r="D246" s="2" t="s">
        <v>25</v>
      </c>
      <c r="E246" s="2" t="s">
        <v>172</v>
      </c>
      <c r="F246" s="2" t="s">
        <v>173</v>
      </c>
      <c r="G246" s="2" t="s">
        <v>21</v>
      </c>
      <c r="H246">
        <v>1</v>
      </c>
      <c r="I246" s="2" t="s">
        <v>526</v>
      </c>
      <c r="J246" s="3">
        <v>1</v>
      </c>
      <c r="K246" s="3">
        <v>5.2488000000000001</v>
      </c>
      <c r="L246" s="507">
        <v>586975.4705478542</v>
      </c>
      <c r="M246" s="507">
        <v>0</v>
      </c>
      <c r="N246" s="507">
        <v>586975.4705478542</v>
      </c>
      <c r="O246" s="507">
        <v>0</v>
      </c>
      <c r="P246">
        <v>1</v>
      </c>
      <c r="Q246" s="2" t="s">
        <v>526</v>
      </c>
      <c r="R246" s="3">
        <v>1</v>
      </c>
      <c r="S246" s="3">
        <v>5.2488000000000001</v>
      </c>
      <c r="T246" s="507">
        <v>586975.4705478542</v>
      </c>
      <c r="U246" s="507">
        <v>0</v>
      </c>
      <c r="V246" s="507">
        <v>586975.4705478542</v>
      </c>
      <c r="W246" s="507">
        <v>0</v>
      </c>
      <c r="X246" s="507">
        <v>586975.4705478542</v>
      </c>
      <c r="Y246" s="507">
        <v>586975.4705478542</v>
      </c>
      <c r="Z246" s="507">
        <v>3080916.8498115772</v>
      </c>
      <c r="AA246" s="507">
        <v>3080916.8498115772</v>
      </c>
      <c r="AB246" s="507">
        <v>3080916.8498115772</v>
      </c>
      <c r="AC246" s="507">
        <v>0</v>
      </c>
      <c r="AD246" s="507">
        <v>0</v>
      </c>
      <c r="AE246" s="507">
        <v>0</v>
      </c>
      <c r="AF246" s="507"/>
      <c r="AG246" s="507"/>
      <c r="AH246" s="507">
        <v>0</v>
      </c>
      <c r="AI246" s="507">
        <v>0</v>
      </c>
      <c r="AJ246" s="507">
        <v>0</v>
      </c>
      <c r="AK246" s="507">
        <v>0</v>
      </c>
      <c r="AL246" s="507">
        <v>0</v>
      </c>
      <c r="AM246" s="507">
        <v>0</v>
      </c>
      <c r="AN246" s="507"/>
      <c r="AO246" s="507"/>
    </row>
    <row r="247" spans="1:41">
      <c r="A247" s="2" t="s">
        <v>981</v>
      </c>
      <c r="B247" s="2" t="s">
        <v>982</v>
      </c>
      <c r="C247" s="2" t="s">
        <v>175</v>
      </c>
      <c r="D247" s="2" t="s">
        <v>25</v>
      </c>
      <c r="E247" s="2" t="s">
        <v>172</v>
      </c>
      <c r="F247" s="2" t="s">
        <v>173</v>
      </c>
      <c r="G247" s="2" t="s">
        <v>21</v>
      </c>
      <c r="H247">
        <v>1</v>
      </c>
      <c r="I247" s="2" t="s">
        <v>526</v>
      </c>
      <c r="J247" s="3">
        <v>1</v>
      </c>
      <c r="K247" s="3">
        <v>5.2488000000000001</v>
      </c>
      <c r="L247" s="507">
        <v>235171.84357707715</v>
      </c>
      <c r="M247" s="507">
        <v>0</v>
      </c>
      <c r="N247" s="507">
        <v>235171.84357707715</v>
      </c>
      <c r="O247" s="507">
        <v>242.35766036068088</v>
      </c>
      <c r="P247">
        <v>1</v>
      </c>
      <c r="Q247" s="2" t="s">
        <v>526</v>
      </c>
      <c r="R247" s="3">
        <v>1</v>
      </c>
      <c r="S247" s="3">
        <v>5.2488000000000001</v>
      </c>
      <c r="T247" s="507">
        <v>235171.84357707715</v>
      </c>
      <c r="U247" s="507">
        <v>0</v>
      </c>
      <c r="V247" s="507">
        <v>235171.84357707715</v>
      </c>
      <c r="W247" s="507">
        <v>2285.0863977458102</v>
      </c>
      <c r="X247" s="507">
        <v>235414.20123743784</v>
      </c>
      <c r="Y247" s="507">
        <v>237456.92997482297</v>
      </c>
      <c r="Z247" s="507">
        <v>1235642.0594550637</v>
      </c>
      <c r="AA247" s="507">
        <v>1246363.9340518508</v>
      </c>
      <c r="AB247" s="507">
        <v>1246363.9340518508</v>
      </c>
      <c r="AC247" s="507">
        <v>-10721.87</v>
      </c>
      <c r="AD247" s="507">
        <v>-10721.87</v>
      </c>
      <c r="AE247" s="507">
        <v>0</v>
      </c>
      <c r="AF247" s="507"/>
      <c r="AG247" s="507">
        <v>-10721.87</v>
      </c>
      <c r="AH247" s="507">
        <v>0</v>
      </c>
      <c r="AI247" s="507">
        <v>0</v>
      </c>
      <c r="AJ247" s="507">
        <v>0</v>
      </c>
      <c r="AK247" s="507">
        <v>0</v>
      </c>
      <c r="AL247" s="507">
        <v>0</v>
      </c>
      <c r="AM247" s="507">
        <v>0</v>
      </c>
      <c r="AN247" s="507"/>
      <c r="AO247" s="507"/>
    </row>
    <row r="248" spans="1:41">
      <c r="A248" s="2" t="s">
        <v>983</v>
      </c>
      <c r="B248" s="2" t="s">
        <v>177</v>
      </c>
      <c r="C248" s="2" t="s">
        <v>175</v>
      </c>
      <c r="D248" s="2" t="s">
        <v>25</v>
      </c>
      <c r="E248" s="2" t="s">
        <v>172</v>
      </c>
      <c r="F248" s="2" t="s">
        <v>173</v>
      </c>
      <c r="G248" s="2" t="s">
        <v>21</v>
      </c>
      <c r="H248">
        <v>1</v>
      </c>
      <c r="I248" s="2" t="s">
        <v>526</v>
      </c>
      <c r="J248" s="3">
        <v>1</v>
      </c>
      <c r="K248" s="3">
        <v>5.2488000000000001</v>
      </c>
      <c r="L248" s="507">
        <v>320793.11137665424</v>
      </c>
      <c r="M248" s="507">
        <v>0</v>
      </c>
      <c r="N248" s="507">
        <v>320793.11137665424</v>
      </c>
      <c r="O248" s="507">
        <v>227.67399091944455</v>
      </c>
      <c r="P248">
        <v>1</v>
      </c>
      <c r="Q248" s="2" t="s">
        <v>526</v>
      </c>
      <c r="R248" s="3">
        <v>1</v>
      </c>
      <c r="S248" s="3">
        <v>5.2488000000000001</v>
      </c>
      <c r="T248" s="507">
        <v>320793.11137665424</v>
      </c>
      <c r="U248" s="507">
        <v>0</v>
      </c>
      <c r="V248" s="507">
        <v>320793.11137665424</v>
      </c>
      <c r="W248" s="507">
        <v>2276.7399926006542</v>
      </c>
      <c r="X248" s="507">
        <v>321020.78536757367</v>
      </c>
      <c r="Y248" s="507">
        <v>323069.85136925487</v>
      </c>
      <c r="Z248" s="507">
        <v>1684973.8982373208</v>
      </c>
      <c r="AA248" s="507">
        <v>1695729.0358669451</v>
      </c>
      <c r="AB248" s="507">
        <v>1695729.0358669451</v>
      </c>
      <c r="AC248" s="507">
        <v>-10755.14</v>
      </c>
      <c r="AD248" s="507">
        <v>-10755.14</v>
      </c>
      <c r="AE248" s="507">
        <v>0</v>
      </c>
      <c r="AF248" s="507"/>
      <c r="AG248" s="507">
        <v>-10755.14</v>
      </c>
      <c r="AH248" s="507">
        <v>0</v>
      </c>
      <c r="AI248" s="507">
        <v>0</v>
      </c>
      <c r="AJ248" s="507">
        <v>0</v>
      </c>
      <c r="AK248" s="507">
        <v>0</v>
      </c>
      <c r="AL248" s="507">
        <v>0</v>
      </c>
      <c r="AM248" s="507">
        <v>0</v>
      </c>
      <c r="AN248" s="507"/>
      <c r="AO248" s="507"/>
    </row>
    <row r="249" spans="1:41">
      <c r="A249" s="2" t="s">
        <v>984</v>
      </c>
      <c r="B249" s="2" t="s">
        <v>177</v>
      </c>
      <c r="C249" s="2" t="s">
        <v>175</v>
      </c>
      <c r="D249" s="2" t="s">
        <v>25</v>
      </c>
      <c r="E249" s="2" t="s">
        <v>172</v>
      </c>
      <c r="F249" s="2" t="s">
        <v>173</v>
      </c>
      <c r="G249" s="2" t="s">
        <v>21</v>
      </c>
      <c r="H249">
        <v>1</v>
      </c>
      <c r="I249" s="2" t="s">
        <v>526</v>
      </c>
      <c r="J249" s="3">
        <v>1</v>
      </c>
      <c r="K249" s="3">
        <v>5.2488000000000001</v>
      </c>
      <c r="L249" s="507">
        <v>200495.69408912011</v>
      </c>
      <c r="M249" s="507">
        <v>0</v>
      </c>
      <c r="N249" s="507">
        <v>200495.69408912011</v>
      </c>
      <c r="O249" s="507">
        <v>142.2962469310969</v>
      </c>
      <c r="P249">
        <v>1</v>
      </c>
      <c r="Q249" s="2" t="s">
        <v>526</v>
      </c>
      <c r="R249" s="3">
        <v>1</v>
      </c>
      <c r="S249" s="3">
        <v>5.2488000000000001</v>
      </c>
      <c r="T249" s="507">
        <v>200495.69408912011</v>
      </c>
      <c r="U249" s="507">
        <v>0</v>
      </c>
      <c r="V249" s="507">
        <v>200495.69408912011</v>
      </c>
      <c r="W249" s="507">
        <v>1422.9624901625209</v>
      </c>
      <c r="X249" s="507">
        <v>200637.99033605121</v>
      </c>
      <c r="Y249" s="507">
        <v>201918.65657928263</v>
      </c>
      <c r="Z249" s="507">
        <v>1053108.6836758656</v>
      </c>
      <c r="AA249" s="507">
        <v>1059830.6446533387</v>
      </c>
      <c r="AB249" s="507">
        <v>1059830.6446533387</v>
      </c>
      <c r="AC249" s="507">
        <v>-6721.96</v>
      </c>
      <c r="AD249" s="507">
        <v>-6721.96</v>
      </c>
      <c r="AE249" s="507">
        <v>0</v>
      </c>
      <c r="AF249" s="507"/>
      <c r="AG249" s="507">
        <v>-6721.96</v>
      </c>
      <c r="AH249" s="507">
        <v>0</v>
      </c>
      <c r="AI249" s="507">
        <v>0</v>
      </c>
      <c r="AJ249" s="507">
        <v>0</v>
      </c>
      <c r="AK249" s="507">
        <v>0</v>
      </c>
      <c r="AL249" s="507">
        <v>0</v>
      </c>
      <c r="AM249" s="507">
        <v>0</v>
      </c>
      <c r="AN249" s="507"/>
      <c r="AO249" s="507"/>
    </row>
    <row r="250" spans="1:41">
      <c r="A250" s="2" t="s">
        <v>985</v>
      </c>
      <c r="B250" s="2" t="s">
        <v>986</v>
      </c>
      <c r="C250" s="2" t="s">
        <v>175</v>
      </c>
      <c r="D250" s="2" t="s">
        <v>25</v>
      </c>
      <c r="E250" s="2" t="s">
        <v>172</v>
      </c>
      <c r="F250" s="2" t="s">
        <v>173</v>
      </c>
      <c r="G250" s="2" t="s">
        <v>21</v>
      </c>
      <c r="H250">
        <v>1</v>
      </c>
      <c r="I250" s="2" t="s">
        <v>526</v>
      </c>
      <c r="J250" s="3">
        <v>1</v>
      </c>
      <c r="K250" s="3">
        <v>5.2488000000000001</v>
      </c>
      <c r="L250" s="507">
        <v>1846335.0158826327</v>
      </c>
      <c r="M250" s="507">
        <v>0</v>
      </c>
      <c r="N250" s="507">
        <v>1846335.0158826327</v>
      </c>
      <c r="O250" s="507">
        <v>1615.5431388973034</v>
      </c>
      <c r="P250">
        <v>1</v>
      </c>
      <c r="Q250" s="2" t="s">
        <v>526</v>
      </c>
      <c r="R250" s="3">
        <v>1</v>
      </c>
      <c r="S250" s="3">
        <v>5.2488000000000001</v>
      </c>
      <c r="T250" s="507">
        <v>1846335.0158826327</v>
      </c>
      <c r="U250" s="507">
        <v>0</v>
      </c>
      <c r="V250" s="507">
        <v>1846335.0158826327</v>
      </c>
      <c r="W250" s="507">
        <v>15232.263881031718</v>
      </c>
      <c r="X250" s="507">
        <v>1847950.55902153</v>
      </c>
      <c r="Y250" s="507">
        <v>1861567.2797636644</v>
      </c>
      <c r="Z250" s="507">
        <v>9699522.8941922076</v>
      </c>
      <c r="AA250" s="507">
        <v>9770994.338023521</v>
      </c>
      <c r="AB250" s="507">
        <v>9770994.338023521</v>
      </c>
      <c r="AC250" s="507">
        <v>-71471.44</v>
      </c>
      <c r="AD250" s="507">
        <v>-71471.44</v>
      </c>
      <c r="AE250" s="507">
        <v>0</v>
      </c>
      <c r="AF250" s="507"/>
      <c r="AG250" s="507">
        <v>-71471.44</v>
      </c>
      <c r="AH250" s="507">
        <v>0</v>
      </c>
      <c r="AI250" s="507">
        <v>0</v>
      </c>
      <c r="AJ250" s="507">
        <v>0</v>
      </c>
      <c r="AK250" s="507">
        <v>0</v>
      </c>
      <c r="AL250" s="507">
        <v>0</v>
      </c>
      <c r="AM250" s="507">
        <v>0</v>
      </c>
      <c r="AN250" s="507"/>
      <c r="AO250" s="507"/>
    </row>
    <row r="251" spans="1:41">
      <c r="A251" s="2" t="s">
        <v>987</v>
      </c>
      <c r="B251" s="2" t="s">
        <v>988</v>
      </c>
      <c r="C251" s="2" t="s">
        <v>175</v>
      </c>
      <c r="D251" s="2" t="s">
        <v>25</v>
      </c>
      <c r="E251" s="2" t="s">
        <v>172</v>
      </c>
      <c r="F251" s="2" t="s">
        <v>173</v>
      </c>
      <c r="G251" s="2" t="s">
        <v>21</v>
      </c>
      <c r="H251">
        <v>1</v>
      </c>
      <c r="I251" s="2" t="s">
        <v>526</v>
      </c>
      <c r="J251" s="3">
        <v>1</v>
      </c>
      <c r="K251" s="3">
        <v>5.2488000000000001</v>
      </c>
      <c r="L251" s="507">
        <v>1173950.9410957084</v>
      </c>
      <c r="M251" s="507">
        <v>0</v>
      </c>
      <c r="N251" s="507">
        <v>1173950.9410957084</v>
      </c>
      <c r="O251" s="507">
        <v>935.89975195239094</v>
      </c>
      <c r="P251">
        <v>1</v>
      </c>
      <c r="Q251" s="2" t="s">
        <v>526</v>
      </c>
      <c r="R251" s="3">
        <v>1</v>
      </c>
      <c r="S251" s="3">
        <v>5.2488000000000001</v>
      </c>
      <c r="T251" s="507">
        <v>1173950.9410957084</v>
      </c>
      <c r="U251" s="507">
        <v>0</v>
      </c>
      <c r="V251" s="507">
        <v>1173950.9410957084</v>
      </c>
      <c r="W251" s="507">
        <v>8824.1979463677726</v>
      </c>
      <c r="X251" s="507">
        <v>1174886.8408476608</v>
      </c>
      <c r="Y251" s="507">
        <v>1182775.1390420762</v>
      </c>
      <c r="Z251" s="507">
        <v>6166746.0502412021</v>
      </c>
      <c r="AA251" s="507">
        <v>6208150.1498040501</v>
      </c>
      <c r="AB251" s="507">
        <v>6208150.1498040501</v>
      </c>
      <c r="AC251" s="507">
        <v>-41404.1</v>
      </c>
      <c r="AD251" s="507">
        <v>-41404.1</v>
      </c>
      <c r="AE251" s="507">
        <v>0</v>
      </c>
      <c r="AF251" s="507"/>
      <c r="AG251" s="507">
        <v>-41404.1</v>
      </c>
      <c r="AH251" s="507">
        <v>0</v>
      </c>
      <c r="AI251" s="507">
        <v>0</v>
      </c>
      <c r="AJ251" s="507">
        <v>0</v>
      </c>
      <c r="AK251" s="507">
        <v>0</v>
      </c>
      <c r="AL251" s="507">
        <v>0</v>
      </c>
      <c r="AM251" s="507">
        <v>0</v>
      </c>
      <c r="AN251" s="507"/>
      <c r="AO251" s="507"/>
    </row>
    <row r="252" spans="1:41">
      <c r="A252" s="2" t="s">
        <v>989</v>
      </c>
      <c r="B252" s="2" t="s">
        <v>188</v>
      </c>
      <c r="C252" s="2" t="s">
        <v>175</v>
      </c>
      <c r="D252" s="2" t="s">
        <v>25</v>
      </c>
      <c r="E252" s="2" t="s">
        <v>172</v>
      </c>
      <c r="F252" s="2" t="s">
        <v>173</v>
      </c>
      <c r="G252" s="2" t="s">
        <v>21</v>
      </c>
      <c r="H252">
        <v>1</v>
      </c>
      <c r="I252" s="2" t="s">
        <v>526</v>
      </c>
      <c r="J252" s="3">
        <v>1</v>
      </c>
      <c r="K252" s="3">
        <v>5.2488000000000001</v>
      </c>
      <c r="L252" s="507">
        <v>923167.50794131635</v>
      </c>
      <c r="M252" s="507">
        <v>0</v>
      </c>
      <c r="N252" s="507">
        <v>923167.50794131635</v>
      </c>
      <c r="O252" s="507">
        <v>11193.40603378846</v>
      </c>
      <c r="P252">
        <v>1</v>
      </c>
      <c r="Q252" s="2" t="s">
        <v>526</v>
      </c>
      <c r="R252" s="3">
        <v>1</v>
      </c>
      <c r="S252" s="3">
        <v>5.2488000000000001</v>
      </c>
      <c r="T252" s="507">
        <v>923167.50794131635</v>
      </c>
      <c r="U252" s="507">
        <v>0</v>
      </c>
      <c r="V252" s="507">
        <v>923167.50794131635</v>
      </c>
      <c r="W252" s="507">
        <v>7500.7360020231954</v>
      </c>
      <c r="X252" s="507">
        <v>934360.91397510481</v>
      </c>
      <c r="Y252" s="507">
        <v>930668.24394333956</v>
      </c>
      <c r="Z252" s="507">
        <v>4904273.5652725305</v>
      </c>
      <c r="AA252" s="507">
        <v>4884891.4788098009</v>
      </c>
      <c r="AB252" s="507">
        <v>4884891.4788098009</v>
      </c>
      <c r="AC252" s="507">
        <v>19382.09</v>
      </c>
      <c r="AD252" s="507">
        <v>19382.09</v>
      </c>
      <c r="AE252" s="507">
        <v>0</v>
      </c>
      <c r="AF252" s="507">
        <v>19382.09</v>
      </c>
      <c r="AG252" s="507"/>
      <c r="AH252" s="507">
        <v>0</v>
      </c>
      <c r="AI252" s="507">
        <v>0</v>
      </c>
      <c r="AJ252" s="507">
        <v>0</v>
      </c>
      <c r="AK252" s="507">
        <v>0</v>
      </c>
      <c r="AL252" s="507">
        <v>0</v>
      </c>
      <c r="AM252" s="507">
        <v>0</v>
      </c>
      <c r="AN252" s="507"/>
      <c r="AO252" s="507"/>
    </row>
    <row r="253" spans="1:41">
      <c r="A253" s="2" t="s">
        <v>990</v>
      </c>
      <c r="B253" s="2" t="s">
        <v>991</v>
      </c>
      <c r="C253" s="2" t="s">
        <v>175</v>
      </c>
      <c r="D253" s="2" t="s">
        <v>25</v>
      </c>
      <c r="E253" s="2" t="s">
        <v>172</v>
      </c>
      <c r="F253" s="2" t="s">
        <v>173</v>
      </c>
      <c r="G253" s="2" t="s">
        <v>21</v>
      </c>
      <c r="H253">
        <v>1</v>
      </c>
      <c r="I253" s="2" t="s">
        <v>526</v>
      </c>
      <c r="J253" s="3">
        <v>1</v>
      </c>
      <c r="K253" s="3">
        <v>5.2488000000000001</v>
      </c>
      <c r="L253" s="507">
        <v>470343.68715415429</v>
      </c>
      <c r="M253" s="507">
        <v>0</v>
      </c>
      <c r="N253" s="507">
        <v>470343.68715415429</v>
      </c>
      <c r="O253" s="507">
        <v>384.11402685401561</v>
      </c>
      <c r="P253">
        <v>1</v>
      </c>
      <c r="Q253" s="2" t="s">
        <v>526</v>
      </c>
      <c r="R253" s="3">
        <v>1</v>
      </c>
      <c r="S253" s="3">
        <v>5.2488000000000001</v>
      </c>
      <c r="T253" s="507">
        <v>470343.68715415429</v>
      </c>
      <c r="U253" s="507">
        <v>0</v>
      </c>
      <c r="V253" s="507">
        <v>470343.68715415429</v>
      </c>
      <c r="W253" s="507">
        <v>3347.2792559251875</v>
      </c>
      <c r="X253" s="507">
        <v>470727.80118100828</v>
      </c>
      <c r="Y253" s="507">
        <v>473690.96641007951</v>
      </c>
      <c r="Z253" s="507">
        <v>2470756.0828388762</v>
      </c>
      <c r="AA253" s="507">
        <v>2486309.1444932255</v>
      </c>
      <c r="AB253" s="507">
        <v>2486309.1444932255</v>
      </c>
      <c r="AC253" s="507">
        <v>-15553.06</v>
      </c>
      <c r="AD253" s="507">
        <v>-15553.06</v>
      </c>
      <c r="AE253" s="507">
        <v>0</v>
      </c>
      <c r="AF253" s="507"/>
      <c r="AG253" s="507">
        <v>-15553.06</v>
      </c>
      <c r="AH253" s="507">
        <v>0</v>
      </c>
      <c r="AI253" s="507">
        <v>0</v>
      </c>
      <c r="AJ253" s="507">
        <v>0</v>
      </c>
      <c r="AK253" s="507">
        <v>0</v>
      </c>
      <c r="AL253" s="507">
        <v>0</v>
      </c>
      <c r="AM253" s="507">
        <v>0</v>
      </c>
      <c r="AN253" s="507"/>
      <c r="AO253" s="507"/>
    </row>
    <row r="254" spans="1:41">
      <c r="A254" s="2" t="s">
        <v>992</v>
      </c>
      <c r="B254" s="2" t="s">
        <v>993</v>
      </c>
      <c r="C254" s="2" t="s">
        <v>175</v>
      </c>
      <c r="D254" s="2" t="s">
        <v>25</v>
      </c>
      <c r="E254" s="2" t="s">
        <v>172</v>
      </c>
      <c r="F254" s="2" t="s">
        <v>173</v>
      </c>
      <c r="G254" s="2" t="s">
        <v>21</v>
      </c>
      <c r="H254">
        <v>1</v>
      </c>
      <c r="I254" s="2" t="s">
        <v>526</v>
      </c>
      <c r="J254" s="3">
        <v>1</v>
      </c>
      <c r="K254" s="3">
        <v>5.2488000000000001</v>
      </c>
      <c r="L254" s="507">
        <v>923167.50794131635</v>
      </c>
      <c r="M254" s="507">
        <v>0</v>
      </c>
      <c r="N254" s="507">
        <v>923167.50794131635</v>
      </c>
      <c r="O254" s="507">
        <v>1041.1278211375402</v>
      </c>
      <c r="P254">
        <v>1</v>
      </c>
      <c r="Q254" s="2" t="s">
        <v>526</v>
      </c>
      <c r="R254" s="3">
        <v>1</v>
      </c>
      <c r="S254" s="3">
        <v>5.2488000000000001</v>
      </c>
      <c r="T254" s="507">
        <v>923167.50794131635</v>
      </c>
      <c r="U254" s="507">
        <v>0</v>
      </c>
      <c r="V254" s="507">
        <v>923167.50794131635</v>
      </c>
      <c r="W254" s="507">
        <v>8923.9525152215556</v>
      </c>
      <c r="X254" s="507">
        <v>924208.63576245389</v>
      </c>
      <c r="Y254" s="507">
        <v>932091.4604565379</v>
      </c>
      <c r="Z254" s="507">
        <v>4850986.2873899685</v>
      </c>
      <c r="AA254" s="507">
        <v>4892361.6576442765</v>
      </c>
      <c r="AB254" s="507">
        <v>4892361.6576442765</v>
      </c>
      <c r="AC254" s="507">
        <v>-41375.370000000003</v>
      </c>
      <c r="AD254" s="507">
        <v>-41375.370000000003</v>
      </c>
      <c r="AE254" s="507">
        <v>0</v>
      </c>
      <c r="AF254" s="507"/>
      <c r="AG254" s="507">
        <v>-41375.370000000003</v>
      </c>
      <c r="AH254" s="507">
        <v>0</v>
      </c>
      <c r="AI254" s="507">
        <v>0</v>
      </c>
      <c r="AJ254" s="507">
        <v>0</v>
      </c>
      <c r="AK254" s="507">
        <v>0</v>
      </c>
      <c r="AL254" s="507">
        <v>0</v>
      </c>
      <c r="AM254" s="507">
        <v>0</v>
      </c>
      <c r="AN254" s="507"/>
      <c r="AO254" s="507"/>
    </row>
    <row r="255" spans="1:41">
      <c r="A255" s="2" t="s">
        <v>994</v>
      </c>
      <c r="B255" s="2" t="s">
        <v>991</v>
      </c>
      <c r="C255" s="2" t="s">
        <v>175</v>
      </c>
      <c r="D255" s="2" t="s">
        <v>25</v>
      </c>
      <c r="E255" s="2" t="s">
        <v>172</v>
      </c>
      <c r="F255" s="2" t="s">
        <v>173</v>
      </c>
      <c r="G255" s="2" t="s">
        <v>21</v>
      </c>
      <c r="H255">
        <v>1</v>
      </c>
      <c r="I255" s="2" t="s">
        <v>526</v>
      </c>
      <c r="J255" s="3">
        <v>1</v>
      </c>
      <c r="K255" s="3">
        <v>5.2488000000000001</v>
      </c>
      <c r="L255" s="507">
        <v>470343.68715415429</v>
      </c>
      <c r="M255" s="507">
        <v>0</v>
      </c>
      <c r="N255" s="507">
        <v>470343.68715415429</v>
      </c>
      <c r="O255" s="507">
        <v>384.11402685401561</v>
      </c>
      <c r="P255">
        <v>1</v>
      </c>
      <c r="Q255" s="2" t="s">
        <v>526</v>
      </c>
      <c r="R255" s="3">
        <v>1</v>
      </c>
      <c r="S255" s="3">
        <v>5.2488000000000001</v>
      </c>
      <c r="T255" s="507">
        <v>470343.68715415429</v>
      </c>
      <c r="U255" s="507">
        <v>0</v>
      </c>
      <c r="V255" s="507">
        <v>470343.68715415429</v>
      </c>
      <c r="W255" s="507">
        <v>3237.5323642329722</v>
      </c>
      <c r="X255" s="507">
        <v>470727.80118100828</v>
      </c>
      <c r="Y255" s="507">
        <v>473581.21951838728</v>
      </c>
      <c r="Z255" s="507">
        <v>2470756.0828388762</v>
      </c>
      <c r="AA255" s="507">
        <v>2485733.1050081113</v>
      </c>
      <c r="AB255" s="507">
        <v>2485733.1050081113</v>
      </c>
      <c r="AC255" s="507">
        <v>-14977.02</v>
      </c>
      <c r="AD255" s="507">
        <v>-14977.02</v>
      </c>
      <c r="AE255" s="507">
        <v>0</v>
      </c>
      <c r="AF255" s="507"/>
      <c r="AG255" s="507">
        <v>-14977.02</v>
      </c>
      <c r="AH255" s="507">
        <v>0</v>
      </c>
      <c r="AI255" s="507">
        <v>0</v>
      </c>
      <c r="AJ255" s="507">
        <v>0</v>
      </c>
      <c r="AK255" s="507">
        <v>0</v>
      </c>
      <c r="AL255" s="507">
        <v>0</v>
      </c>
      <c r="AM255" s="507">
        <v>0</v>
      </c>
      <c r="AN255" s="507"/>
      <c r="AO255" s="507"/>
    </row>
    <row r="256" spans="1:41">
      <c r="A256" s="2"/>
      <c r="B256" s="2"/>
      <c r="C256" s="2"/>
      <c r="D256" s="2"/>
      <c r="E256" s="2"/>
      <c r="F256" s="2"/>
      <c r="G256" s="2"/>
      <c r="I256" s="2"/>
      <c r="J256" s="3"/>
      <c r="K256" s="3"/>
      <c r="L256" s="507"/>
      <c r="M256" s="507"/>
      <c r="N256" s="507"/>
      <c r="O256" s="507"/>
      <c r="P256">
        <v>1</v>
      </c>
      <c r="Q256" s="2" t="s">
        <v>526</v>
      </c>
      <c r="R256" s="3">
        <v>1</v>
      </c>
      <c r="S256" s="3">
        <v>5.2488000000000001</v>
      </c>
      <c r="T256" s="507">
        <v>376274.9497233234</v>
      </c>
      <c r="U256" s="507">
        <v>0</v>
      </c>
      <c r="V256" s="507">
        <v>376274.9497233234</v>
      </c>
      <c r="W256" s="507">
        <v>0</v>
      </c>
      <c r="X256" s="507"/>
      <c r="Y256" s="507">
        <v>376274.9497233234</v>
      </c>
      <c r="Z256" s="507"/>
      <c r="AA256" s="507">
        <v>1974991.9561077799</v>
      </c>
      <c r="AB256" s="507"/>
      <c r="AC256" s="507"/>
      <c r="AD256" s="507"/>
      <c r="AE256" s="507"/>
      <c r="AF256" s="507"/>
      <c r="AG256" s="507"/>
      <c r="AH256" s="507"/>
      <c r="AI256" s="507">
        <v>0</v>
      </c>
      <c r="AJ256" s="507"/>
      <c r="AK256" s="507"/>
      <c r="AL256" s="507"/>
      <c r="AM256" s="507"/>
      <c r="AN256" s="507"/>
      <c r="AO256" s="507"/>
    </row>
    <row r="257" spans="1:41">
      <c r="A257" s="2" t="s">
        <v>995</v>
      </c>
      <c r="B257" s="2" t="s">
        <v>183</v>
      </c>
      <c r="C257" s="2" t="s">
        <v>175</v>
      </c>
      <c r="D257" s="2" t="s">
        <v>25</v>
      </c>
      <c r="E257" s="2" t="s">
        <v>172</v>
      </c>
      <c r="F257" s="2" t="s">
        <v>173</v>
      </c>
      <c r="G257" s="2" t="s">
        <v>21</v>
      </c>
      <c r="H257">
        <v>1</v>
      </c>
      <c r="I257" s="2" t="s">
        <v>526</v>
      </c>
      <c r="J257" s="3">
        <v>1</v>
      </c>
      <c r="K257" s="3">
        <v>5.2488000000000001</v>
      </c>
      <c r="L257" s="507">
        <v>1846335.0158826327</v>
      </c>
      <c r="M257" s="507">
        <v>0</v>
      </c>
      <c r="N257" s="507">
        <v>1846335.0158826327</v>
      </c>
      <c r="O257" s="507">
        <v>1579.6422623144751</v>
      </c>
      <c r="P257">
        <v>1</v>
      </c>
      <c r="Q257" s="2" t="s">
        <v>526</v>
      </c>
      <c r="R257" s="3">
        <v>1</v>
      </c>
      <c r="S257" s="3">
        <v>5.2488000000000001</v>
      </c>
      <c r="T257" s="507">
        <v>1846335.0158826327</v>
      </c>
      <c r="U257" s="507">
        <v>0</v>
      </c>
      <c r="V257" s="507">
        <v>1846335.0158826327</v>
      </c>
      <c r="W257" s="507">
        <v>13088.463799771718</v>
      </c>
      <c r="X257" s="507">
        <v>1847914.6581449471</v>
      </c>
      <c r="Y257" s="507">
        <v>1859423.4796824043</v>
      </c>
      <c r="Z257" s="507">
        <v>9699334.457671199</v>
      </c>
      <c r="AA257" s="507">
        <v>9759741.9601570033</v>
      </c>
      <c r="AB257" s="507">
        <v>9759741.9601570033</v>
      </c>
      <c r="AC257" s="507">
        <v>-60407.5</v>
      </c>
      <c r="AD257" s="507">
        <v>-60407.5</v>
      </c>
      <c r="AE257" s="507">
        <v>0</v>
      </c>
      <c r="AF257" s="507"/>
      <c r="AG257" s="507">
        <v>-60407.5</v>
      </c>
      <c r="AH257" s="507">
        <v>0</v>
      </c>
      <c r="AI257" s="507">
        <v>0</v>
      </c>
      <c r="AJ257" s="507">
        <v>0</v>
      </c>
      <c r="AK257" s="507">
        <v>0</v>
      </c>
      <c r="AL257" s="507">
        <v>0</v>
      </c>
      <c r="AM257" s="507">
        <v>0</v>
      </c>
      <c r="AN257" s="507"/>
      <c r="AO257" s="507"/>
    </row>
    <row r="258" spans="1:41">
      <c r="A258" s="2" t="s">
        <v>996</v>
      </c>
      <c r="B258" s="2" t="s">
        <v>997</v>
      </c>
      <c r="C258" s="2" t="s">
        <v>175</v>
      </c>
      <c r="D258" s="2" t="s">
        <v>25</v>
      </c>
      <c r="E258" s="2" t="s">
        <v>172</v>
      </c>
      <c r="F258" s="2" t="s">
        <v>173</v>
      </c>
      <c r="G258" s="2" t="s">
        <v>21</v>
      </c>
      <c r="H258">
        <v>1</v>
      </c>
      <c r="I258" s="2" t="s">
        <v>526</v>
      </c>
      <c r="J258" s="3">
        <v>1</v>
      </c>
      <c r="K258" s="3">
        <v>5.2488000000000001</v>
      </c>
      <c r="L258" s="507">
        <v>208515.52218630974</v>
      </c>
      <c r="M258" s="507">
        <v>0</v>
      </c>
      <c r="N258" s="507">
        <v>208515.52218630974</v>
      </c>
      <c r="O258" s="507">
        <v>2006.9619010432316</v>
      </c>
      <c r="P258">
        <v>1</v>
      </c>
      <c r="Q258" s="2" t="s">
        <v>526</v>
      </c>
      <c r="R258" s="3">
        <v>1</v>
      </c>
      <c r="S258" s="3">
        <v>5.2488000000000001</v>
      </c>
      <c r="T258" s="507">
        <v>208515.52218630974</v>
      </c>
      <c r="U258" s="507">
        <v>0</v>
      </c>
      <c r="V258" s="507">
        <v>208515.52218630974</v>
      </c>
      <c r="W258" s="507">
        <v>1293.3754519726494</v>
      </c>
      <c r="X258" s="507">
        <v>210522.48408735296</v>
      </c>
      <c r="Y258" s="507">
        <v>209808.89763828239</v>
      </c>
      <c r="Z258" s="507">
        <v>1104990.4144776983</v>
      </c>
      <c r="AA258" s="507">
        <v>1101244.9419238167</v>
      </c>
      <c r="AB258" s="507">
        <v>1101244.9419238167</v>
      </c>
      <c r="AC258" s="507">
        <v>3745.47</v>
      </c>
      <c r="AD258" s="507">
        <v>3745.47</v>
      </c>
      <c r="AE258" s="507">
        <v>0</v>
      </c>
      <c r="AF258" s="507">
        <v>3745.47</v>
      </c>
      <c r="AG258" s="507"/>
      <c r="AH258" s="507">
        <v>0</v>
      </c>
      <c r="AI258" s="507">
        <v>0</v>
      </c>
      <c r="AJ258" s="507">
        <v>0</v>
      </c>
      <c r="AK258" s="507">
        <v>0</v>
      </c>
      <c r="AL258" s="507">
        <v>0</v>
      </c>
      <c r="AM258" s="507">
        <v>0</v>
      </c>
      <c r="AN258" s="507"/>
      <c r="AO258" s="507"/>
    </row>
    <row r="259" spans="1:41">
      <c r="A259" s="2" t="s">
        <v>998</v>
      </c>
      <c r="B259" s="2" t="s">
        <v>213</v>
      </c>
      <c r="C259" s="2" t="s">
        <v>175</v>
      </c>
      <c r="D259" s="2" t="s">
        <v>25</v>
      </c>
      <c r="E259" s="2" t="s">
        <v>172</v>
      </c>
      <c r="F259" s="2" t="s">
        <v>173</v>
      </c>
      <c r="G259" s="2" t="s">
        <v>21</v>
      </c>
      <c r="H259">
        <v>1</v>
      </c>
      <c r="I259" s="2" t="s">
        <v>526</v>
      </c>
      <c r="J259" s="3">
        <v>1</v>
      </c>
      <c r="K259" s="3">
        <v>5.2488000000000001</v>
      </c>
      <c r="L259" s="507">
        <v>1846335.0158826327</v>
      </c>
      <c r="M259" s="507">
        <v>0</v>
      </c>
      <c r="N259" s="507">
        <v>1846335.0158826327</v>
      </c>
      <c r="O259" s="507">
        <v>21909.842250018406</v>
      </c>
      <c r="P259">
        <v>1</v>
      </c>
      <c r="Q259" s="2" t="s">
        <v>526</v>
      </c>
      <c r="R259" s="3">
        <v>1</v>
      </c>
      <c r="S259" s="3">
        <v>5.2488000000000001</v>
      </c>
      <c r="T259" s="507">
        <v>1846335.0158826327</v>
      </c>
      <c r="U259" s="507">
        <v>0</v>
      </c>
      <c r="V259" s="507">
        <v>1846335.0158826327</v>
      </c>
      <c r="W259" s="507">
        <v>14032.146120708006</v>
      </c>
      <c r="X259" s="507">
        <v>1868244.8581326511</v>
      </c>
      <c r="Y259" s="507">
        <v>1860367.1620033407</v>
      </c>
      <c r="Z259" s="507">
        <v>9806043.6113666594</v>
      </c>
      <c r="AA259" s="507">
        <v>9764695.1599231344</v>
      </c>
      <c r="AB259" s="507">
        <v>9764695.1599231344</v>
      </c>
      <c r="AC259" s="507">
        <v>41348.449999999997</v>
      </c>
      <c r="AD259" s="507">
        <v>41348.449999999997</v>
      </c>
      <c r="AE259" s="507">
        <v>0</v>
      </c>
      <c r="AF259" s="507">
        <v>41348.449999999997</v>
      </c>
      <c r="AG259" s="507"/>
      <c r="AH259" s="507">
        <v>0</v>
      </c>
      <c r="AI259" s="507">
        <v>0</v>
      </c>
      <c r="AJ259" s="507">
        <v>0</v>
      </c>
      <c r="AK259" s="507">
        <v>0</v>
      </c>
      <c r="AL259" s="507">
        <v>0</v>
      </c>
      <c r="AM259" s="507">
        <v>0</v>
      </c>
      <c r="AN259" s="507"/>
      <c r="AO259" s="507"/>
    </row>
    <row r="260" spans="1:41">
      <c r="A260" s="2" t="s">
        <v>999</v>
      </c>
      <c r="B260" s="2" t="s">
        <v>209</v>
      </c>
      <c r="C260" s="2" t="s">
        <v>175</v>
      </c>
      <c r="D260" s="2" t="s">
        <v>25</v>
      </c>
      <c r="E260" s="2" t="s">
        <v>172</v>
      </c>
      <c r="F260" s="2" t="s">
        <v>173</v>
      </c>
      <c r="G260" s="2" t="s">
        <v>21</v>
      </c>
      <c r="H260">
        <v>1</v>
      </c>
      <c r="I260" s="2" t="s">
        <v>526</v>
      </c>
      <c r="J260" s="3">
        <v>1</v>
      </c>
      <c r="K260" s="3">
        <v>5.2488000000000001</v>
      </c>
      <c r="L260" s="507">
        <v>470343.68715415429</v>
      </c>
      <c r="M260" s="507">
        <v>0</v>
      </c>
      <c r="N260" s="507">
        <v>470343.68715415429</v>
      </c>
      <c r="O260" s="507">
        <v>388.68680224926567</v>
      </c>
      <c r="P260">
        <v>1</v>
      </c>
      <c r="Q260" s="2" t="s">
        <v>526</v>
      </c>
      <c r="R260" s="3">
        <v>1</v>
      </c>
      <c r="S260" s="3">
        <v>5.2488000000000001</v>
      </c>
      <c r="T260" s="507">
        <v>470343.68715415429</v>
      </c>
      <c r="U260" s="507">
        <v>0</v>
      </c>
      <c r="V260" s="507">
        <v>470343.68715415429</v>
      </c>
      <c r="W260" s="507">
        <v>2443.1741318132481</v>
      </c>
      <c r="X260" s="507">
        <v>470732.37395640358</v>
      </c>
      <c r="Y260" s="507">
        <v>472786.86128596752</v>
      </c>
      <c r="Z260" s="507">
        <v>2470780.0844223714</v>
      </c>
      <c r="AA260" s="507">
        <v>2481563.6775177862</v>
      </c>
      <c r="AB260" s="507">
        <v>2481563.6775177862</v>
      </c>
      <c r="AC260" s="507">
        <v>-10783.59</v>
      </c>
      <c r="AD260" s="507">
        <v>-10783.59</v>
      </c>
      <c r="AE260" s="507">
        <v>0</v>
      </c>
      <c r="AF260" s="507"/>
      <c r="AG260" s="507">
        <v>-10783.59</v>
      </c>
      <c r="AH260" s="507">
        <v>0</v>
      </c>
      <c r="AI260" s="507">
        <v>0</v>
      </c>
      <c r="AJ260" s="507">
        <v>0</v>
      </c>
      <c r="AK260" s="507">
        <v>0</v>
      </c>
      <c r="AL260" s="507">
        <v>0</v>
      </c>
      <c r="AM260" s="507">
        <v>0</v>
      </c>
      <c r="AN260" s="507"/>
      <c r="AO260" s="507"/>
    </row>
    <row r="261" spans="1:41">
      <c r="A261" s="2"/>
      <c r="B261" s="2"/>
      <c r="C261" s="2"/>
      <c r="D261" s="2"/>
      <c r="E261" s="2"/>
      <c r="F261" s="2"/>
      <c r="G261" s="2"/>
      <c r="I261" s="2"/>
      <c r="J261" s="3"/>
      <c r="K261" s="3"/>
      <c r="L261" s="507"/>
      <c r="M261" s="507"/>
      <c r="N261" s="507"/>
      <c r="O261" s="507"/>
      <c r="P261">
        <v>1</v>
      </c>
      <c r="Q261" s="2" t="s">
        <v>526</v>
      </c>
      <c r="R261" s="3">
        <v>1</v>
      </c>
      <c r="S261" s="3">
        <v>5.2488000000000001</v>
      </c>
      <c r="T261" s="507">
        <v>417031.04437261948</v>
      </c>
      <c r="U261" s="507">
        <v>0</v>
      </c>
      <c r="V261" s="507">
        <v>417031.04437261948</v>
      </c>
      <c r="W261" s="507">
        <v>0</v>
      </c>
      <c r="X261" s="507"/>
      <c r="Y261" s="507">
        <v>417031.04437261948</v>
      </c>
      <c r="Z261" s="507"/>
      <c r="AA261" s="507">
        <v>2188912.545703005</v>
      </c>
      <c r="AB261" s="507"/>
      <c r="AC261" s="507"/>
      <c r="AD261" s="507"/>
      <c r="AE261" s="507"/>
      <c r="AF261" s="507"/>
      <c r="AG261" s="507"/>
      <c r="AH261" s="507"/>
      <c r="AI261" s="507">
        <v>0</v>
      </c>
      <c r="AJ261" s="507"/>
      <c r="AK261" s="507"/>
      <c r="AL261" s="507"/>
      <c r="AM261" s="507"/>
      <c r="AN261" s="507"/>
      <c r="AO261" s="507"/>
    </row>
    <row r="262" spans="1:41">
      <c r="A262" s="2" t="s">
        <v>1000</v>
      </c>
      <c r="B262" s="2" t="s">
        <v>210</v>
      </c>
      <c r="C262" s="2" t="s">
        <v>175</v>
      </c>
      <c r="D262" s="2" t="s">
        <v>25</v>
      </c>
      <c r="E262" s="2" t="s">
        <v>172</v>
      </c>
      <c r="F262" s="2" t="s">
        <v>173</v>
      </c>
      <c r="G262" s="2" t="s">
        <v>21</v>
      </c>
      <c r="H262">
        <v>1</v>
      </c>
      <c r="I262" s="2" t="s">
        <v>526</v>
      </c>
      <c r="J262" s="3">
        <v>1</v>
      </c>
      <c r="K262" s="3">
        <v>5.2488000000000001</v>
      </c>
      <c r="L262" s="507">
        <v>312773.28327946464</v>
      </c>
      <c r="M262" s="507">
        <v>0</v>
      </c>
      <c r="N262" s="507">
        <v>312773.28327946464</v>
      </c>
      <c r="O262" s="507">
        <v>261.51322435918087</v>
      </c>
      <c r="P262">
        <v>1</v>
      </c>
      <c r="Q262" s="2" t="s">
        <v>526</v>
      </c>
      <c r="R262" s="3">
        <v>1</v>
      </c>
      <c r="S262" s="3">
        <v>5.2488000000000001</v>
      </c>
      <c r="T262" s="507">
        <v>312773.28327946464</v>
      </c>
      <c r="U262" s="507">
        <v>0</v>
      </c>
      <c r="V262" s="507">
        <v>312773.28327946464</v>
      </c>
      <c r="W262" s="507">
        <v>1419.6431732679414</v>
      </c>
      <c r="X262" s="507">
        <v>313034.79650382383</v>
      </c>
      <c r="Y262" s="507">
        <v>314192.92645273259</v>
      </c>
      <c r="Z262" s="507">
        <v>1643057.0398892707</v>
      </c>
      <c r="AA262" s="507">
        <v>1649135.8323651028</v>
      </c>
      <c r="AB262" s="507">
        <v>1649135.8323651028</v>
      </c>
      <c r="AC262" s="507">
        <v>-6078.79</v>
      </c>
      <c r="AD262" s="507">
        <v>-6078.79</v>
      </c>
      <c r="AE262" s="507">
        <v>0</v>
      </c>
      <c r="AF262" s="507"/>
      <c r="AG262" s="507">
        <v>-6078.79</v>
      </c>
      <c r="AH262" s="507">
        <v>0</v>
      </c>
      <c r="AI262" s="507">
        <v>0</v>
      </c>
      <c r="AJ262" s="507">
        <v>0</v>
      </c>
      <c r="AK262" s="507">
        <v>0</v>
      </c>
      <c r="AL262" s="507">
        <v>0</v>
      </c>
      <c r="AM262" s="507">
        <v>0</v>
      </c>
      <c r="AN262" s="507"/>
      <c r="AO262" s="507"/>
    </row>
    <row r="263" spans="1:41">
      <c r="A263" s="2" t="s">
        <v>1001</v>
      </c>
      <c r="B263" s="2" t="s">
        <v>196</v>
      </c>
      <c r="C263" s="2" t="s">
        <v>175</v>
      </c>
      <c r="D263" s="2" t="s">
        <v>25</v>
      </c>
      <c r="E263" s="2" t="s">
        <v>172</v>
      </c>
      <c r="F263" s="2" t="s">
        <v>173</v>
      </c>
      <c r="G263" s="2" t="s">
        <v>21</v>
      </c>
      <c r="H263">
        <v>1</v>
      </c>
      <c r="I263" s="2" t="s">
        <v>526</v>
      </c>
      <c r="J263" s="3">
        <v>1</v>
      </c>
      <c r="K263" s="3">
        <v>5.2488000000000001</v>
      </c>
      <c r="L263" s="507">
        <v>1173950.9410957084</v>
      </c>
      <c r="M263" s="507">
        <v>0</v>
      </c>
      <c r="N263" s="507">
        <v>1173950.9410957084</v>
      </c>
      <c r="O263" s="507">
        <v>1027.2070734587446</v>
      </c>
      <c r="P263">
        <v>1</v>
      </c>
      <c r="Q263" s="2" t="s">
        <v>526</v>
      </c>
      <c r="R263" s="3">
        <v>1</v>
      </c>
      <c r="S263" s="3">
        <v>5.2488000000000001</v>
      </c>
      <c r="T263" s="507">
        <v>1173950.9410957084</v>
      </c>
      <c r="U263" s="507">
        <v>0</v>
      </c>
      <c r="V263" s="507">
        <v>1173950.9410957084</v>
      </c>
      <c r="W263" s="507">
        <v>586.97547054785423</v>
      </c>
      <c r="X263" s="507">
        <v>1174978.1481691671</v>
      </c>
      <c r="Y263" s="507">
        <v>1174537.9165662562</v>
      </c>
      <c r="Z263" s="507">
        <v>6167225.304110324</v>
      </c>
      <c r="AA263" s="507">
        <v>6164914.616472966</v>
      </c>
      <c r="AB263" s="507">
        <v>6164914.616472966</v>
      </c>
      <c r="AC263" s="507">
        <v>2310.69</v>
      </c>
      <c r="AD263" s="507">
        <v>2310.69</v>
      </c>
      <c r="AE263" s="507">
        <v>0</v>
      </c>
      <c r="AF263" s="507">
        <v>2310.69</v>
      </c>
      <c r="AG263" s="507"/>
      <c r="AH263" s="507">
        <v>0</v>
      </c>
      <c r="AI263" s="507">
        <v>0</v>
      </c>
      <c r="AJ263" s="507">
        <v>0</v>
      </c>
      <c r="AK263" s="507">
        <v>0</v>
      </c>
      <c r="AL263" s="507">
        <v>0</v>
      </c>
      <c r="AM263" s="507">
        <v>0</v>
      </c>
      <c r="AN263" s="507"/>
      <c r="AO263" s="507"/>
    </row>
    <row r="264" spans="1:41">
      <c r="A264" s="2" t="s">
        <v>215</v>
      </c>
      <c r="B264" s="2" t="s">
        <v>216</v>
      </c>
      <c r="C264" s="2" t="s">
        <v>175</v>
      </c>
      <c r="D264" s="2" t="s">
        <v>25</v>
      </c>
      <c r="E264" s="2" t="s">
        <v>172</v>
      </c>
      <c r="F264" s="2" t="s">
        <v>173</v>
      </c>
      <c r="G264" s="2" t="s">
        <v>57</v>
      </c>
      <c r="H264">
        <v>1</v>
      </c>
      <c r="I264" s="2" t="s">
        <v>526</v>
      </c>
      <c r="J264" s="3">
        <v>0.15684552284455039</v>
      </c>
      <c r="K264" s="3">
        <v>5.2488000000000001</v>
      </c>
      <c r="L264" s="507">
        <v>239031.35182723182</v>
      </c>
      <c r="M264" s="507">
        <v>2656</v>
      </c>
      <c r="N264" s="507">
        <v>241687.35182723182</v>
      </c>
      <c r="O264" s="507">
        <v>0</v>
      </c>
      <c r="P264">
        <v>1</v>
      </c>
      <c r="Q264" s="2" t="s">
        <v>526</v>
      </c>
      <c r="R264" s="3">
        <v>0.15702038124548567</v>
      </c>
      <c r="S264" s="3">
        <v>5.2488000000000001</v>
      </c>
      <c r="T264" s="507">
        <v>239031.35182723182</v>
      </c>
      <c r="U264" s="507">
        <v>2656</v>
      </c>
      <c r="V264" s="507">
        <v>241687.35182723182</v>
      </c>
      <c r="W264" s="507">
        <v>0</v>
      </c>
      <c r="X264" s="507">
        <v>239031.35182723182</v>
      </c>
      <c r="Y264" s="507">
        <v>239031.35182723182</v>
      </c>
      <c r="Z264" s="507">
        <v>1254627.7594707743</v>
      </c>
      <c r="AA264" s="507">
        <v>1254627.7594707743</v>
      </c>
      <c r="AB264" s="507">
        <v>1256026.4745874787</v>
      </c>
      <c r="AC264" s="507">
        <v>0</v>
      </c>
      <c r="AD264" s="507">
        <v>-1398.72</v>
      </c>
      <c r="AE264" s="507">
        <v>1398.72</v>
      </c>
      <c r="AF264" s="507"/>
      <c r="AG264" s="507">
        <v>-1398.72</v>
      </c>
      <c r="AH264" s="507">
        <v>13940.8128</v>
      </c>
      <c r="AI264" s="507">
        <v>13940.8128</v>
      </c>
      <c r="AJ264" s="507">
        <v>13956.35464135917</v>
      </c>
      <c r="AK264" s="507">
        <v>0</v>
      </c>
      <c r="AL264" s="507">
        <v>-15.54</v>
      </c>
      <c r="AM264" s="507">
        <v>15.54</v>
      </c>
      <c r="AN264" s="507"/>
      <c r="AO264" s="507">
        <v>-15.54</v>
      </c>
    </row>
    <row r="265" spans="1:41">
      <c r="A265" s="2" t="s">
        <v>217</v>
      </c>
      <c r="B265" s="2" t="s">
        <v>216</v>
      </c>
      <c r="C265" s="2" t="s">
        <v>175</v>
      </c>
      <c r="D265" s="2" t="s">
        <v>25</v>
      </c>
      <c r="E265" s="2" t="s">
        <v>172</v>
      </c>
      <c r="F265" s="2" t="s">
        <v>173</v>
      </c>
      <c r="G265" s="2" t="s">
        <v>57</v>
      </c>
      <c r="H265">
        <v>1</v>
      </c>
      <c r="I265" s="2" t="s">
        <v>526</v>
      </c>
      <c r="J265" s="3">
        <v>0.15684552284455039</v>
      </c>
      <c r="K265" s="3">
        <v>5.2488000000000001</v>
      </c>
      <c r="L265" s="507">
        <v>265590.39091914648</v>
      </c>
      <c r="M265" s="507">
        <v>0</v>
      </c>
      <c r="N265" s="507">
        <v>265590.39091914648</v>
      </c>
      <c r="O265" s="507">
        <v>707.13441582222742</v>
      </c>
      <c r="P265">
        <v>1</v>
      </c>
      <c r="Q265" s="2" t="s">
        <v>526</v>
      </c>
      <c r="R265" s="3">
        <v>0.15702038124548567</v>
      </c>
      <c r="S265" s="3">
        <v>5.2488000000000001</v>
      </c>
      <c r="T265" s="507">
        <v>265590.39091914648</v>
      </c>
      <c r="U265" s="507">
        <v>0</v>
      </c>
      <c r="V265" s="507">
        <v>265590.39091914648</v>
      </c>
      <c r="W265" s="507">
        <v>388.42594671925167</v>
      </c>
      <c r="X265" s="507">
        <v>266297.5253349687</v>
      </c>
      <c r="Y265" s="507">
        <v>265978.81686586572</v>
      </c>
      <c r="Z265" s="507">
        <v>1397742.4509781837</v>
      </c>
      <c r="AA265" s="507">
        <v>1396069.613965556</v>
      </c>
      <c r="AB265" s="507">
        <v>1397626.01478507</v>
      </c>
      <c r="AC265" s="507">
        <v>1672.84</v>
      </c>
      <c r="AD265" s="507">
        <v>116.44</v>
      </c>
      <c r="AE265" s="507">
        <v>1556.4</v>
      </c>
      <c r="AF265" s="507">
        <v>116.44</v>
      </c>
      <c r="AG265" s="507"/>
      <c r="AH265" s="507">
        <v>0</v>
      </c>
      <c r="AI265" s="507">
        <v>0</v>
      </c>
      <c r="AJ265" s="507">
        <v>0</v>
      </c>
      <c r="AK265" s="507">
        <v>0</v>
      </c>
      <c r="AL265" s="507">
        <v>0</v>
      </c>
      <c r="AM265" s="507">
        <v>0</v>
      </c>
      <c r="AN265" s="507"/>
      <c r="AO265" s="507"/>
    </row>
    <row r="266" spans="1:41">
      <c r="A266" s="2" t="s">
        <v>218</v>
      </c>
      <c r="B266" s="2" t="s">
        <v>220</v>
      </c>
      <c r="C266" s="2" t="s">
        <v>219</v>
      </c>
      <c r="D266" s="2" t="s">
        <v>25</v>
      </c>
      <c r="E266" s="2" t="s">
        <v>172</v>
      </c>
      <c r="F266" s="2" t="s">
        <v>173</v>
      </c>
      <c r="G266" s="2" t="s">
        <v>21</v>
      </c>
      <c r="H266">
        <v>1</v>
      </c>
      <c r="I266" s="2" t="s">
        <v>526</v>
      </c>
      <c r="J266" s="3">
        <v>1</v>
      </c>
      <c r="K266" s="3">
        <v>5.2488000000000001</v>
      </c>
      <c r="L266" s="507">
        <v>75.167886578301463</v>
      </c>
      <c r="M266" s="507">
        <v>0</v>
      </c>
      <c r="N266" s="507">
        <v>75.167886578301463</v>
      </c>
      <c r="O266" s="507">
        <v>5.092950507715111E-3</v>
      </c>
      <c r="P266">
        <v>1</v>
      </c>
      <c r="Q266" s="2" t="s">
        <v>526</v>
      </c>
      <c r="R266" s="3">
        <v>1</v>
      </c>
      <c r="S266" s="3">
        <v>5.2488000000000001</v>
      </c>
      <c r="T266" s="507">
        <v>75.101441150168711</v>
      </c>
      <c r="U266" s="507">
        <v>0</v>
      </c>
      <c r="V266" s="507">
        <v>75.101441150168711</v>
      </c>
      <c r="W266" s="507">
        <v>4.8019247644171037E-2</v>
      </c>
      <c r="X266" s="507">
        <v>75.172979528809179</v>
      </c>
      <c r="Y266" s="507">
        <v>75.149460397812888</v>
      </c>
      <c r="Z266" s="507">
        <v>394.56793495081365</v>
      </c>
      <c r="AA266" s="507">
        <v>394.44448773604029</v>
      </c>
      <c r="AB266" s="507">
        <v>394.44448773604029</v>
      </c>
      <c r="AC266" s="507">
        <v>0.12</v>
      </c>
      <c r="AD266" s="507">
        <v>0.12</v>
      </c>
      <c r="AE266" s="507">
        <v>0</v>
      </c>
      <c r="AF266" s="507">
        <v>0.12</v>
      </c>
      <c r="AG266" s="507"/>
      <c r="AH266" s="507">
        <v>0</v>
      </c>
      <c r="AI266" s="507">
        <v>0</v>
      </c>
      <c r="AJ266" s="507">
        <v>0</v>
      </c>
      <c r="AK266" s="507">
        <v>0</v>
      </c>
      <c r="AL266" s="507">
        <v>0</v>
      </c>
      <c r="AM266" s="507">
        <v>0</v>
      </c>
      <c r="AN266" s="507"/>
      <c r="AO266" s="507"/>
    </row>
    <row r="267" spans="1:41">
      <c r="A267" s="2" t="s">
        <v>221</v>
      </c>
      <c r="B267" s="2" t="s">
        <v>220</v>
      </c>
      <c r="C267" s="2" t="s">
        <v>219</v>
      </c>
      <c r="D267" s="2" t="s">
        <v>25</v>
      </c>
      <c r="E267" s="2" t="s">
        <v>172</v>
      </c>
      <c r="F267" s="2" t="s">
        <v>173</v>
      </c>
      <c r="G267" s="2" t="s">
        <v>57</v>
      </c>
      <c r="H267">
        <v>1</v>
      </c>
      <c r="I267" s="2" t="s">
        <v>526</v>
      </c>
      <c r="J267" s="3">
        <v>0.15684552284455039</v>
      </c>
      <c r="K267" s="3">
        <v>5.2488000000000001</v>
      </c>
      <c r="L267" s="507">
        <v>1412.2570933659035</v>
      </c>
      <c r="M267" s="507">
        <v>0</v>
      </c>
      <c r="N267" s="507">
        <v>1412.2570933659035</v>
      </c>
      <c r="O267" s="507">
        <v>2.811377349254351E-3</v>
      </c>
      <c r="P267">
        <v>1</v>
      </c>
      <c r="Q267" s="2" t="s">
        <v>526</v>
      </c>
      <c r="R267" s="3">
        <v>0.15702038124548567</v>
      </c>
      <c r="S267" s="3">
        <v>5.2488000000000001</v>
      </c>
      <c r="T267" s="507">
        <v>1412.1694721051852</v>
      </c>
      <c r="U267" s="507">
        <v>0</v>
      </c>
      <c r="V267" s="507">
        <v>1412.1694721051852</v>
      </c>
      <c r="W267" s="507">
        <v>7.7833502539541743E-2</v>
      </c>
      <c r="X267" s="507">
        <v>1412.2599047432527</v>
      </c>
      <c r="Y267" s="507">
        <v>1412.2473056077247</v>
      </c>
      <c r="Z267" s="507">
        <v>7412.6697880163847</v>
      </c>
      <c r="AA267" s="507">
        <v>7412.6036576738252</v>
      </c>
      <c r="AB267" s="507">
        <v>7420.8675596255089</v>
      </c>
      <c r="AC267" s="507">
        <v>7.0000000000000007E-2</v>
      </c>
      <c r="AD267" s="507">
        <v>-8.1999999999999993</v>
      </c>
      <c r="AE267" s="507">
        <v>8.27</v>
      </c>
      <c r="AF267" s="507"/>
      <c r="AG267" s="507">
        <v>-8.1999999999999993</v>
      </c>
      <c r="AH267" s="507">
        <v>0</v>
      </c>
      <c r="AI267" s="507">
        <v>0</v>
      </c>
      <c r="AJ267" s="507">
        <v>0</v>
      </c>
      <c r="AK267" s="507">
        <v>0</v>
      </c>
      <c r="AL267" s="507">
        <v>0</v>
      </c>
      <c r="AM267" s="507">
        <v>0</v>
      </c>
      <c r="AN267" s="507"/>
      <c r="AO267" s="507"/>
    </row>
    <row r="268" spans="1:41">
      <c r="A268" s="2" t="s">
        <v>222</v>
      </c>
      <c r="B268" s="2" t="s">
        <v>223</v>
      </c>
      <c r="C268" s="2" t="s">
        <v>219</v>
      </c>
      <c r="D268" s="2" t="s">
        <v>25</v>
      </c>
      <c r="E268" s="2" t="s">
        <v>172</v>
      </c>
      <c r="F268" s="2" t="s">
        <v>173</v>
      </c>
      <c r="G268" s="2" t="s">
        <v>57</v>
      </c>
      <c r="H268">
        <v>1</v>
      </c>
      <c r="I268" s="2" t="s">
        <v>526</v>
      </c>
      <c r="J268" s="3">
        <v>0.15684552284455039</v>
      </c>
      <c r="K268" s="3">
        <v>5.2488000000000001</v>
      </c>
      <c r="L268" s="507">
        <v>16.500962851100375</v>
      </c>
      <c r="M268" s="507">
        <v>0</v>
      </c>
      <c r="N268" s="507">
        <v>16.500962851100375</v>
      </c>
      <c r="O268" s="507">
        <v>9.8918832658949373E-4</v>
      </c>
      <c r="P268">
        <v>1</v>
      </c>
      <c r="Q268" s="2" t="s">
        <v>526</v>
      </c>
      <c r="R268" s="3">
        <v>0.15702038124548567</v>
      </c>
      <c r="S268" s="3">
        <v>5.2488000000000001</v>
      </c>
      <c r="T268" s="507">
        <v>16.500546350752334</v>
      </c>
      <c r="U268" s="507">
        <v>0</v>
      </c>
      <c r="V268" s="507">
        <v>16.500546350752334</v>
      </c>
      <c r="W268" s="507">
        <v>9.0588825698195742E-3</v>
      </c>
      <c r="X268" s="507">
        <v>16.501952039426964</v>
      </c>
      <c r="Y268" s="507">
        <v>16.509605233322155</v>
      </c>
      <c r="Z268" s="507">
        <v>86.615445864544256</v>
      </c>
      <c r="AA268" s="507">
        <v>86.655615948661335</v>
      </c>
      <c r="AB268" s="507">
        <v>86.752223503419927</v>
      </c>
      <c r="AC268" s="507">
        <v>-0.04</v>
      </c>
      <c r="AD268" s="507">
        <v>-0.14000000000000001</v>
      </c>
      <c r="AE268" s="507">
        <v>0.1</v>
      </c>
      <c r="AF268" s="507"/>
      <c r="AG268" s="507">
        <v>-0.14000000000000001</v>
      </c>
      <c r="AH268" s="507">
        <v>0</v>
      </c>
      <c r="AI268" s="507">
        <v>0</v>
      </c>
      <c r="AJ268" s="507">
        <v>0</v>
      </c>
      <c r="AK268" s="507">
        <v>0</v>
      </c>
      <c r="AL268" s="507">
        <v>0</v>
      </c>
      <c r="AM268" s="507">
        <v>0</v>
      </c>
      <c r="AN268" s="507"/>
      <c r="AO268" s="507"/>
    </row>
    <row r="269" spans="1:41">
      <c r="A269" s="2" t="s">
        <v>224</v>
      </c>
      <c r="B269" s="2" t="s">
        <v>225</v>
      </c>
      <c r="C269" s="2" t="s">
        <v>219</v>
      </c>
      <c r="D269" s="2" t="s">
        <v>25</v>
      </c>
      <c r="E269" s="2" t="s">
        <v>172</v>
      </c>
      <c r="F269" s="2" t="s">
        <v>173</v>
      </c>
      <c r="G269" s="2" t="s">
        <v>21</v>
      </c>
      <c r="H269">
        <v>1</v>
      </c>
      <c r="I269" s="2" t="s">
        <v>526</v>
      </c>
      <c r="J269" s="3">
        <v>1</v>
      </c>
      <c r="K269" s="3">
        <v>5.2488000000000001</v>
      </c>
      <c r="L269" s="507">
        <v>8238.3956618856882</v>
      </c>
      <c r="M269" s="507">
        <v>0</v>
      </c>
      <c r="N269" s="507">
        <v>8238.3956618856882</v>
      </c>
      <c r="O269" s="507">
        <v>23.110133553523077</v>
      </c>
      <c r="P269">
        <v>1</v>
      </c>
      <c r="Q269" s="2" t="s">
        <v>526</v>
      </c>
      <c r="R269" s="3">
        <v>1</v>
      </c>
      <c r="S269" s="3">
        <v>5.2488000000000001</v>
      </c>
      <c r="T269" s="507">
        <v>3981.913078632359</v>
      </c>
      <c r="U269" s="507">
        <v>0</v>
      </c>
      <c r="V269" s="507">
        <v>3981.913078632359</v>
      </c>
      <c r="W269" s="507">
        <v>42.702730506463965</v>
      </c>
      <c r="X269" s="507">
        <v>8261.5057954392105</v>
      </c>
      <c r="Y269" s="507">
        <v>4024.6158091388229</v>
      </c>
      <c r="Z269" s="507">
        <v>43362.991619101333</v>
      </c>
      <c r="AA269" s="507">
        <v>21124.403459007855</v>
      </c>
      <c r="AB269" s="507">
        <v>21124.403459007855</v>
      </c>
      <c r="AC269" s="507">
        <v>22238.59</v>
      </c>
      <c r="AD269" s="507">
        <v>22238.59</v>
      </c>
      <c r="AE269" s="507">
        <v>0</v>
      </c>
      <c r="AF269" s="507">
        <v>22238.59</v>
      </c>
      <c r="AG269" s="507"/>
      <c r="AH269" s="507">
        <v>0</v>
      </c>
      <c r="AI269" s="507">
        <v>0</v>
      </c>
      <c r="AJ269" s="507">
        <v>0</v>
      </c>
      <c r="AK269" s="507">
        <v>0</v>
      </c>
      <c r="AL269" s="507">
        <v>0</v>
      </c>
      <c r="AM269" s="507">
        <v>0</v>
      </c>
      <c r="AN269" s="507"/>
      <c r="AO269" s="507"/>
    </row>
    <row r="270" spans="1:41">
      <c r="A270" s="2" t="s">
        <v>226</v>
      </c>
      <c r="B270" s="2" t="s">
        <v>225</v>
      </c>
      <c r="C270" s="2" t="s">
        <v>219</v>
      </c>
      <c r="D270" s="2" t="s">
        <v>25</v>
      </c>
      <c r="E270" s="2" t="s">
        <v>172</v>
      </c>
      <c r="F270" s="2" t="s">
        <v>173</v>
      </c>
      <c r="G270" s="2" t="s">
        <v>57</v>
      </c>
      <c r="H270">
        <v>1</v>
      </c>
      <c r="I270" s="2" t="s">
        <v>526</v>
      </c>
      <c r="J270" s="3">
        <v>0.15684552284455039</v>
      </c>
      <c r="K270" s="3">
        <v>5.2488000000000001</v>
      </c>
      <c r="L270" s="507">
        <v>21.195286211289577</v>
      </c>
      <c r="M270" s="507">
        <v>0</v>
      </c>
      <c r="N270" s="507">
        <v>21.195286211289577</v>
      </c>
      <c r="O270" s="507">
        <v>5.2062543504710195E-5</v>
      </c>
      <c r="P270">
        <v>1</v>
      </c>
      <c r="Q270" s="2" t="s">
        <v>526</v>
      </c>
      <c r="R270" s="3">
        <v>0.15702038124548567</v>
      </c>
      <c r="S270" s="3">
        <v>5.2488000000000001</v>
      </c>
      <c r="T270" s="507">
        <v>21.194192897875975</v>
      </c>
      <c r="U270" s="507">
        <v>0</v>
      </c>
      <c r="V270" s="507">
        <v>21.194192897875975</v>
      </c>
      <c r="W270" s="507">
        <v>9.3712578308478367E-4</v>
      </c>
      <c r="X270" s="507">
        <v>21.19533827383308</v>
      </c>
      <c r="Y270" s="507">
        <v>21.195130023659061</v>
      </c>
      <c r="Z270" s="507">
        <v>111.25009153169508</v>
      </c>
      <c r="AA270" s="507">
        <v>111.24899846818168</v>
      </c>
      <c r="AB270" s="507">
        <v>111.37302382526553</v>
      </c>
      <c r="AC270" s="507">
        <v>0</v>
      </c>
      <c r="AD270" s="507">
        <v>-0.12</v>
      </c>
      <c r="AE270" s="507">
        <v>0.12</v>
      </c>
      <c r="AF270" s="507"/>
      <c r="AG270" s="507">
        <v>-0.12</v>
      </c>
      <c r="AH270" s="507">
        <v>0</v>
      </c>
      <c r="AI270" s="507">
        <v>0</v>
      </c>
      <c r="AJ270" s="507">
        <v>0</v>
      </c>
      <c r="AK270" s="507">
        <v>0</v>
      </c>
      <c r="AL270" s="507">
        <v>0</v>
      </c>
      <c r="AM270" s="507">
        <v>0</v>
      </c>
      <c r="AN270" s="507"/>
      <c r="AO270" s="507"/>
    </row>
    <row r="271" spans="1:41">
      <c r="A271" s="2" t="s">
        <v>227</v>
      </c>
      <c r="B271" s="2" t="s">
        <v>228</v>
      </c>
      <c r="C271" s="2" t="s">
        <v>219</v>
      </c>
      <c r="D271" s="2" t="s">
        <v>25</v>
      </c>
      <c r="E271" s="2" t="s">
        <v>172</v>
      </c>
      <c r="F271" s="2" t="s">
        <v>173</v>
      </c>
      <c r="G271" s="2" t="s">
        <v>21</v>
      </c>
      <c r="H271">
        <v>1</v>
      </c>
      <c r="I271" s="2" t="s">
        <v>526</v>
      </c>
      <c r="J271" s="3">
        <v>1</v>
      </c>
      <c r="K271" s="3">
        <v>5.2488000000000001</v>
      </c>
      <c r="L271" s="507">
        <v>2087.0883386023061</v>
      </c>
      <c r="M271" s="507">
        <v>0</v>
      </c>
      <c r="N271" s="507">
        <v>2087.0883386023061</v>
      </c>
      <c r="O271" s="507">
        <v>0.30686866157080228</v>
      </c>
      <c r="P271">
        <v>1</v>
      </c>
      <c r="Q271" s="2" t="s">
        <v>526</v>
      </c>
      <c r="R271" s="3">
        <v>1</v>
      </c>
      <c r="S271" s="3">
        <v>5.2488000000000001</v>
      </c>
      <c r="T271" s="507">
        <v>2625.3523861573967</v>
      </c>
      <c r="U271" s="507">
        <v>0</v>
      </c>
      <c r="V271" s="507">
        <v>2625.3523861573967</v>
      </c>
      <c r="W271" s="507">
        <v>4.1227883978377449</v>
      </c>
      <c r="X271" s="507">
        <v>2087.3952072638767</v>
      </c>
      <c r="Y271" s="507">
        <v>2629.4751745552344</v>
      </c>
      <c r="Z271" s="507">
        <v>10956.319963886637</v>
      </c>
      <c r="AA271" s="507">
        <v>13801.589296205515</v>
      </c>
      <c r="AB271" s="507">
        <v>13801.589296205515</v>
      </c>
      <c r="AC271" s="507">
        <v>-2845.27</v>
      </c>
      <c r="AD271" s="507">
        <v>-2845.27</v>
      </c>
      <c r="AE271" s="507">
        <v>0</v>
      </c>
      <c r="AF271" s="507"/>
      <c r="AG271" s="507">
        <v>-2845.27</v>
      </c>
      <c r="AH271" s="507">
        <v>0</v>
      </c>
      <c r="AI271" s="507">
        <v>0</v>
      </c>
      <c r="AJ271" s="507">
        <v>0</v>
      </c>
      <c r="AK271" s="507">
        <v>0</v>
      </c>
      <c r="AL271" s="507">
        <v>0</v>
      </c>
      <c r="AM271" s="507">
        <v>0</v>
      </c>
      <c r="AN271" s="507"/>
      <c r="AO271" s="507"/>
    </row>
    <row r="272" spans="1:41">
      <c r="A272" s="2" t="s">
        <v>229</v>
      </c>
      <c r="B272" s="2" t="s">
        <v>230</v>
      </c>
      <c r="C272" s="2" t="s">
        <v>219</v>
      </c>
      <c r="D272" s="2" t="s">
        <v>25</v>
      </c>
      <c r="E272" s="2" t="s">
        <v>172</v>
      </c>
      <c r="F272" s="2" t="s">
        <v>173</v>
      </c>
      <c r="G272" s="2" t="s">
        <v>57</v>
      </c>
      <c r="H272">
        <v>1</v>
      </c>
      <c r="I272" s="2" t="s">
        <v>526</v>
      </c>
      <c r="J272" s="3">
        <v>0.15684552284455039</v>
      </c>
      <c r="K272" s="3">
        <v>5.2488000000000001</v>
      </c>
      <c r="L272" s="507">
        <v>90451.725914194365</v>
      </c>
      <c r="M272" s="507">
        <v>0</v>
      </c>
      <c r="N272" s="507">
        <v>90451.725914194365</v>
      </c>
      <c r="O272" s="507">
        <v>0</v>
      </c>
      <c r="P272">
        <v>1</v>
      </c>
      <c r="Q272" s="2" t="s">
        <v>526</v>
      </c>
      <c r="R272" s="3">
        <v>0.15702038124548567</v>
      </c>
      <c r="S272" s="3">
        <v>5.2488000000000001</v>
      </c>
      <c r="T272" s="507">
        <v>137272.89955965269</v>
      </c>
      <c r="U272" s="507">
        <v>0</v>
      </c>
      <c r="V272" s="507">
        <v>137272.89955965269</v>
      </c>
      <c r="W272" s="507">
        <v>0</v>
      </c>
      <c r="X272" s="507">
        <v>90451.725914194365</v>
      </c>
      <c r="Y272" s="507">
        <v>137272.89955965269</v>
      </c>
      <c r="Z272" s="507">
        <v>474763.01897842338</v>
      </c>
      <c r="AA272" s="507">
        <v>720517.99520870508</v>
      </c>
      <c r="AB272" s="507">
        <v>721321.26088184875</v>
      </c>
      <c r="AC272" s="507">
        <v>-245754.98</v>
      </c>
      <c r="AD272" s="507">
        <v>-246558.24</v>
      </c>
      <c r="AE272" s="507">
        <v>803.26</v>
      </c>
      <c r="AF272" s="507"/>
      <c r="AG272" s="507">
        <v>-246558.24</v>
      </c>
      <c r="AH272" s="507">
        <v>0</v>
      </c>
      <c r="AI272" s="507">
        <v>0</v>
      </c>
      <c r="AJ272" s="507">
        <v>0</v>
      </c>
      <c r="AK272" s="507">
        <v>0</v>
      </c>
      <c r="AL272" s="507">
        <v>0</v>
      </c>
      <c r="AM272" s="507">
        <v>0</v>
      </c>
      <c r="AN272" s="507"/>
      <c r="AO272" s="507"/>
    </row>
    <row r="273" spans="1:41">
      <c r="A273" s="2" t="s">
        <v>231</v>
      </c>
      <c r="B273" s="2" t="s">
        <v>232</v>
      </c>
      <c r="C273" s="2" t="s">
        <v>219</v>
      </c>
      <c r="D273" s="2" t="s">
        <v>25</v>
      </c>
      <c r="E273" s="2" t="s">
        <v>172</v>
      </c>
      <c r="F273" s="2" t="s">
        <v>173</v>
      </c>
      <c r="G273" s="2" t="s">
        <v>21</v>
      </c>
      <c r="H273">
        <v>1</v>
      </c>
      <c r="I273" s="2" t="s">
        <v>526</v>
      </c>
      <c r="J273" s="3">
        <v>1</v>
      </c>
      <c r="K273" s="3">
        <v>5.2488000000000001</v>
      </c>
      <c r="L273" s="507">
        <v>4.4124489361039885</v>
      </c>
      <c r="M273" s="507">
        <v>0</v>
      </c>
      <c r="N273" s="507">
        <v>4.4124489361039885</v>
      </c>
      <c r="O273" s="507">
        <v>2.8612081504017473E-4</v>
      </c>
      <c r="P273">
        <v>1</v>
      </c>
      <c r="Q273" s="2" t="s">
        <v>526</v>
      </c>
      <c r="R273" s="3">
        <v>1</v>
      </c>
      <c r="S273" s="3">
        <v>5.2488000000000001</v>
      </c>
      <c r="T273" s="507">
        <v>4.4085495181390124</v>
      </c>
      <c r="U273" s="507">
        <v>0</v>
      </c>
      <c r="V273" s="507">
        <v>4.4085495181390124</v>
      </c>
      <c r="W273" s="507">
        <v>2.6977105418073619E-3</v>
      </c>
      <c r="X273" s="507">
        <v>4.4127350569190282</v>
      </c>
      <c r="Y273" s="507">
        <v>4.4112472286808195</v>
      </c>
      <c r="Z273" s="507">
        <v>23.161563766756597</v>
      </c>
      <c r="AA273" s="507">
        <v>23.153754453899886</v>
      </c>
      <c r="AB273" s="507">
        <v>23.153754453899886</v>
      </c>
      <c r="AC273" s="507">
        <v>0.01</v>
      </c>
      <c r="AD273" s="507">
        <v>0.01</v>
      </c>
      <c r="AE273" s="507">
        <v>0</v>
      </c>
      <c r="AF273" s="507">
        <v>0.01</v>
      </c>
      <c r="AG273" s="507"/>
      <c r="AH273" s="507">
        <v>0</v>
      </c>
      <c r="AI273" s="507">
        <v>0</v>
      </c>
      <c r="AJ273" s="507">
        <v>0</v>
      </c>
      <c r="AK273" s="507">
        <v>0</v>
      </c>
      <c r="AL273" s="507">
        <v>0</v>
      </c>
      <c r="AM273" s="507">
        <v>0</v>
      </c>
      <c r="AN273" s="507"/>
      <c r="AO273" s="507"/>
    </row>
    <row r="274" spans="1:41">
      <c r="A274" s="2" t="s">
        <v>233</v>
      </c>
      <c r="B274" s="2" t="s">
        <v>234</v>
      </c>
      <c r="C274" s="2" t="s">
        <v>219</v>
      </c>
      <c r="D274" s="2" t="s">
        <v>25</v>
      </c>
      <c r="E274" s="2" t="s">
        <v>172</v>
      </c>
      <c r="F274" s="2" t="s">
        <v>173</v>
      </c>
      <c r="G274" s="2" t="s">
        <v>21</v>
      </c>
      <c r="H274">
        <v>1</v>
      </c>
      <c r="I274" s="2" t="s">
        <v>526</v>
      </c>
      <c r="J274" s="3">
        <v>1</v>
      </c>
      <c r="K274" s="3">
        <v>5.2488000000000001</v>
      </c>
      <c r="L274" s="507">
        <v>104.2075552031954</v>
      </c>
      <c r="M274" s="507">
        <v>0</v>
      </c>
      <c r="N274" s="507">
        <v>104.2075552031954</v>
      </c>
      <c r="O274" s="507">
        <v>3.6476316477407421E-2</v>
      </c>
      <c r="P274">
        <v>1</v>
      </c>
      <c r="Q274" s="2" t="s">
        <v>526</v>
      </c>
      <c r="R274" s="3">
        <v>1</v>
      </c>
      <c r="S274" s="3">
        <v>5.2488000000000001</v>
      </c>
      <c r="T274" s="507">
        <v>105.73483541435814</v>
      </c>
      <c r="U274" s="507">
        <v>0</v>
      </c>
      <c r="V274" s="507">
        <v>105.73483541435814</v>
      </c>
      <c r="W274" s="507">
        <v>0.35816603626729077</v>
      </c>
      <c r="X274" s="507">
        <v>104.2440315196728</v>
      </c>
      <c r="Y274" s="507">
        <v>106.09300145062544</v>
      </c>
      <c r="Z274" s="507">
        <v>547.15607264045866</v>
      </c>
      <c r="AA274" s="507">
        <v>556.86094601404284</v>
      </c>
      <c r="AB274" s="507">
        <v>556.86094601404284</v>
      </c>
      <c r="AC274" s="507">
        <v>-9.6999999999999993</v>
      </c>
      <c r="AD274" s="507">
        <v>-9.6999999999999993</v>
      </c>
      <c r="AE274" s="507">
        <v>0</v>
      </c>
      <c r="AF274" s="507"/>
      <c r="AG274" s="507">
        <v>-9.6999999999999993</v>
      </c>
      <c r="AH274" s="507">
        <v>0</v>
      </c>
      <c r="AI274" s="507">
        <v>0</v>
      </c>
      <c r="AJ274" s="507">
        <v>0</v>
      </c>
      <c r="AK274" s="507">
        <v>0</v>
      </c>
      <c r="AL274" s="507">
        <v>0</v>
      </c>
      <c r="AM274" s="507">
        <v>0</v>
      </c>
      <c r="AN274" s="507"/>
      <c r="AO274" s="507"/>
    </row>
    <row r="275" spans="1:41">
      <c r="A275" s="2" t="s">
        <v>235</v>
      </c>
      <c r="B275" s="2" t="s">
        <v>236</v>
      </c>
      <c r="C275" s="2" t="s">
        <v>219</v>
      </c>
      <c r="D275" s="2" t="s">
        <v>25</v>
      </c>
      <c r="E275" s="2" t="s">
        <v>172</v>
      </c>
      <c r="F275" s="2" t="s">
        <v>173</v>
      </c>
      <c r="G275" s="2" t="s">
        <v>170</v>
      </c>
      <c r="H275">
        <v>1</v>
      </c>
      <c r="I275" s="2" t="s">
        <v>526</v>
      </c>
      <c r="J275" s="3">
        <v>5.2308000000000003</v>
      </c>
      <c r="K275" s="3">
        <v>5.2488000000000001</v>
      </c>
      <c r="L275" s="507">
        <v>1551.8723895984872</v>
      </c>
      <c r="M275" s="507">
        <v>0</v>
      </c>
      <c r="N275" s="507">
        <v>1551.8723895984872</v>
      </c>
      <c r="O275" s="507">
        <v>0</v>
      </c>
      <c r="P275">
        <v>1</v>
      </c>
      <c r="Q275" s="2" t="s">
        <v>526</v>
      </c>
      <c r="R275" s="3">
        <v>5.2488000000000001</v>
      </c>
      <c r="S275" s="3">
        <v>5.2488000000000001</v>
      </c>
      <c r="T275" s="507">
        <v>2188.1812637661992</v>
      </c>
      <c r="U275" s="507">
        <v>0</v>
      </c>
      <c r="V275" s="507">
        <v>2188.1812637661992</v>
      </c>
      <c r="W275" s="507">
        <v>0</v>
      </c>
      <c r="X275" s="507">
        <v>1551.8723895984872</v>
      </c>
      <c r="Y275" s="507">
        <v>2188.1812637661992</v>
      </c>
      <c r="Z275" s="507">
        <v>8145.4677985245398</v>
      </c>
      <c r="AA275" s="507">
        <v>11485.325817256027</v>
      </c>
      <c r="AB275" s="507">
        <v>11524.848617728345</v>
      </c>
      <c r="AC275" s="507">
        <v>-3339.86</v>
      </c>
      <c r="AD275" s="507">
        <v>-3379.38</v>
      </c>
      <c r="AE275" s="507">
        <v>39.520000000000003</v>
      </c>
      <c r="AF275" s="507"/>
      <c r="AG275" s="507">
        <v>-3379.38</v>
      </c>
      <c r="AH275" s="507">
        <v>0</v>
      </c>
      <c r="AI275" s="507">
        <v>0</v>
      </c>
      <c r="AJ275" s="507">
        <v>0</v>
      </c>
      <c r="AK275" s="507">
        <v>0</v>
      </c>
      <c r="AL275" s="507">
        <v>0</v>
      </c>
      <c r="AM275" s="507">
        <v>0</v>
      </c>
      <c r="AN275" s="507"/>
      <c r="AO275" s="507"/>
    </row>
    <row r="276" spans="1:41">
      <c r="A276" s="2" t="s">
        <v>237</v>
      </c>
      <c r="B276" s="2" t="s">
        <v>236</v>
      </c>
      <c r="C276" s="2" t="s">
        <v>219</v>
      </c>
      <c r="D276" s="2" t="s">
        <v>25</v>
      </c>
      <c r="E276" s="2" t="s">
        <v>172</v>
      </c>
      <c r="F276" s="2" t="s">
        <v>173</v>
      </c>
      <c r="G276" s="2" t="s">
        <v>57</v>
      </c>
      <c r="H276">
        <v>1</v>
      </c>
      <c r="I276" s="2" t="s">
        <v>526</v>
      </c>
      <c r="J276" s="3">
        <v>0.15684552284455039</v>
      </c>
      <c r="K276" s="3">
        <v>5.2488000000000001</v>
      </c>
      <c r="L276" s="507">
        <v>701.77825261024179</v>
      </c>
      <c r="M276" s="507">
        <v>0</v>
      </c>
      <c r="N276" s="507">
        <v>701.77825261024179</v>
      </c>
      <c r="O276" s="507">
        <v>0</v>
      </c>
      <c r="P276">
        <v>1</v>
      </c>
      <c r="Q276" s="2" t="s">
        <v>526</v>
      </c>
      <c r="R276" s="3">
        <v>0.15702038124548567</v>
      </c>
      <c r="S276" s="3">
        <v>5.2488000000000001</v>
      </c>
      <c r="T276" s="507">
        <v>3.156499950147075</v>
      </c>
      <c r="U276" s="507">
        <v>0</v>
      </c>
      <c r="V276" s="507">
        <v>3.156499950147075</v>
      </c>
      <c r="W276" s="507">
        <v>0</v>
      </c>
      <c r="X276" s="507">
        <v>701.77825261024179</v>
      </c>
      <c r="Y276" s="507">
        <v>3.156499950147075</v>
      </c>
      <c r="Z276" s="507">
        <v>3683.4936923006371</v>
      </c>
      <c r="AA276" s="507">
        <v>16.567836938331968</v>
      </c>
      <c r="AB276" s="507">
        <v>16.586307503646506</v>
      </c>
      <c r="AC276" s="507">
        <v>3666.93</v>
      </c>
      <c r="AD276" s="507">
        <v>3666.91</v>
      </c>
      <c r="AE276" s="507">
        <v>0.02</v>
      </c>
      <c r="AF276" s="507">
        <v>3666.91</v>
      </c>
      <c r="AG276" s="507"/>
      <c r="AH276" s="507">
        <v>0</v>
      </c>
      <c r="AI276" s="507">
        <v>0</v>
      </c>
      <c r="AJ276" s="507">
        <v>0</v>
      </c>
      <c r="AK276" s="507">
        <v>0</v>
      </c>
      <c r="AL276" s="507">
        <v>0</v>
      </c>
      <c r="AM276" s="507">
        <v>0</v>
      </c>
      <c r="AN276" s="507"/>
      <c r="AO276" s="507"/>
    </row>
    <row r="277" spans="1:41">
      <c r="A277" s="2" t="s">
        <v>238</v>
      </c>
      <c r="B277" s="2" t="s">
        <v>239</v>
      </c>
      <c r="C277" s="2" t="s">
        <v>219</v>
      </c>
      <c r="D277" s="2" t="s">
        <v>25</v>
      </c>
      <c r="E277" s="2" t="s">
        <v>172</v>
      </c>
      <c r="F277" s="2" t="s">
        <v>173</v>
      </c>
      <c r="G277" s="2" t="s">
        <v>21</v>
      </c>
      <c r="H277">
        <v>1</v>
      </c>
      <c r="I277" s="2" t="s">
        <v>526</v>
      </c>
      <c r="J277" s="3">
        <v>1</v>
      </c>
      <c r="K277" s="3">
        <v>5.2488000000000001</v>
      </c>
      <c r="L277" s="507">
        <v>4567.3252503981494</v>
      </c>
      <c r="M277" s="507">
        <v>0</v>
      </c>
      <c r="N277" s="507">
        <v>4567.3252503981494</v>
      </c>
      <c r="O277" s="507">
        <v>0</v>
      </c>
      <c r="P277">
        <v>1</v>
      </c>
      <c r="Q277" s="2" t="s">
        <v>526</v>
      </c>
      <c r="R277" s="3">
        <v>1</v>
      </c>
      <c r="S277" s="3">
        <v>5.2488000000000001</v>
      </c>
      <c r="T277" s="507">
        <v>4343.2782153828539</v>
      </c>
      <c r="U277" s="507">
        <v>0</v>
      </c>
      <c r="V277" s="507">
        <v>4343.2782153828539</v>
      </c>
      <c r="W277" s="507">
        <v>0</v>
      </c>
      <c r="X277" s="507">
        <v>4567.3252503981494</v>
      </c>
      <c r="Y277" s="507">
        <v>4343.2782153828539</v>
      </c>
      <c r="Z277" s="507">
        <v>23972.976774289808</v>
      </c>
      <c r="AA277" s="507">
        <v>22796.998696901523</v>
      </c>
      <c r="AB277" s="507">
        <v>22796.998696901523</v>
      </c>
      <c r="AC277" s="507">
        <v>1175.98</v>
      </c>
      <c r="AD277" s="507">
        <v>1175.98</v>
      </c>
      <c r="AE277" s="507">
        <v>0</v>
      </c>
      <c r="AF277" s="507">
        <v>1175.98</v>
      </c>
      <c r="AG277" s="507"/>
      <c r="AH277" s="507">
        <v>0</v>
      </c>
      <c r="AI277" s="507">
        <v>0</v>
      </c>
      <c r="AJ277" s="507">
        <v>0</v>
      </c>
      <c r="AK277" s="507">
        <v>0</v>
      </c>
      <c r="AL277" s="507">
        <v>0</v>
      </c>
      <c r="AM277" s="507">
        <v>0</v>
      </c>
      <c r="AN277" s="507"/>
      <c r="AO277" s="507"/>
    </row>
    <row r="278" spans="1:41">
      <c r="A278" s="2" t="s">
        <v>240</v>
      </c>
      <c r="B278" s="2" t="s">
        <v>241</v>
      </c>
      <c r="C278" s="2" t="s">
        <v>219</v>
      </c>
      <c r="D278" s="2" t="s">
        <v>25</v>
      </c>
      <c r="E278" s="2" t="s">
        <v>172</v>
      </c>
      <c r="F278" s="2" t="s">
        <v>173</v>
      </c>
      <c r="G278" s="2" t="s">
        <v>21</v>
      </c>
      <c r="H278">
        <v>1</v>
      </c>
      <c r="I278" s="2" t="s">
        <v>526</v>
      </c>
      <c r="J278" s="3">
        <v>1</v>
      </c>
      <c r="K278" s="3">
        <v>5.2488000000000001</v>
      </c>
      <c r="L278" s="507">
        <v>154933.34240718576</v>
      </c>
      <c r="M278" s="507">
        <v>0</v>
      </c>
      <c r="N278" s="507">
        <v>154933.34240718576</v>
      </c>
      <c r="O278" s="507">
        <v>31.307127034804743</v>
      </c>
      <c r="P278">
        <v>1</v>
      </c>
      <c r="Q278" s="2" t="s">
        <v>526</v>
      </c>
      <c r="R278" s="3">
        <v>1</v>
      </c>
      <c r="S278" s="3">
        <v>5.2488000000000001</v>
      </c>
      <c r="T278" s="507">
        <v>196882.20306546323</v>
      </c>
      <c r="U278" s="507">
        <v>0</v>
      </c>
      <c r="V278" s="507">
        <v>196882.20306546323</v>
      </c>
      <c r="W278" s="507">
        <v>265.87891185934257</v>
      </c>
      <c r="X278" s="507">
        <v>154964.64953422057</v>
      </c>
      <c r="Y278" s="507">
        <v>197148.08197732258</v>
      </c>
      <c r="Z278" s="507">
        <v>813378.45247521694</v>
      </c>
      <c r="AA278" s="507">
        <v>1034790.8526825708</v>
      </c>
      <c r="AB278" s="507">
        <v>1034790.8526825708</v>
      </c>
      <c r="AC278" s="507">
        <v>-221412.4</v>
      </c>
      <c r="AD278" s="507">
        <v>-221412.4</v>
      </c>
      <c r="AE278" s="507">
        <v>0</v>
      </c>
      <c r="AF278" s="507"/>
      <c r="AG278" s="507">
        <v>-221412.4</v>
      </c>
      <c r="AH278" s="507">
        <v>0</v>
      </c>
      <c r="AI278" s="507">
        <v>0</v>
      </c>
      <c r="AJ278" s="507">
        <v>0</v>
      </c>
      <c r="AK278" s="507">
        <v>0</v>
      </c>
      <c r="AL278" s="507">
        <v>0</v>
      </c>
      <c r="AM278" s="507">
        <v>0</v>
      </c>
      <c r="AN278" s="507"/>
      <c r="AO278" s="507"/>
    </row>
    <row r="279" spans="1:41">
      <c r="A279" s="2" t="s">
        <v>242</v>
      </c>
      <c r="B279" s="2" t="s">
        <v>241</v>
      </c>
      <c r="C279" s="2" t="s">
        <v>219</v>
      </c>
      <c r="D279" s="2" t="s">
        <v>25</v>
      </c>
      <c r="E279" s="2" t="s">
        <v>172</v>
      </c>
      <c r="F279" s="2" t="s">
        <v>173</v>
      </c>
      <c r="G279" s="2" t="s">
        <v>164</v>
      </c>
      <c r="H279">
        <v>1</v>
      </c>
      <c r="I279" s="2" t="s">
        <v>526</v>
      </c>
      <c r="J279" s="3">
        <v>1.2230919765166341</v>
      </c>
      <c r="K279" s="3">
        <v>5.2488000000000001</v>
      </c>
      <c r="L279" s="507">
        <v>140.21798687776374</v>
      </c>
      <c r="M279" s="507">
        <v>0</v>
      </c>
      <c r="N279" s="507">
        <v>140.21798687776374</v>
      </c>
      <c r="O279" s="507">
        <v>1.3351051220208932E-4</v>
      </c>
      <c r="P279">
        <v>1</v>
      </c>
      <c r="Q279" s="2" t="s">
        <v>526</v>
      </c>
      <c r="R279" s="3">
        <v>1.2246047588140927</v>
      </c>
      <c r="S279" s="3">
        <v>5.2488000000000001</v>
      </c>
      <c r="T279" s="507">
        <v>140.21621786347708</v>
      </c>
      <c r="U279" s="507">
        <v>0</v>
      </c>
      <c r="V279" s="507">
        <v>140.21621786347708</v>
      </c>
      <c r="W279" s="507">
        <v>1.2683498659198486E-3</v>
      </c>
      <c r="X279" s="507">
        <v>140.21812038827593</v>
      </c>
      <c r="Y279" s="507">
        <v>140.21748621334299</v>
      </c>
      <c r="Z279" s="507">
        <v>735.97687029398276</v>
      </c>
      <c r="AA279" s="507">
        <v>735.97354163659475</v>
      </c>
      <c r="AB279" s="507">
        <v>736.88383110505845</v>
      </c>
      <c r="AC279" s="507">
        <v>0</v>
      </c>
      <c r="AD279" s="507">
        <v>-0.91</v>
      </c>
      <c r="AE279" s="507">
        <v>0.91</v>
      </c>
      <c r="AF279" s="507"/>
      <c r="AG279" s="507">
        <v>-0.91</v>
      </c>
      <c r="AH279" s="507">
        <v>0</v>
      </c>
      <c r="AI279" s="507">
        <v>0</v>
      </c>
      <c r="AJ279" s="507">
        <v>0</v>
      </c>
      <c r="AK279" s="507">
        <v>0</v>
      </c>
      <c r="AL279" s="507">
        <v>0</v>
      </c>
      <c r="AM279" s="507">
        <v>0</v>
      </c>
      <c r="AN279" s="507"/>
      <c r="AO279" s="507"/>
    </row>
    <row r="280" spans="1:41">
      <c r="A280" s="2" t="s">
        <v>243</v>
      </c>
      <c r="B280" s="2" t="s">
        <v>244</v>
      </c>
      <c r="C280" s="2" t="s">
        <v>219</v>
      </c>
      <c r="D280" s="2" t="s">
        <v>25</v>
      </c>
      <c r="E280" s="2" t="s">
        <v>172</v>
      </c>
      <c r="F280" s="2" t="s">
        <v>173</v>
      </c>
      <c r="G280" s="2" t="s">
        <v>21</v>
      </c>
      <c r="H280">
        <v>1</v>
      </c>
      <c r="I280" s="2" t="s">
        <v>526</v>
      </c>
      <c r="J280" s="3">
        <v>1</v>
      </c>
      <c r="K280" s="3">
        <v>5.2488000000000001</v>
      </c>
      <c r="L280" s="507">
        <v>3.7750862085204959</v>
      </c>
      <c r="M280" s="507">
        <v>0</v>
      </c>
      <c r="N280" s="507">
        <v>3.7750862085204959</v>
      </c>
      <c r="O280" s="507">
        <v>5.1501746707231452E-4</v>
      </c>
      <c r="P280">
        <v>1</v>
      </c>
      <c r="Q280" s="2" t="s">
        <v>526</v>
      </c>
      <c r="R280" s="3">
        <v>1</v>
      </c>
      <c r="S280" s="3">
        <v>5.2488000000000001</v>
      </c>
      <c r="T280" s="507">
        <v>3.5038682005036987</v>
      </c>
      <c r="U280" s="507">
        <v>0</v>
      </c>
      <c r="V280" s="507">
        <v>3.5038682005036987</v>
      </c>
      <c r="W280" s="507">
        <v>0.26965660585472012</v>
      </c>
      <c r="X280" s="507">
        <v>3.7756012259875682</v>
      </c>
      <c r="Y280" s="507">
        <v>3.7735248063584188</v>
      </c>
      <c r="Z280" s="507">
        <v>19.81737571496355</v>
      </c>
      <c r="AA280" s="507">
        <v>19.80647700361407</v>
      </c>
      <c r="AB280" s="507">
        <v>19.80647700361407</v>
      </c>
      <c r="AC280" s="507">
        <v>0.01</v>
      </c>
      <c r="AD280" s="507">
        <v>0.01</v>
      </c>
      <c r="AE280" s="507">
        <v>0</v>
      </c>
      <c r="AF280" s="507">
        <v>0.01</v>
      </c>
      <c r="AG280" s="507"/>
      <c r="AH280" s="507">
        <v>0</v>
      </c>
      <c r="AI280" s="507">
        <v>0</v>
      </c>
      <c r="AJ280" s="507">
        <v>0</v>
      </c>
      <c r="AK280" s="507">
        <v>0</v>
      </c>
      <c r="AL280" s="507">
        <v>0</v>
      </c>
      <c r="AM280" s="507">
        <v>0</v>
      </c>
      <c r="AN280" s="507"/>
      <c r="AO280" s="507"/>
    </row>
    <row r="281" spans="1:41">
      <c r="A281" s="2" t="s">
        <v>245</v>
      </c>
      <c r="B281" s="2" t="s">
        <v>246</v>
      </c>
      <c r="C281" s="2" t="s">
        <v>219</v>
      </c>
      <c r="D281" s="2" t="s">
        <v>25</v>
      </c>
      <c r="E281" s="2" t="s">
        <v>172</v>
      </c>
      <c r="F281" s="2" t="s">
        <v>173</v>
      </c>
      <c r="G281" s="2" t="s">
        <v>21</v>
      </c>
      <c r="H281">
        <v>1</v>
      </c>
      <c r="I281" s="2" t="s">
        <v>526</v>
      </c>
      <c r="J281" s="3">
        <v>1</v>
      </c>
      <c r="K281" s="3">
        <v>5.2488000000000001</v>
      </c>
      <c r="L281" s="507">
        <v>1039.1112668142139</v>
      </c>
      <c r="M281" s="507">
        <v>0</v>
      </c>
      <c r="N281" s="507">
        <v>1039.1112668142139</v>
      </c>
      <c r="O281" s="507">
        <v>7.0712715717071745E-2</v>
      </c>
      <c r="P281">
        <v>1</v>
      </c>
      <c r="Q281" s="2" t="s">
        <v>526</v>
      </c>
      <c r="R281" s="3">
        <v>1</v>
      </c>
      <c r="S281" s="3">
        <v>5.2488000000000001</v>
      </c>
      <c r="T281" s="507">
        <v>939.93561211168435</v>
      </c>
      <c r="U281" s="507">
        <v>0</v>
      </c>
      <c r="V281" s="507">
        <v>939.93561211168435</v>
      </c>
      <c r="W281" s="507">
        <v>0.40949611048549817</v>
      </c>
      <c r="X281" s="507">
        <v>1039.1819795299309</v>
      </c>
      <c r="Y281" s="507">
        <v>940.34510822216987</v>
      </c>
      <c r="Z281" s="507">
        <v>5454.4583741567012</v>
      </c>
      <c r="AA281" s="507">
        <v>4935.6834040365256</v>
      </c>
      <c r="AB281" s="507">
        <v>4935.6834040365256</v>
      </c>
      <c r="AC281" s="507">
        <v>518.77</v>
      </c>
      <c r="AD281" s="507">
        <v>518.77</v>
      </c>
      <c r="AE281" s="507">
        <v>0</v>
      </c>
      <c r="AF281" s="507">
        <v>518.77</v>
      </c>
      <c r="AG281" s="507"/>
      <c r="AH281" s="507">
        <v>0</v>
      </c>
      <c r="AI281" s="507">
        <v>0</v>
      </c>
      <c r="AJ281" s="507">
        <v>0</v>
      </c>
      <c r="AK281" s="507">
        <v>0</v>
      </c>
      <c r="AL281" s="507">
        <v>0</v>
      </c>
      <c r="AM281" s="507">
        <v>0</v>
      </c>
      <c r="AN281" s="507"/>
      <c r="AO281" s="507"/>
    </row>
    <row r="282" spans="1:41">
      <c r="A282" s="2" t="s">
        <v>247</v>
      </c>
      <c r="B282" s="2" t="s">
        <v>248</v>
      </c>
      <c r="C282" s="2" t="s">
        <v>219</v>
      </c>
      <c r="D282" s="2" t="s">
        <v>25</v>
      </c>
      <c r="E282" s="2" t="s">
        <v>172</v>
      </c>
      <c r="F282" s="2" t="s">
        <v>173</v>
      </c>
      <c r="G282" s="2" t="s">
        <v>21</v>
      </c>
      <c r="H282">
        <v>1</v>
      </c>
      <c r="I282" s="2" t="s">
        <v>526</v>
      </c>
      <c r="J282" s="3">
        <v>1</v>
      </c>
      <c r="K282" s="3">
        <v>5.2488000000000001</v>
      </c>
      <c r="L282" s="507">
        <v>116.4403236550209</v>
      </c>
      <c r="M282" s="507">
        <v>0</v>
      </c>
      <c r="N282" s="507">
        <v>116.4403236550209</v>
      </c>
      <c r="O282" s="507">
        <v>7.8969344951088233E-3</v>
      </c>
      <c r="P282">
        <v>1</v>
      </c>
      <c r="Q282" s="2" t="s">
        <v>526</v>
      </c>
      <c r="R282" s="3">
        <v>1</v>
      </c>
      <c r="S282" s="3">
        <v>5.2488000000000001</v>
      </c>
      <c r="T282" s="507">
        <v>116.33646997404173</v>
      </c>
      <c r="U282" s="507">
        <v>0</v>
      </c>
      <c r="V282" s="507">
        <v>116.33646997404173</v>
      </c>
      <c r="W282" s="507">
        <v>7.5560419811895305E-2</v>
      </c>
      <c r="X282" s="507">
        <v>116.44822058951601</v>
      </c>
      <c r="Y282" s="507">
        <v>116.41203039385363</v>
      </c>
      <c r="Z282" s="507">
        <v>611.2134202302517</v>
      </c>
      <c r="AA282" s="507">
        <v>611.02346513125894</v>
      </c>
      <c r="AB282" s="507">
        <v>611.02346513125894</v>
      </c>
      <c r="AC282" s="507">
        <v>0.19</v>
      </c>
      <c r="AD282" s="507">
        <v>0.19</v>
      </c>
      <c r="AE282" s="507">
        <v>0</v>
      </c>
      <c r="AF282" s="507">
        <v>0.19</v>
      </c>
      <c r="AG282" s="507"/>
      <c r="AH282" s="507">
        <v>0</v>
      </c>
      <c r="AI282" s="507">
        <v>0</v>
      </c>
      <c r="AJ282" s="507">
        <v>0</v>
      </c>
      <c r="AK282" s="507">
        <v>0</v>
      </c>
      <c r="AL282" s="507">
        <v>0</v>
      </c>
      <c r="AM282" s="507">
        <v>0</v>
      </c>
      <c r="AN282" s="507"/>
      <c r="AO282" s="507"/>
    </row>
    <row r="283" spans="1:41">
      <c r="A283" s="2" t="s">
        <v>249</v>
      </c>
      <c r="B283" s="2" t="s">
        <v>250</v>
      </c>
      <c r="C283" s="2" t="s">
        <v>219</v>
      </c>
      <c r="D283" s="2" t="s">
        <v>25</v>
      </c>
      <c r="E283" s="2" t="s">
        <v>172</v>
      </c>
      <c r="F283" s="2" t="s">
        <v>173</v>
      </c>
      <c r="G283" s="2" t="s">
        <v>21</v>
      </c>
      <c r="H283">
        <v>1</v>
      </c>
      <c r="I283" s="2" t="s">
        <v>526</v>
      </c>
      <c r="J283" s="3">
        <v>1</v>
      </c>
      <c r="K283" s="3">
        <v>5.2488000000000001</v>
      </c>
      <c r="L283" s="507">
        <v>612.45339277107382</v>
      </c>
      <c r="M283" s="507">
        <v>0</v>
      </c>
      <c r="N283" s="507">
        <v>612.45339277107382</v>
      </c>
      <c r="O283" s="507">
        <v>4.6498719884243256E-2</v>
      </c>
      <c r="P283">
        <v>1</v>
      </c>
      <c r="Q283" s="2" t="s">
        <v>526</v>
      </c>
      <c r="R283" s="3">
        <v>1</v>
      </c>
      <c r="S283" s="3">
        <v>5.2488000000000001</v>
      </c>
      <c r="T283" s="507">
        <v>502.21937293925237</v>
      </c>
      <c r="U283" s="507">
        <v>0</v>
      </c>
      <c r="V283" s="507">
        <v>502.21937293925237</v>
      </c>
      <c r="W283" s="507">
        <v>0.28088889156515445</v>
      </c>
      <c r="X283" s="507">
        <v>612.49989149095802</v>
      </c>
      <c r="Y283" s="507">
        <v>502.50026183081752</v>
      </c>
      <c r="Z283" s="507">
        <v>3214.8894304577407</v>
      </c>
      <c r="AA283" s="507">
        <v>2637.5233742975952</v>
      </c>
      <c r="AB283" s="507">
        <v>2637.5233742975952</v>
      </c>
      <c r="AC283" s="507">
        <v>577.37</v>
      </c>
      <c r="AD283" s="507">
        <v>577.37</v>
      </c>
      <c r="AE283" s="507">
        <v>0</v>
      </c>
      <c r="AF283" s="507">
        <v>577.37</v>
      </c>
      <c r="AG283" s="507"/>
      <c r="AH283" s="507">
        <v>0</v>
      </c>
      <c r="AI283" s="507">
        <v>0</v>
      </c>
      <c r="AJ283" s="507">
        <v>0</v>
      </c>
      <c r="AK283" s="507">
        <v>0</v>
      </c>
      <c r="AL283" s="507">
        <v>0</v>
      </c>
      <c r="AM283" s="507">
        <v>0</v>
      </c>
      <c r="AN283" s="507"/>
      <c r="AO283" s="507"/>
    </row>
    <row r="284" spans="1:41">
      <c r="A284" s="2" t="s">
        <v>251</v>
      </c>
      <c r="B284" s="2" t="s">
        <v>252</v>
      </c>
      <c r="C284" s="2" t="s">
        <v>219</v>
      </c>
      <c r="D284" s="2" t="s">
        <v>25</v>
      </c>
      <c r="E284" s="2" t="s">
        <v>172</v>
      </c>
      <c r="F284" s="2" t="s">
        <v>173</v>
      </c>
      <c r="G284" s="2" t="s">
        <v>164</v>
      </c>
      <c r="H284">
        <v>1</v>
      </c>
      <c r="I284" s="2" t="s">
        <v>526</v>
      </c>
      <c r="J284" s="3">
        <v>1.2230919765166341</v>
      </c>
      <c r="K284" s="3">
        <v>5.2488000000000001</v>
      </c>
      <c r="L284" s="507">
        <v>25090.241795553691</v>
      </c>
      <c r="M284" s="507">
        <v>0</v>
      </c>
      <c r="N284" s="507">
        <v>25090.241795553691</v>
      </c>
      <c r="O284" s="507">
        <v>0</v>
      </c>
      <c r="P284">
        <v>1</v>
      </c>
      <c r="Q284" s="2" t="s">
        <v>526</v>
      </c>
      <c r="R284" s="3">
        <v>1.2246047588140927</v>
      </c>
      <c r="S284" s="3">
        <v>5.2488000000000001</v>
      </c>
      <c r="T284" s="507">
        <v>24833.307196623249</v>
      </c>
      <c r="U284" s="507">
        <v>0</v>
      </c>
      <c r="V284" s="507">
        <v>24833.307196623249</v>
      </c>
      <c r="W284" s="507">
        <v>0</v>
      </c>
      <c r="X284" s="507">
        <v>25090.241795553691</v>
      </c>
      <c r="Y284" s="507">
        <v>24833.307196623249</v>
      </c>
      <c r="Z284" s="507">
        <v>131693.66113650223</v>
      </c>
      <c r="AA284" s="507">
        <v>130345.06281363612</v>
      </c>
      <c r="AB284" s="507">
        <v>130506.28020968768</v>
      </c>
      <c r="AC284" s="507">
        <v>1348.6</v>
      </c>
      <c r="AD284" s="507">
        <v>1187.3800000000001</v>
      </c>
      <c r="AE284" s="507">
        <v>161.22</v>
      </c>
      <c r="AF284" s="507">
        <v>1187.3800000000001</v>
      </c>
      <c r="AG284" s="507"/>
      <c r="AH284" s="507">
        <v>0</v>
      </c>
      <c r="AI284" s="507">
        <v>0</v>
      </c>
      <c r="AJ284" s="507">
        <v>0</v>
      </c>
      <c r="AK284" s="507">
        <v>0</v>
      </c>
      <c r="AL284" s="507">
        <v>0</v>
      </c>
      <c r="AM284" s="507">
        <v>0</v>
      </c>
      <c r="AN284" s="507"/>
      <c r="AO284" s="507"/>
    </row>
    <row r="285" spans="1:41">
      <c r="A285" s="2" t="s">
        <v>253</v>
      </c>
      <c r="B285" s="2" t="s">
        <v>254</v>
      </c>
      <c r="C285" s="2" t="s">
        <v>219</v>
      </c>
      <c r="D285" s="2" t="s">
        <v>25</v>
      </c>
      <c r="E285" s="2" t="s">
        <v>172</v>
      </c>
      <c r="F285" s="2" t="s">
        <v>173</v>
      </c>
      <c r="G285" s="2" t="s">
        <v>255</v>
      </c>
      <c r="H285">
        <v>1</v>
      </c>
      <c r="I285" s="2" t="s">
        <v>526</v>
      </c>
      <c r="J285" s="3">
        <v>18.044027426921691</v>
      </c>
      <c r="K285" s="3">
        <v>5.2488000000000001</v>
      </c>
      <c r="L285" s="507">
        <v>126.45904019977529</v>
      </c>
      <c r="M285" s="507">
        <v>0</v>
      </c>
      <c r="N285" s="507">
        <v>126.45904019977529</v>
      </c>
      <c r="O285" s="507">
        <v>0</v>
      </c>
      <c r="P285">
        <v>1</v>
      </c>
      <c r="Q285" s="2" t="s">
        <v>526</v>
      </c>
      <c r="R285" s="3">
        <v>17.953643691987288</v>
      </c>
      <c r="S285" s="3">
        <v>5.2488000000000001</v>
      </c>
      <c r="T285" s="507">
        <v>125.63329441169816</v>
      </c>
      <c r="U285" s="507">
        <v>0</v>
      </c>
      <c r="V285" s="507">
        <v>125.63329441169816</v>
      </c>
      <c r="W285" s="507">
        <v>0</v>
      </c>
      <c r="X285" s="507">
        <v>126.45904019977529</v>
      </c>
      <c r="Y285" s="507">
        <v>125.63329441169816</v>
      </c>
      <c r="Z285" s="507">
        <v>663.75821020058049</v>
      </c>
      <c r="AA285" s="507">
        <v>659.42403570812132</v>
      </c>
      <c r="AB285" s="507">
        <v>656.12093680217015</v>
      </c>
      <c r="AC285" s="507">
        <v>4.33</v>
      </c>
      <c r="AD285" s="507">
        <v>7.64</v>
      </c>
      <c r="AE285" s="507">
        <v>-3.31</v>
      </c>
      <c r="AF285" s="507">
        <v>7.64</v>
      </c>
      <c r="AG285" s="507"/>
      <c r="AH285" s="507">
        <v>0</v>
      </c>
      <c r="AI285" s="507">
        <v>0</v>
      </c>
      <c r="AJ285" s="507">
        <v>0</v>
      </c>
      <c r="AK285" s="507">
        <v>0</v>
      </c>
      <c r="AL285" s="507">
        <v>0</v>
      </c>
      <c r="AM285" s="507">
        <v>0</v>
      </c>
      <c r="AN285" s="507"/>
      <c r="AO285" s="507"/>
    </row>
    <row r="286" spans="1:41">
      <c r="A286" s="2" t="s">
        <v>256</v>
      </c>
      <c r="B286" s="2" t="s">
        <v>257</v>
      </c>
      <c r="C286" s="2" t="s">
        <v>219</v>
      </c>
      <c r="D286" s="2" t="s">
        <v>25</v>
      </c>
      <c r="E286" s="2" t="s">
        <v>172</v>
      </c>
      <c r="F286" s="2" t="s">
        <v>173</v>
      </c>
      <c r="G286" s="2" t="s">
        <v>21</v>
      </c>
      <c r="H286">
        <v>1</v>
      </c>
      <c r="I286" s="2" t="s">
        <v>526</v>
      </c>
      <c r="J286" s="3">
        <v>1</v>
      </c>
      <c r="K286" s="3">
        <v>5.2488000000000001</v>
      </c>
      <c r="L286" s="507">
        <v>1489.5607814927814</v>
      </c>
      <c r="M286" s="507">
        <v>0</v>
      </c>
      <c r="N286" s="507">
        <v>1489.5607814927814</v>
      </c>
      <c r="O286" s="507">
        <v>0.23219112884531662</v>
      </c>
      <c r="P286">
        <v>1</v>
      </c>
      <c r="Q286" s="2" t="s">
        <v>526</v>
      </c>
      <c r="R286" s="3">
        <v>1</v>
      </c>
      <c r="S286" s="3">
        <v>5.2488000000000001</v>
      </c>
      <c r="T286" s="507">
        <v>2637.5395306015439</v>
      </c>
      <c r="U286" s="507">
        <v>0</v>
      </c>
      <c r="V286" s="507">
        <v>2637.5395306015439</v>
      </c>
      <c r="W286" s="507">
        <v>1.60340469772428</v>
      </c>
      <c r="X286" s="507">
        <v>1489.7929726216266</v>
      </c>
      <c r="Y286" s="507">
        <v>2639.1429352992682</v>
      </c>
      <c r="Z286" s="507">
        <v>7819.6253546963944</v>
      </c>
      <c r="AA286" s="507">
        <v>13852.3334387988</v>
      </c>
      <c r="AB286" s="507">
        <v>13852.3334387988</v>
      </c>
      <c r="AC286" s="507">
        <v>-6032.71</v>
      </c>
      <c r="AD286" s="507">
        <v>-6032.71</v>
      </c>
      <c r="AE286" s="507">
        <v>0</v>
      </c>
      <c r="AF286" s="507"/>
      <c r="AG286" s="507">
        <v>-6032.71</v>
      </c>
      <c r="AH286" s="507">
        <v>0</v>
      </c>
      <c r="AI286" s="507">
        <v>0</v>
      </c>
      <c r="AJ286" s="507">
        <v>0</v>
      </c>
      <c r="AK286" s="507">
        <v>0</v>
      </c>
      <c r="AL286" s="507">
        <v>0</v>
      </c>
      <c r="AM286" s="507">
        <v>0</v>
      </c>
      <c r="AN286" s="507"/>
      <c r="AO286" s="507"/>
    </row>
    <row r="287" spans="1:41">
      <c r="A287" s="2" t="s">
        <v>260</v>
      </c>
      <c r="B287" s="2" t="s">
        <v>261</v>
      </c>
      <c r="C287" s="2" t="s">
        <v>219</v>
      </c>
      <c r="D287" s="2" t="s">
        <v>25</v>
      </c>
      <c r="E287" s="2" t="s">
        <v>172</v>
      </c>
      <c r="F287" s="2" t="s">
        <v>173</v>
      </c>
      <c r="G287" s="2" t="s">
        <v>21</v>
      </c>
      <c r="H287">
        <v>1</v>
      </c>
      <c r="I287" s="2" t="s">
        <v>526</v>
      </c>
      <c r="J287" s="3">
        <v>1</v>
      </c>
      <c r="K287" s="3">
        <v>5.2488000000000001</v>
      </c>
      <c r="L287" s="507">
        <v>4649.6648451291167</v>
      </c>
      <c r="M287" s="507">
        <v>0</v>
      </c>
      <c r="N287" s="507">
        <v>4649.6648451291167</v>
      </c>
      <c r="O287" s="507">
        <v>0.34273186201598083</v>
      </c>
      <c r="P287">
        <v>1</v>
      </c>
      <c r="Q287" s="2" t="s">
        <v>526</v>
      </c>
      <c r="R287" s="3">
        <v>1</v>
      </c>
      <c r="S287" s="3">
        <v>5.2488000000000001</v>
      </c>
      <c r="T287" s="507">
        <v>8434.5400969196999</v>
      </c>
      <c r="U287" s="507">
        <v>0</v>
      </c>
      <c r="V287" s="507">
        <v>8434.5400969196999</v>
      </c>
      <c r="W287" s="507">
        <v>13.649933023599896</v>
      </c>
      <c r="X287" s="507">
        <v>4650.0075769911327</v>
      </c>
      <c r="Y287" s="507">
        <v>8448.1900299433</v>
      </c>
      <c r="Z287" s="507">
        <v>24406.959770111058</v>
      </c>
      <c r="AA287" s="507">
        <v>44342.859829166395</v>
      </c>
      <c r="AB287" s="507">
        <v>44342.859829166395</v>
      </c>
      <c r="AC287" s="507">
        <v>-19935.900000000001</v>
      </c>
      <c r="AD287" s="507">
        <v>-19935.900000000001</v>
      </c>
      <c r="AE287" s="507">
        <v>0</v>
      </c>
      <c r="AF287" s="507"/>
      <c r="AG287" s="507">
        <v>-19935.900000000001</v>
      </c>
      <c r="AH287" s="507">
        <v>0</v>
      </c>
      <c r="AI287" s="507">
        <v>0</v>
      </c>
      <c r="AJ287" s="507">
        <v>0</v>
      </c>
      <c r="AK287" s="507">
        <v>0</v>
      </c>
      <c r="AL287" s="507">
        <v>0</v>
      </c>
      <c r="AM287" s="507">
        <v>0</v>
      </c>
      <c r="AN287" s="507"/>
      <c r="AO287" s="507"/>
    </row>
    <row r="288" spans="1:41">
      <c r="A288" s="2" t="s">
        <v>262</v>
      </c>
      <c r="B288" s="2" t="s">
        <v>263</v>
      </c>
      <c r="C288" s="2" t="s">
        <v>219</v>
      </c>
      <c r="D288" s="2" t="s">
        <v>25</v>
      </c>
      <c r="E288" s="2" t="s">
        <v>172</v>
      </c>
      <c r="F288" s="2" t="s">
        <v>173</v>
      </c>
      <c r="G288" s="2" t="s">
        <v>21</v>
      </c>
      <c r="H288">
        <v>1</v>
      </c>
      <c r="I288" s="2" t="s">
        <v>526</v>
      </c>
      <c r="J288" s="3">
        <v>1</v>
      </c>
      <c r="K288" s="3">
        <v>5.2488000000000001</v>
      </c>
      <c r="L288" s="507">
        <v>0.46469290314696271</v>
      </c>
      <c r="M288" s="507">
        <v>0</v>
      </c>
      <c r="N288" s="507">
        <v>0.46469290314696271</v>
      </c>
      <c r="O288" s="507">
        <v>2.4524641289157839E-5</v>
      </c>
      <c r="P288">
        <v>1</v>
      </c>
      <c r="Q288" s="2" t="s">
        <v>526</v>
      </c>
      <c r="R288" s="3">
        <v>1</v>
      </c>
      <c r="S288" s="3">
        <v>5.2488000000000001</v>
      </c>
      <c r="T288" s="507">
        <v>0.14749119271299521</v>
      </c>
      <c r="U288" s="507">
        <v>0</v>
      </c>
      <c r="V288" s="507">
        <v>0.14749119271299521</v>
      </c>
      <c r="W288" s="507">
        <v>8.1748804297192802E-5</v>
      </c>
      <c r="X288" s="507">
        <v>0.46471742778825187</v>
      </c>
      <c r="Y288" s="507">
        <v>0.14757294151729242</v>
      </c>
      <c r="Z288" s="507">
        <v>2.4392088349749765</v>
      </c>
      <c r="AA288" s="507">
        <v>0.77458085543596444</v>
      </c>
      <c r="AB288" s="507">
        <v>0.77458085543596444</v>
      </c>
      <c r="AC288" s="507">
        <v>1.66</v>
      </c>
      <c r="AD288" s="507">
        <v>1.66</v>
      </c>
      <c r="AE288" s="507">
        <v>0</v>
      </c>
      <c r="AF288" s="507">
        <v>1.66</v>
      </c>
      <c r="AG288" s="507"/>
      <c r="AH288" s="507">
        <v>0</v>
      </c>
      <c r="AI288" s="507">
        <v>0</v>
      </c>
      <c r="AJ288" s="507">
        <v>0</v>
      </c>
      <c r="AK288" s="507">
        <v>0</v>
      </c>
      <c r="AL288" s="507">
        <v>0</v>
      </c>
      <c r="AM288" s="507">
        <v>0</v>
      </c>
      <c r="AN288" s="507"/>
      <c r="AO288" s="507"/>
    </row>
    <row r="289" spans="1:41">
      <c r="A289" s="2" t="s">
        <v>264</v>
      </c>
      <c r="B289" s="2" t="s">
        <v>265</v>
      </c>
      <c r="C289" s="2" t="s">
        <v>219</v>
      </c>
      <c r="D289" s="2" t="s">
        <v>25</v>
      </c>
      <c r="E289" s="2" t="s">
        <v>172</v>
      </c>
      <c r="F289" s="2" t="s">
        <v>173</v>
      </c>
      <c r="G289" s="2" t="s">
        <v>21</v>
      </c>
      <c r="H289">
        <v>1</v>
      </c>
      <c r="I289" s="2" t="s">
        <v>526</v>
      </c>
      <c r="J289" s="3">
        <v>1</v>
      </c>
      <c r="K289" s="3">
        <v>5.2488000000000001</v>
      </c>
      <c r="L289" s="507">
        <v>51973.903341609788</v>
      </c>
      <c r="M289" s="507">
        <v>0</v>
      </c>
      <c r="N289" s="507">
        <v>51973.903341609788</v>
      </c>
      <c r="O289" s="507">
        <v>3.4397117388912615</v>
      </c>
      <c r="P289">
        <v>1</v>
      </c>
      <c r="Q289" s="2" t="s">
        <v>526</v>
      </c>
      <c r="R289" s="3">
        <v>1</v>
      </c>
      <c r="S289" s="3">
        <v>5.2488000000000001</v>
      </c>
      <c r="T289" s="507">
        <v>74806.299379098986</v>
      </c>
      <c r="U289" s="507">
        <v>0</v>
      </c>
      <c r="V289" s="507">
        <v>74806.299379098986</v>
      </c>
      <c r="W289" s="507">
        <v>19.738330546361496</v>
      </c>
      <c r="X289" s="507">
        <v>51977.343053348683</v>
      </c>
      <c r="Y289" s="507">
        <v>74826.037709645345</v>
      </c>
      <c r="Z289" s="507">
        <v>272818.67821841658</v>
      </c>
      <c r="AA289" s="507">
        <v>392746.90673038649</v>
      </c>
      <c r="AB289" s="507">
        <v>392746.90673038649</v>
      </c>
      <c r="AC289" s="507">
        <v>-119928.23</v>
      </c>
      <c r="AD289" s="507">
        <v>-119928.23</v>
      </c>
      <c r="AE289" s="507">
        <v>0</v>
      </c>
      <c r="AF289" s="507"/>
      <c r="AG289" s="507">
        <v>-119928.23</v>
      </c>
      <c r="AH289" s="507">
        <v>0</v>
      </c>
      <c r="AI289" s="507">
        <v>0</v>
      </c>
      <c r="AJ289" s="507">
        <v>0</v>
      </c>
      <c r="AK289" s="507">
        <v>0</v>
      </c>
      <c r="AL289" s="507">
        <v>0</v>
      </c>
      <c r="AM289" s="507">
        <v>0</v>
      </c>
      <c r="AN289" s="507"/>
      <c r="AO289" s="507"/>
    </row>
    <row r="290" spans="1:41">
      <c r="A290" s="2" t="s">
        <v>1010</v>
      </c>
      <c r="B290" s="2" t="s">
        <v>1011</v>
      </c>
      <c r="C290" s="2" t="s">
        <v>219</v>
      </c>
      <c r="D290" s="2" t="s">
        <v>25</v>
      </c>
      <c r="E290" s="2" t="s">
        <v>172</v>
      </c>
      <c r="F290" s="2" t="s">
        <v>173</v>
      </c>
      <c r="G290" s="2" t="s">
        <v>21</v>
      </c>
      <c r="H290">
        <v>1</v>
      </c>
      <c r="I290" s="2" t="s">
        <v>526</v>
      </c>
      <c r="J290" s="3">
        <v>1</v>
      </c>
      <c r="K290" s="3">
        <v>5.2488000000000001</v>
      </c>
      <c r="L290" s="507">
        <v>2.3958612568204072</v>
      </c>
      <c r="M290" s="507">
        <v>0</v>
      </c>
      <c r="N290" s="507">
        <v>2.3958612568204072</v>
      </c>
      <c r="O290" s="507">
        <v>4.9049282578315677E-5</v>
      </c>
      <c r="P290">
        <v>1</v>
      </c>
      <c r="Q290" s="2" t="s">
        <v>526</v>
      </c>
      <c r="R290" s="3">
        <v>1</v>
      </c>
      <c r="S290" s="3">
        <v>5.2488000000000001</v>
      </c>
      <c r="T290" s="507">
        <v>1.5393299849161397E-2</v>
      </c>
      <c r="U290" s="507">
        <v>0</v>
      </c>
      <c r="V290" s="507">
        <v>1.5393299849161397E-2</v>
      </c>
      <c r="W290" s="507">
        <v>3.62964691079536E-3</v>
      </c>
      <c r="X290" s="507">
        <v>2.3959103061029854</v>
      </c>
      <c r="Y290" s="507">
        <v>1.9022946759956756E-2</v>
      </c>
      <c r="Z290" s="507">
        <v>12.575654014673351</v>
      </c>
      <c r="AA290" s="507">
        <v>9.9847642953661025E-2</v>
      </c>
      <c r="AB290" s="507">
        <v>9.9847642953661025E-2</v>
      </c>
      <c r="AC290" s="507">
        <v>12.48</v>
      </c>
      <c r="AD290" s="507">
        <v>12.48</v>
      </c>
      <c r="AE290" s="507">
        <v>0</v>
      </c>
      <c r="AF290" s="507">
        <v>12.48</v>
      </c>
      <c r="AG290" s="507"/>
      <c r="AH290" s="507">
        <v>0</v>
      </c>
      <c r="AI290" s="507">
        <v>0</v>
      </c>
      <c r="AJ290" s="507">
        <v>0</v>
      </c>
      <c r="AK290" s="507">
        <v>0</v>
      </c>
      <c r="AL290" s="507">
        <v>0</v>
      </c>
      <c r="AM290" s="507">
        <v>0</v>
      </c>
      <c r="AN290" s="507"/>
      <c r="AO290" s="507"/>
    </row>
    <row r="291" spans="1:41">
      <c r="A291" s="2" t="s">
        <v>266</v>
      </c>
      <c r="B291" s="2" t="s">
        <v>267</v>
      </c>
      <c r="C291" s="2" t="s">
        <v>219</v>
      </c>
      <c r="D291" s="2" t="s">
        <v>25</v>
      </c>
      <c r="E291" s="2" t="s">
        <v>172</v>
      </c>
      <c r="F291" s="2" t="s">
        <v>173</v>
      </c>
      <c r="G291" s="2" t="s">
        <v>21</v>
      </c>
      <c r="H291">
        <v>1</v>
      </c>
      <c r="I291" s="2" t="s">
        <v>526</v>
      </c>
      <c r="J291" s="3">
        <v>1</v>
      </c>
      <c r="K291" s="3">
        <v>5.2488000000000001</v>
      </c>
      <c r="L291" s="507">
        <v>58.283562112683128</v>
      </c>
      <c r="M291" s="507">
        <v>0</v>
      </c>
      <c r="N291" s="507">
        <v>58.283562112683128</v>
      </c>
      <c r="O291" s="507">
        <v>13.648208123829228</v>
      </c>
      <c r="P291">
        <v>1</v>
      </c>
      <c r="Q291" s="2" t="s">
        <v>526</v>
      </c>
      <c r="R291" s="3">
        <v>1</v>
      </c>
      <c r="S291" s="3">
        <v>5.2488000000000001</v>
      </c>
      <c r="T291" s="507">
        <v>55.452756342599514</v>
      </c>
      <c r="U291" s="507">
        <v>0</v>
      </c>
      <c r="V291" s="507">
        <v>55.452756342599514</v>
      </c>
      <c r="W291" s="507">
        <v>4.7466707475926313</v>
      </c>
      <c r="X291" s="507">
        <v>71.931770236512364</v>
      </c>
      <c r="Y291" s="507">
        <v>60.199427090192145</v>
      </c>
      <c r="Z291" s="507">
        <v>377.5554756174061</v>
      </c>
      <c r="AA291" s="507">
        <v>315.97475291100056</v>
      </c>
      <c r="AB291" s="507">
        <v>315.97475291100056</v>
      </c>
      <c r="AC291" s="507">
        <v>61.58</v>
      </c>
      <c r="AD291" s="507">
        <v>61.58</v>
      </c>
      <c r="AE291" s="507">
        <v>0</v>
      </c>
      <c r="AF291" s="507">
        <v>61.58</v>
      </c>
      <c r="AG291" s="507"/>
      <c r="AH291" s="507">
        <v>0</v>
      </c>
      <c r="AI291" s="507">
        <v>0</v>
      </c>
      <c r="AJ291" s="507">
        <v>0</v>
      </c>
      <c r="AK291" s="507">
        <v>0</v>
      </c>
      <c r="AL291" s="507">
        <v>0</v>
      </c>
      <c r="AM291" s="507">
        <v>0</v>
      </c>
      <c r="AN291" s="507"/>
      <c r="AO291" s="507"/>
    </row>
    <row r="292" spans="1:41">
      <c r="A292" s="2" t="s">
        <v>268</v>
      </c>
      <c r="B292" s="2" t="s">
        <v>269</v>
      </c>
      <c r="C292" s="2" t="s">
        <v>219</v>
      </c>
      <c r="D292" s="2" t="s">
        <v>25</v>
      </c>
      <c r="E292" s="2" t="s">
        <v>172</v>
      </c>
      <c r="F292" s="2" t="s">
        <v>173</v>
      </c>
      <c r="G292" s="2" t="s">
        <v>21</v>
      </c>
      <c r="H292">
        <v>1</v>
      </c>
      <c r="I292" s="2" t="s">
        <v>526</v>
      </c>
      <c r="J292" s="3">
        <v>1</v>
      </c>
      <c r="K292" s="3">
        <v>5.2488000000000001</v>
      </c>
      <c r="L292" s="507">
        <v>2051.6581125242074</v>
      </c>
      <c r="M292" s="507">
        <v>0</v>
      </c>
      <c r="N292" s="507">
        <v>2051.6581125242074</v>
      </c>
      <c r="O292" s="507">
        <v>0.31241940538258167</v>
      </c>
      <c r="P292">
        <v>1</v>
      </c>
      <c r="Q292" s="2" t="s">
        <v>526</v>
      </c>
      <c r="R292" s="3">
        <v>1</v>
      </c>
      <c r="S292" s="3">
        <v>5.2488000000000001</v>
      </c>
      <c r="T292" s="507">
        <v>3079.040461467001</v>
      </c>
      <c r="U292" s="507">
        <v>0</v>
      </c>
      <c r="V292" s="507">
        <v>3079.040461467001</v>
      </c>
      <c r="W292" s="507">
        <v>5.6522921764773635</v>
      </c>
      <c r="X292" s="507">
        <v>2051.9705319295899</v>
      </c>
      <c r="Y292" s="507">
        <v>3084.6927536434782</v>
      </c>
      <c r="Z292" s="507">
        <v>10770.382927992032</v>
      </c>
      <c r="AA292" s="507">
        <v>16190.93532532389</v>
      </c>
      <c r="AB292" s="507">
        <v>16190.93532532389</v>
      </c>
      <c r="AC292" s="507">
        <v>-5420.55</v>
      </c>
      <c r="AD292" s="507">
        <v>-5420.55</v>
      </c>
      <c r="AE292" s="507">
        <v>0</v>
      </c>
      <c r="AF292" s="507"/>
      <c r="AG292" s="507">
        <v>-5420.55</v>
      </c>
      <c r="AH292" s="507">
        <v>0</v>
      </c>
      <c r="AI292" s="507">
        <v>0</v>
      </c>
      <c r="AJ292" s="507">
        <v>0</v>
      </c>
      <c r="AK292" s="507">
        <v>0</v>
      </c>
      <c r="AL292" s="507">
        <v>0</v>
      </c>
      <c r="AM292" s="507">
        <v>0</v>
      </c>
      <c r="AN292" s="507"/>
      <c r="AO292" s="507"/>
    </row>
    <row r="293" spans="1:41">
      <c r="A293" s="2" t="s">
        <v>270</v>
      </c>
      <c r="B293" s="2" t="s">
        <v>271</v>
      </c>
      <c r="C293" s="2" t="s">
        <v>219</v>
      </c>
      <c r="D293" s="2" t="s">
        <v>25</v>
      </c>
      <c r="E293" s="2" t="s">
        <v>172</v>
      </c>
      <c r="F293" s="2" t="s">
        <v>173</v>
      </c>
      <c r="G293" s="2" t="s">
        <v>21</v>
      </c>
      <c r="H293">
        <v>1</v>
      </c>
      <c r="I293" s="2" t="s">
        <v>526</v>
      </c>
      <c r="J293" s="3">
        <v>1</v>
      </c>
      <c r="K293" s="3">
        <v>5.2488000000000001</v>
      </c>
      <c r="L293" s="507">
        <v>192.31273777851641</v>
      </c>
      <c r="M293" s="507">
        <v>0</v>
      </c>
      <c r="N293" s="507">
        <v>192.31273777851641</v>
      </c>
      <c r="O293" s="507">
        <v>6.7295615697449102E-2</v>
      </c>
      <c r="P293">
        <v>1</v>
      </c>
      <c r="Q293" s="2" t="s">
        <v>526</v>
      </c>
      <c r="R293" s="3">
        <v>1</v>
      </c>
      <c r="S293" s="3">
        <v>5.2488000000000001</v>
      </c>
      <c r="T293" s="507">
        <v>191.44167974408853</v>
      </c>
      <c r="U293" s="507">
        <v>0</v>
      </c>
      <c r="V293" s="507">
        <v>191.44167974408853</v>
      </c>
      <c r="W293" s="507">
        <v>0.63180380889128418</v>
      </c>
      <c r="X293" s="507">
        <v>192.38003339421385</v>
      </c>
      <c r="Y293" s="507">
        <v>192.07348355297981</v>
      </c>
      <c r="Z293" s="507">
        <v>1009.7643192795497</v>
      </c>
      <c r="AA293" s="507">
        <v>1008.1553004728804</v>
      </c>
      <c r="AB293" s="507">
        <v>1008.1553004728804</v>
      </c>
      <c r="AC293" s="507">
        <v>1.61</v>
      </c>
      <c r="AD293" s="507">
        <v>1.61</v>
      </c>
      <c r="AE293" s="507">
        <v>0</v>
      </c>
      <c r="AF293" s="507">
        <v>1.61</v>
      </c>
      <c r="AG293" s="507"/>
      <c r="AH293" s="507">
        <v>0</v>
      </c>
      <c r="AI293" s="507">
        <v>0</v>
      </c>
      <c r="AJ293" s="507">
        <v>0</v>
      </c>
      <c r="AK293" s="507">
        <v>0</v>
      </c>
      <c r="AL293" s="507">
        <v>0</v>
      </c>
      <c r="AM293" s="507">
        <v>0</v>
      </c>
      <c r="AN293" s="507"/>
      <c r="AO293" s="507"/>
    </row>
    <row r="294" spans="1:41">
      <c r="A294" s="2" t="s">
        <v>272</v>
      </c>
      <c r="B294" s="2" t="s">
        <v>273</v>
      </c>
      <c r="C294" s="2" t="s">
        <v>219</v>
      </c>
      <c r="D294" s="2" t="s">
        <v>25</v>
      </c>
      <c r="E294" s="2" t="s">
        <v>172</v>
      </c>
      <c r="F294" s="2" t="s">
        <v>173</v>
      </c>
      <c r="G294" s="2" t="s">
        <v>21</v>
      </c>
      <c r="H294">
        <v>1</v>
      </c>
      <c r="I294" s="2" t="s">
        <v>526</v>
      </c>
      <c r="J294" s="3">
        <v>1</v>
      </c>
      <c r="K294" s="3">
        <v>5.2488000000000001</v>
      </c>
      <c r="L294" s="507">
        <v>4087.6794282107739</v>
      </c>
      <c r="M294" s="507">
        <v>0</v>
      </c>
      <c r="N294" s="507">
        <v>4087.6794282107739</v>
      </c>
      <c r="O294" s="507">
        <v>0.30241335173660527</v>
      </c>
      <c r="P294">
        <v>1</v>
      </c>
      <c r="Q294" s="2" t="s">
        <v>526</v>
      </c>
      <c r="R294" s="3">
        <v>1</v>
      </c>
      <c r="S294" s="3">
        <v>5.2488000000000001</v>
      </c>
      <c r="T294" s="507">
        <v>6575.2007307111262</v>
      </c>
      <c r="U294" s="507">
        <v>0</v>
      </c>
      <c r="V294" s="507">
        <v>6575.2007307111262</v>
      </c>
      <c r="W294" s="507">
        <v>4.2192111125062839</v>
      </c>
      <c r="X294" s="507">
        <v>4087.9818415625105</v>
      </c>
      <c r="Y294" s="507">
        <v>6579.4199418236321</v>
      </c>
      <c r="Z294" s="507">
        <v>21456.999089993304</v>
      </c>
      <c r="AA294" s="507">
        <v>34534.059390643881</v>
      </c>
      <c r="AB294" s="507">
        <v>34534.059390643881</v>
      </c>
      <c r="AC294" s="507">
        <v>-13077.06</v>
      </c>
      <c r="AD294" s="507">
        <v>-13077.06</v>
      </c>
      <c r="AE294" s="507">
        <v>0</v>
      </c>
      <c r="AF294" s="507"/>
      <c r="AG294" s="507">
        <v>-13077.06</v>
      </c>
      <c r="AH294" s="507">
        <v>0</v>
      </c>
      <c r="AI294" s="507">
        <v>0</v>
      </c>
      <c r="AJ294" s="507">
        <v>0</v>
      </c>
      <c r="AK294" s="507">
        <v>0</v>
      </c>
      <c r="AL294" s="507">
        <v>0</v>
      </c>
      <c r="AM294" s="507">
        <v>0</v>
      </c>
      <c r="AN294" s="507"/>
      <c r="AO294" s="507"/>
    </row>
    <row r="295" spans="1:41">
      <c r="A295" s="2" t="s">
        <v>274</v>
      </c>
      <c r="B295" s="2" t="s">
        <v>276</v>
      </c>
      <c r="C295" s="2" t="s">
        <v>275</v>
      </c>
      <c r="D295" s="2" t="s">
        <v>25</v>
      </c>
      <c r="E295" s="2" t="s">
        <v>172</v>
      </c>
      <c r="F295" s="2" t="s">
        <v>173</v>
      </c>
      <c r="G295" s="2" t="s">
        <v>21</v>
      </c>
      <c r="H295">
        <v>1</v>
      </c>
      <c r="I295" s="2" t="s">
        <v>526</v>
      </c>
      <c r="J295" s="3">
        <v>1</v>
      </c>
      <c r="K295" s="3">
        <v>5.2488000000000001</v>
      </c>
      <c r="L295" s="507">
        <v>6346.6784473282651</v>
      </c>
      <c r="M295" s="507">
        <v>0</v>
      </c>
      <c r="N295" s="507">
        <v>6346.6784473282651</v>
      </c>
      <c r="O295" s="507">
        <v>17.565292005413944</v>
      </c>
      <c r="P295">
        <v>1</v>
      </c>
      <c r="Q295" s="2" t="s">
        <v>526</v>
      </c>
      <c r="R295" s="3">
        <v>1</v>
      </c>
      <c r="S295" s="3">
        <v>5.2488000000000001</v>
      </c>
      <c r="T295" s="507">
        <v>4531.0233940439921</v>
      </c>
      <c r="U295" s="507">
        <v>0</v>
      </c>
      <c r="V295" s="507">
        <v>4531.0233940439921</v>
      </c>
      <c r="W295" s="507">
        <v>8.7195318383493259</v>
      </c>
      <c r="X295" s="507">
        <v>6364.2437393336786</v>
      </c>
      <c r="Y295" s="507">
        <v>4539.7429258823413</v>
      </c>
      <c r="Z295" s="507">
        <v>33404.642539014611</v>
      </c>
      <c r="AA295" s="507">
        <v>23828.202669371232</v>
      </c>
      <c r="AB295" s="507">
        <v>23828.202669371232</v>
      </c>
      <c r="AC295" s="507">
        <v>9576.44</v>
      </c>
      <c r="AD295" s="507">
        <v>9576.44</v>
      </c>
      <c r="AE295" s="507">
        <v>0</v>
      </c>
      <c r="AF295" s="507">
        <v>9576.44</v>
      </c>
      <c r="AG295" s="507"/>
      <c r="AH295" s="507">
        <v>0</v>
      </c>
      <c r="AI295" s="507">
        <v>0</v>
      </c>
      <c r="AJ295" s="507">
        <v>0</v>
      </c>
      <c r="AK295" s="507">
        <v>0</v>
      </c>
      <c r="AL295" s="507">
        <v>0</v>
      </c>
      <c r="AM295" s="507">
        <v>0</v>
      </c>
      <c r="AN295" s="507"/>
      <c r="AO295" s="507"/>
    </row>
    <row r="296" spans="1:41">
      <c r="A296" s="2" t="s">
        <v>1016</v>
      </c>
      <c r="B296" s="2" t="s">
        <v>1017</v>
      </c>
      <c r="C296" s="2" t="s">
        <v>275</v>
      </c>
      <c r="D296" s="2" t="s">
        <v>25</v>
      </c>
      <c r="E296" s="2" t="s">
        <v>172</v>
      </c>
      <c r="F296" s="2" t="s">
        <v>173</v>
      </c>
      <c r="G296" s="2" t="s">
        <v>21</v>
      </c>
      <c r="H296">
        <v>1</v>
      </c>
      <c r="I296" s="2" t="s">
        <v>526</v>
      </c>
      <c r="J296" s="3">
        <v>1</v>
      </c>
      <c r="K296" s="3">
        <v>5.2488000000000001</v>
      </c>
      <c r="L296" s="507">
        <v>212417.87995119009</v>
      </c>
      <c r="M296" s="507">
        <v>0</v>
      </c>
      <c r="N296" s="507">
        <v>212417.87995119009</v>
      </c>
      <c r="O296" s="507">
        <v>75.277756971276887</v>
      </c>
      <c r="P296">
        <v>1</v>
      </c>
      <c r="Q296" s="2" t="s">
        <v>526</v>
      </c>
      <c r="R296" s="3">
        <v>1</v>
      </c>
      <c r="S296" s="3">
        <v>5.2488000000000001</v>
      </c>
      <c r="T296" s="507">
        <v>249632.21333610779</v>
      </c>
      <c r="U296" s="507">
        <v>0</v>
      </c>
      <c r="V296" s="507">
        <v>249632.21333610779</v>
      </c>
      <c r="W296" s="507">
        <v>754.7382820843153</v>
      </c>
      <c r="X296" s="507">
        <v>212493.15770816137</v>
      </c>
      <c r="Y296" s="507">
        <v>250386.95161819211</v>
      </c>
      <c r="Z296" s="507">
        <v>1115334.0861785973</v>
      </c>
      <c r="AA296" s="507">
        <v>1314231.0316535668</v>
      </c>
      <c r="AB296" s="507">
        <v>1314231.0316535668</v>
      </c>
      <c r="AC296" s="507">
        <v>-198896.95</v>
      </c>
      <c r="AD296" s="507">
        <v>-198896.95</v>
      </c>
      <c r="AE296" s="507">
        <v>0</v>
      </c>
      <c r="AF296" s="507"/>
      <c r="AG296" s="507">
        <v>-198896.95</v>
      </c>
      <c r="AH296" s="507">
        <v>0</v>
      </c>
      <c r="AI296" s="507">
        <v>0</v>
      </c>
      <c r="AJ296" s="507">
        <v>0</v>
      </c>
      <c r="AK296" s="507">
        <v>0</v>
      </c>
      <c r="AL296" s="507">
        <v>0</v>
      </c>
      <c r="AM296" s="507">
        <v>0</v>
      </c>
      <c r="AN296" s="507"/>
      <c r="AO296" s="507"/>
    </row>
    <row r="297" spans="1:41">
      <c r="A297" s="2" t="s">
        <v>1018</v>
      </c>
      <c r="B297" s="2" t="s">
        <v>1019</v>
      </c>
      <c r="C297" s="2" t="s">
        <v>275</v>
      </c>
      <c r="D297" s="2" t="s">
        <v>25</v>
      </c>
      <c r="E297" s="2" t="s">
        <v>172</v>
      </c>
      <c r="F297" s="2" t="s">
        <v>173</v>
      </c>
      <c r="G297" s="2" t="s">
        <v>21</v>
      </c>
      <c r="H297">
        <v>1</v>
      </c>
      <c r="I297" s="2" t="s">
        <v>526</v>
      </c>
      <c r="J297" s="3">
        <v>1</v>
      </c>
      <c r="K297" s="3">
        <v>5.2488000000000001</v>
      </c>
      <c r="L297" s="507">
        <v>1180.9673345996341</v>
      </c>
      <c r="M297" s="507">
        <v>0</v>
      </c>
      <c r="N297" s="507">
        <v>1180.9673345996341</v>
      </c>
      <c r="O297" s="507">
        <v>0</v>
      </c>
      <c r="P297">
        <v>1</v>
      </c>
      <c r="Q297" s="2" t="s">
        <v>526</v>
      </c>
      <c r="R297" s="3">
        <v>1</v>
      </c>
      <c r="S297" s="3">
        <v>5.2488000000000001</v>
      </c>
      <c r="T297" s="507">
        <v>1476.2091662058228</v>
      </c>
      <c r="U297" s="507">
        <v>0</v>
      </c>
      <c r="V297" s="507">
        <v>1476.2091662058228</v>
      </c>
      <c r="W297" s="507">
        <v>0</v>
      </c>
      <c r="X297" s="507">
        <v>1180.9673345996341</v>
      </c>
      <c r="Y297" s="507">
        <v>1476.2091662058228</v>
      </c>
      <c r="Z297" s="507">
        <v>6198.6613458465599</v>
      </c>
      <c r="AA297" s="507">
        <v>7748.3266715811233</v>
      </c>
      <c r="AB297" s="507">
        <v>7748.3266715811233</v>
      </c>
      <c r="AC297" s="507">
        <v>-1549.67</v>
      </c>
      <c r="AD297" s="507">
        <v>-1549.67</v>
      </c>
      <c r="AE297" s="507">
        <v>0</v>
      </c>
      <c r="AF297" s="507"/>
      <c r="AG297" s="507">
        <v>-1549.67</v>
      </c>
      <c r="AH297" s="507">
        <v>0</v>
      </c>
      <c r="AI297" s="507">
        <v>0</v>
      </c>
      <c r="AJ297" s="507">
        <v>0</v>
      </c>
      <c r="AK297" s="507">
        <v>0</v>
      </c>
      <c r="AL297" s="507">
        <v>0</v>
      </c>
      <c r="AM297" s="507">
        <v>0</v>
      </c>
      <c r="AN297" s="507"/>
      <c r="AO297" s="507"/>
    </row>
    <row r="298" spans="1:41">
      <c r="A298" s="2"/>
      <c r="B298" s="2"/>
      <c r="C298" s="2"/>
      <c r="D298" s="2"/>
      <c r="E298" s="2"/>
      <c r="F298" s="2"/>
      <c r="G298" s="2"/>
      <c r="I298" s="2"/>
      <c r="J298" s="3"/>
      <c r="K298" s="3"/>
      <c r="L298" s="507"/>
      <c r="M298" s="507"/>
      <c r="N298" s="507"/>
      <c r="O298" s="507"/>
      <c r="P298">
        <v>1</v>
      </c>
      <c r="Q298" s="2" t="s">
        <v>526</v>
      </c>
      <c r="R298" s="3">
        <v>0.15702038124548567</v>
      </c>
      <c r="S298" s="3">
        <v>5.2488000000000001</v>
      </c>
      <c r="T298" s="507">
        <v>83711.221912102512</v>
      </c>
      <c r="U298" s="507">
        <v>0</v>
      </c>
      <c r="V298" s="507">
        <v>83711.221912102512</v>
      </c>
      <c r="W298" s="507">
        <v>0</v>
      </c>
      <c r="X298" s="507"/>
      <c r="Y298" s="507">
        <v>83711.221912102512</v>
      </c>
      <c r="Z298" s="507"/>
      <c r="AA298" s="507">
        <v>439383.46157224366</v>
      </c>
      <c r="AB298" s="507"/>
      <c r="AC298" s="507"/>
      <c r="AD298" s="507"/>
      <c r="AE298" s="507"/>
      <c r="AF298" s="507"/>
      <c r="AG298" s="507"/>
      <c r="AH298" s="507"/>
      <c r="AI298" s="507">
        <v>0</v>
      </c>
      <c r="AJ298" s="507"/>
      <c r="AK298" s="507"/>
      <c r="AL298" s="507"/>
      <c r="AM298" s="507"/>
      <c r="AN298" s="507"/>
      <c r="AO298" s="507"/>
    </row>
    <row r="299" spans="1:41">
      <c r="A299" s="2" t="s">
        <v>1020</v>
      </c>
      <c r="B299" s="2" t="s">
        <v>1017</v>
      </c>
      <c r="C299" s="2" t="s">
        <v>275</v>
      </c>
      <c r="D299" s="2" t="s">
        <v>25</v>
      </c>
      <c r="E299" s="2" t="s">
        <v>172</v>
      </c>
      <c r="F299" s="2" t="s">
        <v>173</v>
      </c>
      <c r="G299" s="2" t="s">
        <v>57</v>
      </c>
      <c r="H299">
        <v>1</v>
      </c>
      <c r="I299" s="2" t="s">
        <v>526</v>
      </c>
      <c r="J299" s="3">
        <v>0.15684552284455039</v>
      </c>
      <c r="K299" s="3">
        <v>5.2488000000000001</v>
      </c>
      <c r="L299" s="507">
        <v>11729.691051611206</v>
      </c>
      <c r="M299" s="507">
        <v>0</v>
      </c>
      <c r="N299" s="507">
        <v>11729.691051611206</v>
      </c>
      <c r="O299" s="507">
        <v>0</v>
      </c>
      <c r="P299">
        <v>1</v>
      </c>
      <c r="Q299" s="2" t="s">
        <v>526</v>
      </c>
      <c r="R299" s="3">
        <v>0.15702038124548567</v>
      </c>
      <c r="S299" s="3">
        <v>5.2488000000000001</v>
      </c>
      <c r="T299" s="507">
        <v>8408.1007760106968</v>
      </c>
      <c r="U299" s="507">
        <v>0</v>
      </c>
      <c r="V299" s="507">
        <v>8408.1007760106968</v>
      </c>
      <c r="W299" s="507">
        <v>0</v>
      </c>
      <c r="X299" s="507">
        <v>11729.691051611206</v>
      </c>
      <c r="Y299" s="507">
        <v>8408.1007760106968</v>
      </c>
      <c r="Z299" s="507">
        <v>61566.802391696896</v>
      </c>
      <c r="AA299" s="507">
        <v>44132.439353124944</v>
      </c>
      <c r="AB299" s="507">
        <v>44181.640169537852</v>
      </c>
      <c r="AC299" s="507">
        <v>17434.36</v>
      </c>
      <c r="AD299" s="507">
        <v>17385.16</v>
      </c>
      <c r="AE299" s="507">
        <v>49.2</v>
      </c>
      <c r="AF299" s="507">
        <v>17385.16</v>
      </c>
      <c r="AG299" s="507"/>
      <c r="AH299" s="507">
        <v>0</v>
      </c>
      <c r="AI299" s="507">
        <v>0</v>
      </c>
      <c r="AJ299" s="507">
        <v>0</v>
      </c>
      <c r="AK299" s="507">
        <v>0</v>
      </c>
      <c r="AL299" s="507">
        <v>0</v>
      </c>
      <c r="AM299" s="507">
        <v>0</v>
      </c>
      <c r="AN299" s="507"/>
      <c r="AO299" s="507"/>
    </row>
    <row r="300" spans="1:41">
      <c r="A300" s="2" t="s">
        <v>277</v>
      </c>
      <c r="B300" s="2" t="s">
        <v>279</v>
      </c>
      <c r="C300" s="2" t="s">
        <v>278</v>
      </c>
      <c r="D300" s="2" t="s">
        <v>25</v>
      </c>
      <c r="E300" s="2" t="s">
        <v>280</v>
      </c>
      <c r="F300" s="2" t="s">
        <v>281</v>
      </c>
      <c r="G300" s="2" t="s">
        <v>21</v>
      </c>
      <c r="H300">
        <v>1</v>
      </c>
      <c r="I300" s="2" t="s">
        <v>526</v>
      </c>
      <c r="J300" s="3">
        <v>1</v>
      </c>
      <c r="K300" s="3">
        <v>5.2488000000000001</v>
      </c>
      <c r="L300" s="507">
        <v>41565.832845956014</v>
      </c>
      <c r="M300" s="507">
        <v>0</v>
      </c>
      <c r="N300" s="507">
        <v>41565.832845956014</v>
      </c>
      <c r="O300" s="507">
        <v>1106.6324439244668</v>
      </c>
      <c r="P300">
        <v>1</v>
      </c>
      <c r="Q300" s="2" t="s">
        <v>526</v>
      </c>
      <c r="R300" s="3">
        <v>1</v>
      </c>
      <c r="S300" s="3">
        <v>5.2488000000000001</v>
      </c>
      <c r="T300" s="507">
        <v>41610.886941550423</v>
      </c>
      <c r="U300" s="507">
        <v>0</v>
      </c>
      <c r="V300" s="507">
        <v>41610.886941550423</v>
      </c>
      <c r="W300" s="507">
        <v>1005.0399572690999</v>
      </c>
      <c r="X300" s="507">
        <v>42672.465289880478</v>
      </c>
      <c r="Y300" s="507">
        <v>42615.926898819525</v>
      </c>
      <c r="Z300" s="507">
        <v>223979.23581352466</v>
      </c>
      <c r="AA300" s="507">
        <v>223682.47710652393</v>
      </c>
      <c r="AB300" s="507">
        <v>223682.47710652393</v>
      </c>
      <c r="AC300" s="507">
        <v>296.76</v>
      </c>
      <c r="AD300" s="507">
        <v>296.76</v>
      </c>
      <c r="AE300" s="507">
        <v>0</v>
      </c>
      <c r="AF300" s="507">
        <v>296.76</v>
      </c>
      <c r="AG300" s="507"/>
      <c r="AH300" s="507">
        <v>0</v>
      </c>
      <c r="AI300" s="507">
        <v>0</v>
      </c>
      <c r="AJ300" s="507">
        <v>0</v>
      </c>
      <c r="AK300" s="507">
        <v>0</v>
      </c>
      <c r="AL300" s="507">
        <v>0</v>
      </c>
      <c r="AM300" s="507">
        <v>0</v>
      </c>
      <c r="AN300" s="507"/>
      <c r="AO300" s="507"/>
    </row>
    <row r="301" spans="1:41">
      <c r="A301" s="2" t="s">
        <v>282</v>
      </c>
      <c r="B301" s="2" t="s">
        <v>283</v>
      </c>
      <c r="C301" s="2" t="s">
        <v>278</v>
      </c>
      <c r="D301" s="2" t="s">
        <v>25</v>
      </c>
      <c r="E301" s="2" t="s">
        <v>595</v>
      </c>
      <c r="F301" s="2" t="s">
        <v>281</v>
      </c>
      <c r="G301" s="2" t="s">
        <v>21</v>
      </c>
      <c r="H301">
        <v>1</v>
      </c>
      <c r="I301" s="2" t="s">
        <v>526</v>
      </c>
      <c r="J301" s="3">
        <v>1</v>
      </c>
      <c r="K301" s="3">
        <v>5.2488000000000001</v>
      </c>
      <c r="L301" s="507">
        <v>590383.61320637376</v>
      </c>
      <c r="M301" s="507">
        <v>0</v>
      </c>
      <c r="N301" s="507">
        <v>590383.61320637376</v>
      </c>
      <c r="O301" s="507">
        <v>14135.655852371645</v>
      </c>
      <c r="P301">
        <v>1</v>
      </c>
      <c r="Q301" s="2" t="s">
        <v>526</v>
      </c>
      <c r="R301" s="3">
        <v>1</v>
      </c>
      <c r="S301" s="3">
        <v>5.2488000000000001</v>
      </c>
      <c r="T301" s="507">
        <v>590598.51550157275</v>
      </c>
      <c r="U301" s="507">
        <v>0</v>
      </c>
      <c r="V301" s="507">
        <v>590598.51550157275</v>
      </c>
      <c r="W301" s="507">
        <v>12784.808194124573</v>
      </c>
      <c r="X301" s="507">
        <v>604519.26905874535</v>
      </c>
      <c r="Y301" s="507">
        <v>603383.32369569736</v>
      </c>
      <c r="Z301" s="507">
        <v>3173000.7394355428</v>
      </c>
      <c r="AA301" s="507">
        <v>3167038.3894139766</v>
      </c>
      <c r="AB301" s="507">
        <v>3167038.3894139766</v>
      </c>
      <c r="AC301" s="507">
        <v>5962.35</v>
      </c>
      <c r="AD301" s="507">
        <v>5962.35</v>
      </c>
      <c r="AE301" s="507">
        <v>0</v>
      </c>
      <c r="AF301" s="507">
        <v>5962.35</v>
      </c>
      <c r="AG301" s="507"/>
      <c r="AH301" s="507">
        <v>0</v>
      </c>
      <c r="AI301" s="507">
        <v>0</v>
      </c>
      <c r="AJ301" s="507">
        <v>0</v>
      </c>
      <c r="AK301" s="507">
        <v>0</v>
      </c>
      <c r="AL301" s="507">
        <v>0</v>
      </c>
      <c r="AM301" s="507">
        <v>0</v>
      </c>
      <c r="AN301" s="507"/>
      <c r="AO301" s="507"/>
    </row>
    <row r="302" spans="1:41">
      <c r="A302" s="2" t="s">
        <v>284</v>
      </c>
      <c r="B302" s="2" t="s">
        <v>285</v>
      </c>
      <c r="C302" s="2" t="s">
        <v>278</v>
      </c>
      <c r="D302" s="2" t="s">
        <v>25</v>
      </c>
      <c r="E302" s="2" t="s">
        <v>595</v>
      </c>
      <c r="F302" s="2" t="s">
        <v>281</v>
      </c>
      <c r="G302" s="2" t="s">
        <v>21</v>
      </c>
      <c r="H302">
        <v>1</v>
      </c>
      <c r="I302" s="2" t="s">
        <v>526</v>
      </c>
      <c r="J302" s="3">
        <v>1</v>
      </c>
      <c r="K302" s="3">
        <v>5.2488000000000001</v>
      </c>
      <c r="L302" s="507">
        <v>352182.58948744903</v>
      </c>
      <c r="M302" s="507">
        <v>0</v>
      </c>
      <c r="N302" s="507">
        <v>352182.58948744903</v>
      </c>
      <c r="O302" s="507">
        <v>11144.493180538704</v>
      </c>
      <c r="P302">
        <v>1</v>
      </c>
      <c r="Q302" s="2" t="s">
        <v>526</v>
      </c>
      <c r="R302" s="3">
        <v>1</v>
      </c>
      <c r="S302" s="3">
        <v>5.2488000000000001</v>
      </c>
      <c r="T302" s="507">
        <v>352181.43517777312</v>
      </c>
      <c r="U302" s="507">
        <v>0</v>
      </c>
      <c r="V302" s="507">
        <v>352181.43517777312</v>
      </c>
      <c r="W302" s="507">
        <v>10104.340483688402</v>
      </c>
      <c r="X302" s="507">
        <v>363327.08266798774</v>
      </c>
      <c r="Y302" s="507">
        <v>362285.77566146152</v>
      </c>
      <c r="Z302" s="507">
        <v>1907031.1915077341</v>
      </c>
      <c r="AA302" s="507">
        <v>1901565.5792918792</v>
      </c>
      <c r="AB302" s="507">
        <v>1901565.5792918792</v>
      </c>
      <c r="AC302" s="507">
        <v>5465.61</v>
      </c>
      <c r="AD302" s="507">
        <v>5465.61</v>
      </c>
      <c r="AE302" s="507">
        <v>0</v>
      </c>
      <c r="AF302" s="507">
        <v>5465.61</v>
      </c>
      <c r="AG302" s="507"/>
      <c r="AH302" s="507">
        <v>0</v>
      </c>
      <c r="AI302" s="507">
        <v>0</v>
      </c>
      <c r="AJ302" s="507">
        <v>0</v>
      </c>
      <c r="AK302" s="507">
        <v>0</v>
      </c>
      <c r="AL302" s="507">
        <v>0</v>
      </c>
      <c r="AM302" s="507">
        <v>0</v>
      </c>
      <c r="AN302" s="507"/>
      <c r="AO302" s="507"/>
    </row>
    <row r="303" spans="1:41">
      <c r="A303" s="2" t="s">
        <v>286</v>
      </c>
      <c r="B303" s="2" t="s">
        <v>285</v>
      </c>
      <c r="C303" s="2" t="s">
        <v>278</v>
      </c>
      <c r="D303" s="2" t="s">
        <v>25</v>
      </c>
      <c r="E303" s="2" t="s">
        <v>595</v>
      </c>
      <c r="F303" s="2" t="s">
        <v>281</v>
      </c>
      <c r="G303" s="2" t="s">
        <v>21</v>
      </c>
      <c r="H303">
        <v>1</v>
      </c>
      <c r="I303" s="2" t="s">
        <v>526</v>
      </c>
      <c r="J303" s="3">
        <v>1</v>
      </c>
      <c r="K303" s="3">
        <v>5.2488000000000001</v>
      </c>
      <c r="L303" s="507">
        <v>234790.18821914162</v>
      </c>
      <c r="M303" s="507">
        <v>0</v>
      </c>
      <c r="N303" s="507">
        <v>234790.18821914162</v>
      </c>
      <c r="O303" s="507">
        <v>4385.2374551439061</v>
      </c>
      <c r="P303">
        <v>1</v>
      </c>
      <c r="Q303" s="2" t="s">
        <v>526</v>
      </c>
      <c r="R303" s="3">
        <v>1</v>
      </c>
      <c r="S303" s="3">
        <v>5.2488000000000001</v>
      </c>
      <c r="T303" s="507">
        <v>234790.18821914162</v>
      </c>
      <c r="U303" s="507">
        <v>0</v>
      </c>
      <c r="V303" s="507">
        <v>234790.18821914162</v>
      </c>
      <c r="W303" s="507">
        <v>3846.6995220560539</v>
      </c>
      <c r="X303" s="507">
        <v>239175.42567428554</v>
      </c>
      <c r="Y303" s="507">
        <v>238636.88774119769</v>
      </c>
      <c r="Z303" s="507">
        <v>1255383.9742791899</v>
      </c>
      <c r="AA303" s="507">
        <v>1252557.2963759985</v>
      </c>
      <c r="AB303" s="507">
        <v>1252557.2963759985</v>
      </c>
      <c r="AC303" s="507">
        <v>2826.68</v>
      </c>
      <c r="AD303" s="507">
        <v>2826.68</v>
      </c>
      <c r="AE303" s="507">
        <v>0</v>
      </c>
      <c r="AF303" s="507">
        <v>2826.68</v>
      </c>
      <c r="AG303" s="507"/>
      <c r="AH303" s="507">
        <v>0</v>
      </c>
      <c r="AI303" s="507">
        <v>0</v>
      </c>
      <c r="AJ303" s="507">
        <v>0</v>
      </c>
      <c r="AK303" s="507">
        <v>0</v>
      </c>
      <c r="AL303" s="507">
        <v>0</v>
      </c>
      <c r="AM303" s="507">
        <v>0</v>
      </c>
      <c r="AN303" s="507"/>
      <c r="AO303" s="507"/>
    </row>
    <row r="304" spans="1:41">
      <c r="A304" s="2" t="s">
        <v>287</v>
      </c>
      <c r="B304" s="2" t="s">
        <v>288</v>
      </c>
      <c r="C304" s="2" t="s">
        <v>278</v>
      </c>
      <c r="D304" s="2" t="s">
        <v>25</v>
      </c>
      <c r="E304" s="2" t="s">
        <v>280</v>
      </c>
      <c r="F304" s="2" t="s">
        <v>281</v>
      </c>
      <c r="G304" s="2" t="s">
        <v>21</v>
      </c>
      <c r="H304">
        <v>1</v>
      </c>
      <c r="I304" s="2" t="s">
        <v>526</v>
      </c>
      <c r="J304" s="3">
        <v>1</v>
      </c>
      <c r="K304" s="3">
        <v>5.2488000000000001</v>
      </c>
      <c r="L304" s="507">
        <v>24322.066222288853</v>
      </c>
      <c r="M304" s="507">
        <v>0</v>
      </c>
      <c r="N304" s="507">
        <v>24322.066222288853</v>
      </c>
      <c r="O304" s="507">
        <v>287.23560797617773</v>
      </c>
      <c r="P304">
        <v>1</v>
      </c>
      <c r="Q304" s="2" t="s">
        <v>526</v>
      </c>
      <c r="R304" s="3">
        <v>1</v>
      </c>
      <c r="S304" s="3">
        <v>5.2488000000000001</v>
      </c>
      <c r="T304" s="507">
        <v>24320.292007374337</v>
      </c>
      <c r="U304" s="507">
        <v>0</v>
      </c>
      <c r="V304" s="507">
        <v>24320.292007374337</v>
      </c>
      <c r="W304" s="507">
        <v>234.32378545425129</v>
      </c>
      <c r="X304" s="507">
        <v>24609.301830265031</v>
      </c>
      <c r="Y304" s="507">
        <v>24554.61579282859</v>
      </c>
      <c r="Z304" s="507">
        <v>129169.30344669509</v>
      </c>
      <c r="AA304" s="507">
        <v>128882.2673733987</v>
      </c>
      <c r="AB304" s="507">
        <v>128882.2673733987</v>
      </c>
      <c r="AC304" s="507">
        <v>287.04000000000002</v>
      </c>
      <c r="AD304" s="507">
        <v>287.04000000000002</v>
      </c>
      <c r="AE304" s="507">
        <v>0</v>
      </c>
      <c r="AF304" s="507">
        <v>287.04000000000002</v>
      </c>
      <c r="AG304" s="507"/>
      <c r="AH304" s="507">
        <v>0</v>
      </c>
      <c r="AI304" s="507">
        <v>0</v>
      </c>
      <c r="AJ304" s="507">
        <v>0</v>
      </c>
      <c r="AK304" s="507">
        <v>0</v>
      </c>
      <c r="AL304" s="507">
        <v>0</v>
      </c>
      <c r="AM304" s="507">
        <v>0</v>
      </c>
      <c r="AN304" s="507"/>
      <c r="AO304" s="507"/>
    </row>
    <row r="305" spans="1:41">
      <c r="A305" s="2" t="s">
        <v>1021</v>
      </c>
      <c r="B305" s="2" t="s">
        <v>288</v>
      </c>
      <c r="C305" s="2" t="s">
        <v>278</v>
      </c>
      <c r="D305" s="2" t="s">
        <v>25</v>
      </c>
      <c r="E305" s="2" t="s">
        <v>280</v>
      </c>
      <c r="F305" s="2" t="s">
        <v>281</v>
      </c>
      <c r="G305" s="2" t="s">
        <v>21</v>
      </c>
      <c r="H305">
        <v>1</v>
      </c>
      <c r="I305" s="2" t="s">
        <v>526</v>
      </c>
      <c r="J305" s="3">
        <v>1</v>
      </c>
      <c r="K305" s="3">
        <v>5.2488000000000001</v>
      </c>
      <c r="L305" s="507">
        <v>16421.048980040141</v>
      </c>
      <c r="M305" s="507">
        <v>0</v>
      </c>
      <c r="N305" s="507">
        <v>16421.048980040141</v>
      </c>
      <c r="O305" s="507">
        <v>193.92719122958431</v>
      </c>
      <c r="P305">
        <v>1</v>
      </c>
      <c r="Q305" s="2" t="s">
        <v>526</v>
      </c>
      <c r="R305" s="3">
        <v>1</v>
      </c>
      <c r="S305" s="3">
        <v>5.2488000000000001</v>
      </c>
      <c r="T305" s="507">
        <v>16419.851118405113</v>
      </c>
      <c r="U305" s="507">
        <v>0</v>
      </c>
      <c r="V305" s="507">
        <v>16419.851118405113</v>
      </c>
      <c r="W305" s="507">
        <v>158.20376126624055</v>
      </c>
      <c r="X305" s="507">
        <v>16614.976171269725</v>
      </c>
      <c r="Y305" s="507">
        <v>16578.054879671352</v>
      </c>
      <c r="Z305" s="507">
        <v>87208.686927760544</v>
      </c>
      <c r="AA305" s="507">
        <v>87014.894452419001</v>
      </c>
      <c r="AB305" s="507">
        <v>87014.894452419001</v>
      </c>
      <c r="AC305" s="507">
        <v>193.79</v>
      </c>
      <c r="AD305" s="507">
        <v>193.79</v>
      </c>
      <c r="AE305" s="507">
        <v>0</v>
      </c>
      <c r="AF305" s="507">
        <v>193.79</v>
      </c>
      <c r="AG305" s="507"/>
      <c r="AH305" s="507">
        <v>0</v>
      </c>
      <c r="AI305" s="507">
        <v>0</v>
      </c>
      <c r="AJ305" s="507">
        <v>0</v>
      </c>
      <c r="AK305" s="507">
        <v>0</v>
      </c>
      <c r="AL305" s="507">
        <v>0</v>
      </c>
      <c r="AM305" s="507">
        <v>0</v>
      </c>
      <c r="AN305" s="507"/>
      <c r="AO305" s="507"/>
    </row>
    <row r="306" spans="1:41">
      <c r="A306" s="2" t="s">
        <v>1022</v>
      </c>
      <c r="B306" s="2" t="s">
        <v>288</v>
      </c>
      <c r="C306" s="2" t="s">
        <v>278</v>
      </c>
      <c r="D306" s="2" t="s">
        <v>25</v>
      </c>
      <c r="E306" s="2" t="s">
        <v>280</v>
      </c>
      <c r="F306" s="2" t="s">
        <v>281</v>
      </c>
      <c r="G306" s="2" t="s">
        <v>21</v>
      </c>
      <c r="H306">
        <v>1</v>
      </c>
      <c r="I306" s="2" t="s">
        <v>526</v>
      </c>
      <c r="J306" s="3">
        <v>1</v>
      </c>
      <c r="K306" s="3">
        <v>5.2488000000000001</v>
      </c>
      <c r="L306" s="507">
        <v>41387.240619620032</v>
      </c>
      <c r="M306" s="507">
        <v>0</v>
      </c>
      <c r="N306" s="507">
        <v>41387.240619620032</v>
      </c>
      <c r="O306" s="507">
        <v>171.3997177169166</v>
      </c>
      <c r="P306">
        <v>1</v>
      </c>
      <c r="Q306" s="2" t="s">
        <v>526</v>
      </c>
      <c r="R306" s="3">
        <v>1</v>
      </c>
      <c r="S306" s="3">
        <v>5.2488000000000001</v>
      </c>
      <c r="T306" s="507">
        <v>41392.005966175289</v>
      </c>
      <c r="U306" s="507">
        <v>0</v>
      </c>
      <c r="V306" s="507">
        <v>41392.005966175289</v>
      </c>
      <c r="W306" s="507">
        <v>79.107562023190383</v>
      </c>
      <c r="X306" s="507">
        <v>41558.640337336947</v>
      </c>
      <c r="Y306" s="507">
        <v>41471.113528198483</v>
      </c>
      <c r="Z306" s="507">
        <v>218132.99140261416</v>
      </c>
      <c r="AA306" s="507">
        <v>217673.58068680821</v>
      </c>
      <c r="AB306" s="507">
        <v>217673.58068680821</v>
      </c>
      <c r="AC306" s="507">
        <v>459.41</v>
      </c>
      <c r="AD306" s="507">
        <v>459.41</v>
      </c>
      <c r="AE306" s="507">
        <v>0</v>
      </c>
      <c r="AF306" s="507">
        <v>459.41</v>
      </c>
      <c r="AG306" s="507"/>
      <c r="AH306" s="507">
        <v>0</v>
      </c>
      <c r="AI306" s="507">
        <v>0</v>
      </c>
      <c r="AJ306" s="507">
        <v>0</v>
      </c>
      <c r="AK306" s="507">
        <v>0</v>
      </c>
      <c r="AL306" s="507">
        <v>0</v>
      </c>
      <c r="AM306" s="507">
        <v>0</v>
      </c>
      <c r="AN306" s="507"/>
      <c r="AO306" s="507"/>
    </row>
    <row r="307" spans="1:41">
      <c r="A307" s="2" t="s">
        <v>1023</v>
      </c>
      <c r="B307" s="2" t="s">
        <v>288</v>
      </c>
      <c r="C307" s="2" t="s">
        <v>278</v>
      </c>
      <c r="D307" s="2" t="s">
        <v>25</v>
      </c>
      <c r="E307" s="2" t="s">
        <v>280</v>
      </c>
      <c r="F307" s="2" t="s">
        <v>281</v>
      </c>
      <c r="G307" s="2" t="s">
        <v>21</v>
      </c>
      <c r="H307">
        <v>1</v>
      </c>
      <c r="I307" s="2" t="s">
        <v>526</v>
      </c>
      <c r="J307" s="3">
        <v>1</v>
      </c>
      <c r="K307" s="3">
        <v>5.2488000000000001</v>
      </c>
      <c r="L307" s="507">
        <v>40842.808520557242</v>
      </c>
      <c r="M307" s="507">
        <v>0</v>
      </c>
      <c r="N307" s="507">
        <v>40842.808520557242</v>
      </c>
      <c r="O307" s="507">
        <v>169.14502504597894</v>
      </c>
      <c r="P307">
        <v>1</v>
      </c>
      <c r="Q307" s="2" t="s">
        <v>526</v>
      </c>
      <c r="R307" s="3">
        <v>1</v>
      </c>
      <c r="S307" s="3">
        <v>5.2488000000000001</v>
      </c>
      <c r="T307" s="507">
        <v>40847.511180941852</v>
      </c>
      <c r="U307" s="507">
        <v>0</v>
      </c>
      <c r="V307" s="507">
        <v>40847.511180941852</v>
      </c>
      <c r="W307" s="507">
        <v>78.06693463660379</v>
      </c>
      <c r="X307" s="507">
        <v>41011.953545603224</v>
      </c>
      <c r="Y307" s="507">
        <v>40925.578115578457</v>
      </c>
      <c r="Z307" s="507">
        <v>215263.54177016221</v>
      </c>
      <c r="AA307" s="507">
        <v>214810.1744130482</v>
      </c>
      <c r="AB307" s="507">
        <v>214810.1744130482</v>
      </c>
      <c r="AC307" s="507">
        <v>453.37</v>
      </c>
      <c r="AD307" s="507">
        <v>453.37</v>
      </c>
      <c r="AE307" s="507">
        <v>0</v>
      </c>
      <c r="AF307" s="507">
        <v>453.37</v>
      </c>
      <c r="AG307" s="507"/>
      <c r="AH307" s="507">
        <v>0</v>
      </c>
      <c r="AI307" s="507">
        <v>0</v>
      </c>
      <c r="AJ307" s="507">
        <v>0</v>
      </c>
      <c r="AK307" s="507">
        <v>0</v>
      </c>
      <c r="AL307" s="507">
        <v>0</v>
      </c>
      <c r="AM307" s="507">
        <v>0</v>
      </c>
      <c r="AN307" s="507"/>
      <c r="AO307" s="507"/>
    </row>
    <row r="308" spans="1:41">
      <c r="A308" s="2" t="s">
        <v>1024</v>
      </c>
      <c r="B308" s="2" t="s">
        <v>288</v>
      </c>
      <c r="C308" s="2" t="s">
        <v>278</v>
      </c>
      <c r="D308" s="2" t="s">
        <v>25</v>
      </c>
      <c r="E308" s="2" t="s">
        <v>280</v>
      </c>
      <c r="F308" s="2" t="s">
        <v>281</v>
      </c>
      <c r="G308" s="2" t="s">
        <v>21</v>
      </c>
      <c r="H308">
        <v>1</v>
      </c>
      <c r="I308" s="2" t="s">
        <v>526</v>
      </c>
      <c r="J308" s="3">
        <v>1</v>
      </c>
      <c r="K308" s="3">
        <v>5.2488000000000001</v>
      </c>
      <c r="L308" s="507">
        <v>40876.606578027786</v>
      </c>
      <c r="M308" s="507">
        <v>0</v>
      </c>
      <c r="N308" s="507">
        <v>40876.606578027786</v>
      </c>
      <c r="O308" s="507">
        <v>441.29733380302031</v>
      </c>
      <c r="P308">
        <v>1</v>
      </c>
      <c r="Q308" s="2" t="s">
        <v>526</v>
      </c>
      <c r="R308" s="3">
        <v>1</v>
      </c>
      <c r="S308" s="3">
        <v>5.2488000000000001</v>
      </c>
      <c r="T308" s="507">
        <v>40875.919549077364</v>
      </c>
      <c r="U308" s="507">
        <v>0</v>
      </c>
      <c r="V308" s="507">
        <v>40875.919549077364</v>
      </c>
      <c r="W308" s="507">
        <v>356.08129693071032</v>
      </c>
      <c r="X308" s="507">
        <v>41317.903911830806</v>
      </c>
      <c r="Y308" s="507">
        <v>41232.000846008072</v>
      </c>
      <c r="Z308" s="507">
        <v>216869.41405241753</v>
      </c>
      <c r="AA308" s="507">
        <v>216418.52604052718</v>
      </c>
      <c r="AB308" s="507">
        <v>216418.52604052718</v>
      </c>
      <c r="AC308" s="507">
        <v>450.89</v>
      </c>
      <c r="AD308" s="507">
        <v>450.89</v>
      </c>
      <c r="AE308" s="507">
        <v>0</v>
      </c>
      <c r="AF308" s="507">
        <v>450.89</v>
      </c>
      <c r="AG308" s="507"/>
      <c r="AH308" s="507">
        <v>0</v>
      </c>
      <c r="AI308" s="507">
        <v>0</v>
      </c>
      <c r="AJ308" s="507">
        <v>0</v>
      </c>
      <c r="AK308" s="507">
        <v>0</v>
      </c>
      <c r="AL308" s="507">
        <v>0</v>
      </c>
      <c r="AM308" s="507">
        <v>0</v>
      </c>
      <c r="AN308" s="507"/>
      <c r="AO308" s="507"/>
    </row>
    <row r="309" spans="1:41">
      <c r="A309" s="2" t="s">
        <v>1025</v>
      </c>
      <c r="B309" s="2" t="s">
        <v>288</v>
      </c>
      <c r="C309" s="2" t="s">
        <v>278</v>
      </c>
      <c r="D309" s="2" t="s">
        <v>25</v>
      </c>
      <c r="E309" s="2" t="s">
        <v>280</v>
      </c>
      <c r="F309" s="2" t="s">
        <v>281</v>
      </c>
      <c r="G309" s="2" t="s">
        <v>21</v>
      </c>
      <c r="H309">
        <v>1</v>
      </c>
      <c r="I309" s="2" t="s">
        <v>526</v>
      </c>
      <c r="J309" s="3">
        <v>1</v>
      </c>
      <c r="K309" s="3">
        <v>5.2488000000000001</v>
      </c>
      <c r="L309" s="507">
        <v>16349.437772977584</v>
      </c>
      <c r="M309" s="507">
        <v>0</v>
      </c>
      <c r="N309" s="507">
        <v>16349.437772977584</v>
      </c>
      <c r="O309" s="507">
        <v>176.50592606362841</v>
      </c>
      <c r="P309">
        <v>1</v>
      </c>
      <c r="Q309" s="2" t="s">
        <v>526</v>
      </c>
      <c r="R309" s="3">
        <v>1</v>
      </c>
      <c r="S309" s="3">
        <v>5.2488000000000001</v>
      </c>
      <c r="T309" s="507">
        <v>16349.162981647936</v>
      </c>
      <c r="U309" s="507">
        <v>0</v>
      </c>
      <c r="V309" s="507">
        <v>16349.162981647936</v>
      </c>
      <c r="W309" s="507">
        <v>142.42202309961633</v>
      </c>
      <c r="X309" s="507">
        <v>16525.943699041214</v>
      </c>
      <c r="Y309" s="507">
        <v>16491.585004747554</v>
      </c>
      <c r="Z309" s="507">
        <v>86741.373287527531</v>
      </c>
      <c r="AA309" s="507">
        <v>86561.031372918966</v>
      </c>
      <c r="AB309" s="507">
        <v>86561.031372918966</v>
      </c>
      <c r="AC309" s="507">
        <v>180.34</v>
      </c>
      <c r="AD309" s="507">
        <v>180.34</v>
      </c>
      <c r="AE309" s="507">
        <v>0</v>
      </c>
      <c r="AF309" s="507">
        <v>180.34</v>
      </c>
      <c r="AG309" s="507"/>
      <c r="AH309" s="507">
        <v>0</v>
      </c>
      <c r="AI309" s="507">
        <v>0</v>
      </c>
      <c r="AJ309" s="507">
        <v>0</v>
      </c>
      <c r="AK309" s="507">
        <v>0</v>
      </c>
      <c r="AL309" s="507">
        <v>0</v>
      </c>
      <c r="AM309" s="507">
        <v>0</v>
      </c>
      <c r="AN309" s="507"/>
      <c r="AO309" s="507"/>
    </row>
    <row r="310" spans="1:41">
      <c r="A310" s="2" t="s">
        <v>1026</v>
      </c>
      <c r="B310" s="2" t="s">
        <v>288</v>
      </c>
      <c r="C310" s="2" t="s">
        <v>278</v>
      </c>
      <c r="D310" s="2" t="s">
        <v>25</v>
      </c>
      <c r="E310" s="2" t="s">
        <v>280</v>
      </c>
      <c r="F310" s="2" t="s">
        <v>281</v>
      </c>
      <c r="G310" s="2" t="s">
        <v>21</v>
      </c>
      <c r="H310">
        <v>1</v>
      </c>
      <c r="I310" s="2" t="s">
        <v>526</v>
      </c>
      <c r="J310" s="3">
        <v>1</v>
      </c>
      <c r="K310" s="3">
        <v>5.2488000000000001</v>
      </c>
      <c r="L310" s="507">
        <v>40725.480318779744</v>
      </c>
      <c r="M310" s="507">
        <v>0</v>
      </c>
      <c r="N310" s="507">
        <v>40725.480318779744</v>
      </c>
      <c r="O310" s="507">
        <v>164.63048121937123</v>
      </c>
      <c r="P310">
        <v>1</v>
      </c>
      <c r="Q310" s="2" t="s">
        <v>526</v>
      </c>
      <c r="R310" s="3">
        <v>1</v>
      </c>
      <c r="S310" s="3">
        <v>5.2488000000000001</v>
      </c>
      <c r="T310" s="507">
        <v>40724.037787952504</v>
      </c>
      <c r="U310" s="507">
        <v>0</v>
      </c>
      <c r="V310" s="507">
        <v>40724.037787952504</v>
      </c>
      <c r="W310" s="507">
        <v>79.266527994505154</v>
      </c>
      <c r="X310" s="507">
        <v>40890.110799999115</v>
      </c>
      <c r="Y310" s="507">
        <v>40803.304315947011</v>
      </c>
      <c r="Z310" s="507">
        <v>214624.01356703535</v>
      </c>
      <c r="AA310" s="507">
        <v>214168.38369354268</v>
      </c>
      <c r="AB310" s="507">
        <v>214168.38369354268</v>
      </c>
      <c r="AC310" s="507">
        <v>455.63</v>
      </c>
      <c r="AD310" s="507">
        <v>455.63</v>
      </c>
      <c r="AE310" s="507">
        <v>0</v>
      </c>
      <c r="AF310" s="507">
        <v>455.63</v>
      </c>
      <c r="AG310" s="507"/>
      <c r="AH310" s="507">
        <v>0</v>
      </c>
      <c r="AI310" s="507">
        <v>0</v>
      </c>
      <c r="AJ310" s="507">
        <v>0</v>
      </c>
      <c r="AK310" s="507">
        <v>0</v>
      </c>
      <c r="AL310" s="507">
        <v>0</v>
      </c>
      <c r="AM310" s="507">
        <v>0</v>
      </c>
      <c r="AN310" s="507"/>
      <c r="AO310" s="507"/>
    </row>
    <row r="311" spans="1:41">
      <c r="A311" s="2" t="s">
        <v>1027</v>
      </c>
      <c r="B311" s="2" t="s">
        <v>288</v>
      </c>
      <c r="C311" s="2" t="s">
        <v>278</v>
      </c>
      <c r="D311" s="2" t="s">
        <v>25</v>
      </c>
      <c r="E311" s="2" t="s">
        <v>280</v>
      </c>
      <c r="F311" s="2" t="s">
        <v>281</v>
      </c>
      <c r="G311" s="2" t="s">
        <v>21</v>
      </c>
      <c r="H311">
        <v>1</v>
      </c>
      <c r="I311" s="2" t="s">
        <v>526</v>
      </c>
      <c r="J311" s="3">
        <v>1</v>
      </c>
      <c r="K311" s="3">
        <v>5.2488000000000001</v>
      </c>
      <c r="L311" s="507">
        <v>40725.56207247432</v>
      </c>
      <c r="M311" s="507">
        <v>0</v>
      </c>
      <c r="N311" s="507">
        <v>40725.56207247432</v>
      </c>
      <c r="O311" s="507">
        <v>164.63081170411863</v>
      </c>
      <c r="P311">
        <v>1</v>
      </c>
      <c r="Q311" s="2" t="s">
        <v>526</v>
      </c>
      <c r="R311" s="3">
        <v>1</v>
      </c>
      <c r="S311" s="3">
        <v>5.2488000000000001</v>
      </c>
      <c r="T311" s="507">
        <v>40724.119538751293</v>
      </c>
      <c r="U311" s="507">
        <v>0</v>
      </c>
      <c r="V311" s="507">
        <v>40724.119538751293</v>
      </c>
      <c r="W311" s="507">
        <v>79.266687116790948</v>
      </c>
      <c r="X311" s="507">
        <v>40890.192884178439</v>
      </c>
      <c r="Y311" s="507">
        <v>40803.386225868082</v>
      </c>
      <c r="Z311" s="507">
        <v>214624.44441047579</v>
      </c>
      <c r="AA311" s="507">
        <v>214168.8136223364</v>
      </c>
      <c r="AB311" s="507">
        <v>214168.8136223364</v>
      </c>
      <c r="AC311" s="507">
        <v>455.63</v>
      </c>
      <c r="AD311" s="507">
        <v>455.63</v>
      </c>
      <c r="AE311" s="507">
        <v>0</v>
      </c>
      <c r="AF311" s="507">
        <v>455.63</v>
      </c>
      <c r="AG311" s="507"/>
      <c r="AH311" s="507">
        <v>0</v>
      </c>
      <c r="AI311" s="507">
        <v>0</v>
      </c>
      <c r="AJ311" s="507">
        <v>0</v>
      </c>
      <c r="AK311" s="507">
        <v>0</v>
      </c>
      <c r="AL311" s="507">
        <v>0</v>
      </c>
      <c r="AM311" s="507">
        <v>0</v>
      </c>
      <c r="AN311" s="507"/>
      <c r="AO311" s="507"/>
    </row>
    <row r="312" spans="1:41">
      <c r="A312" s="2" t="s">
        <v>1028</v>
      </c>
      <c r="B312" s="2" t="s">
        <v>288</v>
      </c>
      <c r="C312" s="2" t="s">
        <v>278</v>
      </c>
      <c r="D312" s="2" t="s">
        <v>25</v>
      </c>
      <c r="E312" s="2" t="s">
        <v>280</v>
      </c>
      <c r="F312" s="2" t="s">
        <v>281</v>
      </c>
      <c r="G312" s="2" t="s">
        <v>21</v>
      </c>
      <c r="H312">
        <v>1</v>
      </c>
      <c r="I312" s="2" t="s">
        <v>526</v>
      </c>
      <c r="J312" s="3">
        <v>1</v>
      </c>
      <c r="K312" s="3">
        <v>5.2488000000000001</v>
      </c>
      <c r="L312" s="507">
        <v>40722.618939469852</v>
      </c>
      <c r="M312" s="507">
        <v>0</v>
      </c>
      <c r="N312" s="507">
        <v>40722.618939469852</v>
      </c>
      <c r="O312" s="507">
        <v>164.61891425321016</v>
      </c>
      <c r="P312">
        <v>1</v>
      </c>
      <c r="Q312" s="2" t="s">
        <v>526</v>
      </c>
      <c r="R312" s="3">
        <v>1</v>
      </c>
      <c r="S312" s="3">
        <v>5.2488000000000001</v>
      </c>
      <c r="T312" s="507">
        <v>40721.176509995072</v>
      </c>
      <c r="U312" s="507">
        <v>0</v>
      </c>
      <c r="V312" s="507">
        <v>40721.176509995072</v>
      </c>
      <c r="W312" s="507">
        <v>79.260958714501683</v>
      </c>
      <c r="X312" s="507">
        <v>40887.237853723062</v>
      </c>
      <c r="Y312" s="507">
        <v>40800.437468709577</v>
      </c>
      <c r="Z312" s="507">
        <v>214608.93404662161</v>
      </c>
      <c r="AA312" s="507">
        <v>214153.33618576283</v>
      </c>
      <c r="AB312" s="507">
        <v>214153.33618576283</v>
      </c>
      <c r="AC312" s="507">
        <v>455.6</v>
      </c>
      <c r="AD312" s="507">
        <v>455.6</v>
      </c>
      <c r="AE312" s="507">
        <v>0</v>
      </c>
      <c r="AF312" s="507">
        <v>455.6</v>
      </c>
      <c r="AG312" s="507"/>
      <c r="AH312" s="507">
        <v>0</v>
      </c>
      <c r="AI312" s="507">
        <v>0</v>
      </c>
      <c r="AJ312" s="507">
        <v>0</v>
      </c>
      <c r="AK312" s="507">
        <v>0</v>
      </c>
      <c r="AL312" s="507">
        <v>0</v>
      </c>
      <c r="AM312" s="507">
        <v>0</v>
      </c>
      <c r="AN312" s="507"/>
      <c r="AO312" s="507"/>
    </row>
    <row r="313" spans="1:41">
      <c r="A313" s="2" t="s">
        <v>289</v>
      </c>
      <c r="B313" s="2" t="s">
        <v>288</v>
      </c>
      <c r="C313" s="2" t="s">
        <v>278</v>
      </c>
      <c r="D313" s="2" t="s">
        <v>25</v>
      </c>
      <c r="E313" s="2" t="s">
        <v>280</v>
      </c>
      <c r="F313" s="2" t="s">
        <v>281</v>
      </c>
      <c r="G313" s="2" t="s">
        <v>21</v>
      </c>
      <c r="H313">
        <v>1</v>
      </c>
      <c r="I313" s="2" t="s">
        <v>526</v>
      </c>
      <c r="J313" s="3">
        <v>1</v>
      </c>
      <c r="K313" s="3">
        <v>5.2488000000000001</v>
      </c>
      <c r="L313" s="507">
        <v>81732.223841739804</v>
      </c>
      <c r="M313" s="507">
        <v>0</v>
      </c>
      <c r="N313" s="507">
        <v>81732.223841739804</v>
      </c>
      <c r="O313" s="507">
        <v>1777.3085931517103</v>
      </c>
      <c r="P313">
        <v>1</v>
      </c>
      <c r="Q313" s="2" t="s">
        <v>526</v>
      </c>
      <c r="R313" s="3">
        <v>1</v>
      </c>
      <c r="S313" s="3">
        <v>5.2488000000000001</v>
      </c>
      <c r="T313" s="507">
        <v>81725.616513118352</v>
      </c>
      <c r="U313" s="507">
        <v>0</v>
      </c>
      <c r="V313" s="507">
        <v>81725.616513118352</v>
      </c>
      <c r="W313" s="507">
        <v>1608.6148961745998</v>
      </c>
      <c r="X313" s="507">
        <v>83509.532434891516</v>
      </c>
      <c r="Y313" s="507">
        <v>83334.231409292945</v>
      </c>
      <c r="Z313" s="507">
        <v>438324.83384425862</v>
      </c>
      <c r="AA313" s="507">
        <v>437404.71382109681</v>
      </c>
      <c r="AB313" s="507">
        <v>437404.71382109681</v>
      </c>
      <c r="AC313" s="507">
        <v>920.12</v>
      </c>
      <c r="AD313" s="507">
        <v>920.12</v>
      </c>
      <c r="AE313" s="507">
        <v>0</v>
      </c>
      <c r="AF313" s="507">
        <v>920.12</v>
      </c>
      <c r="AG313" s="507"/>
      <c r="AH313" s="507">
        <v>0</v>
      </c>
      <c r="AI313" s="507">
        <v>0</v>
      </c>
      <c r="AJ313" s="507">
        <v>0</v>
      </c>
      <c r="AK313" s="507">
        <v>0</v>
      </c>
      <c r="AL313" s="507">
        <v>0</v>
      </c>
      <c r="AM313" s="507">
        <v>0</v>
      </c>
      <c r="AN313" s="507"/>
      <c r="AO313" s="507"/>
    </row>
    <row r="314" spans="1:41">
      <c r="A314" s="2" t="s">
        <v>290</v>
      </c>
      <c r="B314" s="2" t="s">
        <v>288</v>
      </c>
      <c r="C314" s="2" t="s">
        <v>278</v>
      </c>
      <c r="D314" s="2" t="s">
        <v>25</v>
      </c>
      <c r="E314" s="2" t="s">
        <v>280</v>
      </c>
      <c r="F314" s="2" t="s">
        <v>281</v>
      </c>
      <c r="G314" s="2" t="s">
        <v>21</v>
      </c>
      <c r="H314">
        <v>1</v>
      </c>
      <c r="I314" s="2" t="s">
        <v>526</v>
      </c>
      <c r="J314" s="3">
        <v>1</v>
      </c>
      <c r="K314" s="3">
        <v>5.2488000000000001</v>
      </c>
      <c r="L314" s="507">
        <v>204179.58061330329</v>
      </c>
      <c r="M314" s="507">
        <v>0</v>
      </c>
      <c r="N314" s="507">
        <v>204179.58061330329</v>
      </c>
      <c r="O314" s="507">
        <v>2170.2444829881229</v>
      </c>
      <c r="P314">
        <v>1</v>
      </c>
      <c r="Q314" s="2" t="s">
        <v>526</v>
      </c>
      <c r="R314" s="3">
        <v>1</v>
      </c>
      <c r="S314" s="3">
        <v>5.2488000000000001</v>
      </c>
      <c r="T314" s="507">
        <v>204167.57554014976</v>
      </c>
      <c r="U314" s="507">
        <v>0</v>
      </c>
      <c r="V314" s="507">
        <v>204167.57554014976</v>
      </c>
      <c r="W314" s="507">
        <v>1739.2739408077623</v>
      </c>
      <c r="X314" s="507">
        <v>206349.8250962914</v>
      </c>
      <c r="Y314" s="507">
        <v>205906.84948095752</v>
      </c>
      <c r="Z314" s="507">
        <v>1083088.9619654142</v>
      </c>
      <c r="AA314" s="507">
        <v>1080763.8715556499</v>
      </c>
      <c r="AB314" s="507">
        <v>1080763.8715556499</v>
      </c>
      <c r="AC314" s="507">
        <v>2325.09</v>
      </c>
      <c r="AD314" s="507">
        <v>2325.09</v>
      </c>
      <c r="AE314" s="507">
        <v>0</v>
      </c>
      <c r="AF314" s="507">
        <v>2325.09</v>
      </c>
      <c r="AG314" s="507"/>
      <c r="AH314" s="507">
        <v>0</v>
      </c>
      <c r="AI314" s="507">
        <v>0</v>
      </c>
      <c r="AJ314" s="507">
        <v>0</v>
      </c>
      <c r="AK314" s="507">
        <v>0</v>
      </c>
      <c r="AL314" s="507">
        <v>0</v>
      </c>
      <c r="AM314" s="507">
        <v>0</v>
      </c>
      <c r="AN314" s="507"/>
      <c r="AO314" s="507"/>
    </row>
    <row r="315" spans="1:41">
      <c r="A315" s="2" t="s">
        <v>291</v>
      </c>
      <c r="B315" s="2" t="s">
        <v>288</v>
      </c>
      <c r="C315" s="2" t="s">
        <v>278</v>
      </c>
      <c r="D315" s="2" t="s">
        <v>25</v>
      </c>
      <c r="E315" s="2" t="s">
        <v>280</v>
      </c>
      <c r="F315" s="2" t="s">
        <v>281</v>
      </c>
      <c r="G315" s="2" t="s">
        <v>21</v>
      </c>
      <c r="H315">
        <v>1</v>
      </c>
      <c r="I315" s="2" t="s">
        <v>526</v>
      </c>
      <c r="J315" s="3">
        <v>1</v>
      </c>
      <c r="K315" s="3">
        <v>5.2488000000000001</v>
      </c>
      <c r="L315" s="507">
        <v>81785.514204064617</v>
      </c>
      <c r="M315" s="507">
        <v>0</v>
      </c>
      <c r="N315" s="507">
        <v>81785.514204064617</v>
      </c>
      <c r="O315" s="507">
        <v>869.29925208615418</v>
      </c>
      <c r="P315">
        <v>1</v>
      </c>
      <c r="Q315" s="2" t="s">
        <v>526</v>
      </c>
      <c r="R315" s="3">
        <v>1</v>
      </c>
      <c r="S315" s="3">
        <v>5.2488000000000001</v>
      </c>
      <c r="T315" s="507">
        <v>81780.058780045292</v>
      </c>
      <c r="U315" s="507">
        <v>0</v>
      </c>
      <c r="V315" s="507">
        <v>81780.058780045292</v>
      </c>
      <c r="W315" s="507">
        <v>696.67245025343664</v>
      </c>
      <c r="X315" s="507">
        <v>82654.813456150776</v>
      </c>
      <c r="Y315" s="507">
        <v>82476.731230298727</v>
      </c>
      <c r="Z315" s="507">
        <v>433838.58486864419</v>
      </c>
      <c r="AA315" s="507">
        <v>432903.86688159197</v>
      </c>
      <c r="AB315" s="507">
        <v>432903.86688159197</v>
      </c>
      <c r="AC315" s="507">
        <v>934.72</v>
      </c>
      <c r="AD315" s="507">
        <v>934.72</v>
      </c>
      <c r="AE315" s="507">
        <v>0</v>
      </c>
      <c r="AF315" s="507">
        <v>934.72</v>
      </c>
      <c r="AG315" s="507"/>
      <c r="AH315" s="507">
        <v>0</v>
      </c>
      <c r="AI315" s="507">
        <v>0</v>
      </c>
      <c r="AJ315" s="507">
        <v>0</v>
      </c>
      <c r="AK315" s="507">
        <v>0</v>
      </c>
      <c r="AL315" s="507">
        <v>0</v>
      </c>
      <c r="AM315" s="507">
        <v>0</v>
      </c>
      <c r="AN315" s="507"/>
      <c r="AO315" s="507"/>
    </row>
    <row r="316" spans="1:41">
      <c r="A316" s="2" t="s">
        <v>292</v>
      </c>
      <c r="B316" s="2" t="s">
        <v>288</v>
      </c>
      <c r="C316" s="2" t="s">
        <v>278</v>
      </c>
      <c r="D316" s="2" t="s">
        <v>25</v>
      </c>
      <c r="E316" s="2" t="s">
        <v>280</v>
      </c>
      <c r="F316" s="2" t="s">
        <v>281</v>
      </c>
      <c r="G316" s="2" t="s">
        <v>21</v>
      </c>
      <c r="H316">
        <v>1</v>
      </c>
      <c r="I316" s="2" t="s">
        <v>526</v>
      </c>
      <c r="J316" s="3">
        <v>1</v>
      </c>
      <c r="K316" s="3">
        <v>5.2488000000000001</v>
      </c>
      <c r="L316" s="507">
        <v>163819.38925326423</v>
      </c>
      <c r="M316" s="507">
        <v>0</v>
      </c>
      <c r="N316" s="507">
        <v>163819.38925326423</v>
      </c>
      <c r="O316" s="507">
        <v>3131.093070118397</v>
      </c>
      <c r="P316">
        <v>1</v>
      </c>
      <c r="Q316" s="2" t="s">
        <v>526</v>
      </c>
      <c r="R316" s="3">
        <v>1</v>
      </c>
      <c r="S316" s="3">
        <v>5.2488000000000001</v>
      </c>
      <c r="T316" s="507">
        <v>163788.30701483256</v>
      </c>
      <c r="U316" s="507">
        <v>0</v>
      </c>
      <c r="V316" s="507">
        <v>163788.30701483256</v>
      </c>
      <c r="W316" s="507">
        <v>2854.5296443666034</v>
      </c>
      <c r="X316" s="507">
        <v>166950.48232338263</v>
      </c>
      <c r="Y316" s="507">
        <v>166642.83665919918</v>
      </c>
      <c r="Z316" s="507">
        <v>876289.69161897083</v>
      </c>
      <c r="AA316" s="507">
        <v>874674.92105680471</v>
      </c>
      <c r="AB316" s="507">
        <v>874674.92105680471</v>
      </c>
      <c r="AC316" s="507">
        <v>1614.77</v>
      </c>
      <c r="AD316" s="507">
        <v>1614.77</v>
      </c>
      <c r="AE316" s="507">
        <v>0</v>
      </c>
      <c r="AF316" s="507">
        <v>1614.77</v>
      </c>
      <c r="AG316" s="507"/>
      <c r="AH316" s="507">
        <v>0</v>
      </c>
      <c r="AI316" s="507">
        <v>0</v>
      </c>
      <c r="AJ316" s="507">
        <v>0</v>
      </c>
      <c r="AK316" s="507">
        <v>0</v>
      </c>
      <c r="AL316" s="507">
        <v>0</v>
      </c>
      <c r="AM316" s="507">
        <v>0</v>
      </c>
      <c r="AN316" s="507"/>
      <c r="AO316" s="507"/>
    </row>
    <row r="317" spans="1:41">
      <c r="A317" s="2" t="s">
        <v>293</v>
      </c>
      <c r="B317" s="2" t="s">
        <v>288</v>
      </c>
      <c r="C317" s="2" t="s">
        <v>278</v>
      </c>
      <c r="D317" s="2" t="s">
        <v>25</v>
      </c>
      <c r="E317" s="2" t="s">
        <v>280</v>
      </c>
      <c r="F317" s="2" t="s">
        <v>281</v>
      </c>
      <c r="G317" s="2" t="s">
        <v>21</v>
      </c>
      <c r="H317">
        <v>1</v>
      </c>
      <c r="I317" s="2" t="s">
        <v>526</v>
      </c>
      <c r="J317" s="3">
        <v>1</v>
      </c>
      <c r="K317" s="3">
        <v>5.2488000000000001</v>
      </c>
      <c r="L317" s="507">
        <v>81347.077347079277</v>
      </c>
      <c r="M317" s="507">
        <v>0</v>
      </c>
      <c r="N317" s="507">
        <v>81347.077347079277</v>
      </c>
      <c r="O317" s="507">
        <v>1554.7931860620697</v>
      </c>
      <c r="P317">
        <v>1</v>
      </c>
      <c r="Q317" s="2" t="s">
        <v>526</v>
      </c>
      <c r="R317" s="3">
        <v>1</v>
      </c>
      <c r="S317" s="3">
        <v>5.2488000000000001</v>
      </c>
      <c r="T317" s="507">
        <v>81331.642975938303</v>
      </c>
      <c r="U317" s="507">
        <v>0</v>
      </c>
      <c r="V317" s="507">
        <v>81331.642975938303</v>
      </c>
      <c r="W317" s="507">
        <v>1417.4612958105254</v>
      </c>
      <c r="X317" s="507">
        <v>82901.870533141351</v>
      </c>
      <c r="Y317" s="507">
        <v>82749.104271748831</v>
      </c>
      <c r="Z317" s="507">
        <v>435135.33805435232</v>
      </c>
      <c r="AA317" s="507">
        <v>434333.4985015553</v>
      </c>
      <c r="AB317" s="507">
        <v>434333.4985015553</v>
      </c>
      <c r="AC317" s="507">
        <v>801.84</v>
      </c>
      <c r="AD317" s="507">
        <v>801.84</v>
      </c>
      <c r="AE317" s="507">
        <v>0</v>
      </c>
      <c r="AF317" s="507">
        <v>801.84</v>
      </c>
      <c r="AG317" s="507"/>
      <c r="AH317" s="507">
        <v>0</v>
      </c>
      <c r="AI317" s="507">
        <v>0</v>
      </c>
      <c r="AJ317" s="507">
        <v>0</v>
      </c>
      <c r="AK317" s="507">
        <v>0</v>
      </c>
      <c r="AL317" s="507">
        <v>0</v>
      </c>
      <c r="AM317" s="507">
        <v>0</v>
      </c>
      <c r="AN317" s="507"/>
      <c r="AO317" s="507"/>
    </row>
    <row r="318" spans="1:41">
      <c r="A318" s="2" t="s">
        <v>294</v>
      </c>
      <c r="B318" s="2" t="s">
        <v>288</v>
      </c>
      <c r="C318" s="2" t="s">
        <v>278</v>
      </c>
      <c r="D318" s="2" t="s">
        <v>25</v>
      </c>
      <c r="E318" s="2" t="s">
        <v>280</v>
      </c>
      <c r="F318" s="2" t="s">
        <v>281</v>
      </c>
      <c r="G318" s="2" t="s">
        <v>21</v>
      </c>
      <c r="H318">
        <v>1</v>
      </c>
      <c r="I318" s="2" t="s">
        <v>526</v>
      </c>
      <c r="J318" s="3">
        <v>1</v>
      </c>
      <c r="K318" s="3">
        <v>5.2488000000000001</v>
      </c>
      <c r="L318" s="507">
        <v>38218.25790116148</v>
      </c>
      <c r="M318" s="507">
        <v>0</v>
      </c>
      <c r="N318" s="507">
        <v>38218.25790116148</v>
      </c>
      <c r="O318" s="507">
        <v>562.46411773943407</v>
      </c>
      <c r="P318">
        <v>1</v>
      </c>
      <c r="Q318" s="2" t="s">
        <v>526</v>
      </c>
      <c r="R318" s="3">
        <v>1</v>
      </c>
      <c r="S318" s="3">
        <v>5.2488000000000001</v>
      </c>
      <c r="T318" s="507">
        <v>40676.577416328728</v>
      </c>
      <c r="U318" s="507">
        <v>0</v>
      </c>
      <c r="V318" s="507">
        <v>40676.577416328728</v>
      </c>
      <c r="W318" s="507">
        <v>521.02963171695239</v>
      </c>
      <c r="X318" s="507">
        <v>38780.722018900917</v>
      </c>
      <c r="Y318" s="507">
        <v>41197.607048045684</v>
      </c>
      <c r="Z318" s="507">
        <v>203552.25373280715</v>
      </c>
      <c r="AA318" s="507">
        <v>216237.99987378219</v>
      </c>
      <c r="AB318" s="507">
        <v>216237.99987378219</v>
      </c>
      <c r="AC318" s="507">
        <v>-12685.75</v>
      </c>
      <c r="AD318" s="507">
        <v>-12685.75</v>
      </c>
      <c r="AE318" s="507">
        <v>0</v>
      </c>
      <c r="AF318" s="507"/>
      <c r="AG318" s="507">
        <v>-12685.75</v>
      </c>
      <c r="AH318" s="507">
        <v>0</v>
      </c>
      <c r="AI318" s="507">
        <v>0</v>
      </c>
      <c r="AJ318" s="507">
        <v>0</v>
      </c>
      <c r="AK318" s="507">
        <v>0</v>
      </c>
      <c r="AL318" s="507">
        <v>0</v>
      </c>
      <c r="AM318" s="507">
        <v>0</v>
      </c>
      <c r="AN318" s="507"/>
      <c r="AO318" s="507"/>
    </row>
    <row r="319" spans="1:41">
      <c r="A319" s="2" t="s">
        <v>295</v>
      </c>
      <c r="B319" s="2" t="s">
        <v>288</v>
      </c>
      <c r="C319" s="2" t="s">
        <v>278</v>
      </c>
      <c r="D319" s="2" t="s">
        <v>25</v>
      </c>
      <c r="E319" s="2" t="s">
        <v>280</v>
      </c>
      <c r="F319" s="2" t="s">
        <v>281</v>
      </c>
      <c r="G319" s="2" t="s">
        <v>21</v>
      </c>
      <c r="H319">
        <v>1</v>
      </c>
      <c r="I319" s="2" t="s">
        <v>526</v>
      </c>
      <c r="J319" s="3">
        <v>1</v>
      </c>
      <c r="K319" s="3">
        <v>5.2488000000000001</v>
      </c>
      <c r="L319" s="507">
        <v>38180.006999820951</v>
      </c>
      <c r="M319" s="507">
        <v>0</v>
      </c>
      <c r="N319" s="507">
        <v>38180.006999820951</v>
      </c>
      <c r="O319" s="507">
        <v>561.90117320305899</v>
      </c>
      <c r="P319">
        <v>1</v>
      </c>
      <c r="Q319" s="2" t="s">
        <v>526</v>
      </c>
      <c r="R319" s="3">
        <v>1</v>
      </c>
      <c r="S319" s="3">
        <v>5.2488000000000001</v>
      </c>
      <c r="T319" s="507">
        <v>38535.704920732474</v>
      </c>
      <c r="U319" s="507">
        <v>0</v>
      </c>
      <c r="V319" s="507">
        <v>38535.704920732474</v>
      </c>
      <c r="W319" s="507">
        <v>520.5081570571225</v>
      </c>
      <c r="X319" s="507">
        <v>38741.908173024007</v>
      </c>
      <c r="Y319" s="507">
        <v>39056.213077789595</v>
      </c>
      <c r="Z319" s="507">
        <v>203348.52761856842</v>
      </c>
      <c r="AA319" s="507">
        <v>204998.25120270203</v>
      </c>
      <c r="AB319" s="507">
        <v>204998.25120270203</v>
      </c>
      <c r="AC319" s="507">
        <v>-1649.72</v>
      </c>
      <c r="AD319" s="507">
        <v>-1649.72</v>
      </c>
      <c r="AE319" s="507">
        <v>0</v>
      </c>
      <c r="AF319" s="507"/>
      <c r="AG319" s="507">
        <v>-1649.72</v>
      </c>
      <c r="AH319" s="507">
        <v>0</v>
      </c>
      <c r="AI319" s="507">
        <v>0</v>
      </c>
      <c r="AJ319" s="507">
        <v>0</v>
      </c>
      <c r="AK319" s="507">
        <v>0</v>
      </c>
      <c r="AL319" s="507">
        <v>0</v>
      </c>
      <c r="AM319" s="507">
        <v>0</v>
      </c>
      <c r="AN319" s="507"/>
      <c r="AO319" s="507"/>
    </row>
    <row r="320" spans="1:41">
      <c r="A320" s="2" t="s">
        <v>296</v>
      </c>
      <c r="B320" s="2" t="s">
        <v>288</v>
      </c>
      <c r="C320" s="2" t="s">
        <v>278</v>
      </c>
      <c r="D320" s="2" t="s">
        <v>25</v>
      </c>
      <c r="E320" s="2" t="s">
        <v>280</v>
      </c>
      <c r="F320" s="2" t="s">
        <v>281</v>
      </c>
      <c r="G320" s="2" t="s">
        <v>21</v>
      </c>
      <c r="H320">
        <v>1</v>
      </c>
      <c r="I320" s="2" t="s">
        <v>526</v>
      </c>
      <c r="J320" s="3">
        <v>1</v>
      </c>
      <c r="K320" s="3">
        <v>5.2488000000000001</v>
      </c>
      <c r="L320" s="507">
        <v>15358.133415889284</v>
      </c>
      <c r="M320" s="507">
        <v>0</v>
      </c>
      <c r="N320" s="507">
        <v>15358.133415889284</v>
      </c>
      <c r="O320" s="507">
        <v>226.02806711475361</v>
      </c>
      <c r="P320">
        <v>1</v>
      </c>
      <c r="Q320" s="2" t="s">
        <v>526</v>
      </c>
      <c r="R320" s="3">
        <v>1</v>
      </c>
      <c r="S320" s="3">
        <v>5.2488000000000001</v>
      </c>
      <c r="T320" s="507">
        <v>8563.4899823849955</v>
      </c>
      <c r="U320" s="507">
        <v>0</v>
      </c>
      <c r="V320" s="507">
        <v>8563.4899823849955</v>
      </c>
      <c r="W320" s="507">
        <v>104.6887408923135</v>
      </c>
      <c r="X320" s="507">
        <v>15584.161483004038</v>
      </c>
      <c r="Y320" s="507">
        <v>8668.1787232773095</v>
      </c>
      <c r="Z320" s="507">
        <v>81798.146791991603</v>
      </c>
      <c r="AA320" s="507">
        <v>45497.536482737945</v>
      </c>
      <c r="AB320" s="507">
        <v>45497.536482737945</v>
      </c>
      <c r="AC320" s="507">
        <v>36300.61</v>
      </c>
      <c r="AD320" s="507">
        <v>36300.61</v>
      </c>
      <c r="AE320" s="507">
        <v>0</v>
      </c>
      <c r="AF320" s="507">
        <v>36300.61</v>
      </c>
      <c r="AG320" s="507"/>
      <c r="AH320" s="507">
        <v>0</v>
      </c>
      <c r="AI320" s="507">
        <v>0</v>
      </c>
      <c r="AJ320" s="507">
        <v>0</v>
      </c>
      <c r="AK320" s="507">
        <v>0</v>
      </c>
      <c r="AL320" s="507">
        <v>0</v>
      </c>
      <c r="AM320" s="507">
        <v>0</v>
      </c>
      <c r="AN320" s="507"/>
      <c r="AO320" s="507"/>
    </row>
    <row r="321" spans="1:41">
      <c r="A321" s="2" t="s">
        <v>297</v>
      </c>
      <c r="B321" s="2" t="s">
        <v>288</v>
      </c>
      <c r="C321" s="2" t="s">
        <v>278</v>
      </c>
      <c r="D321" s="2" t="s">
        <v>25</v>
      </c>
      <c r="E321" s="2" t="s">
        <v>280</v>
      </c>
      <c r="F321" s="2" t="s">
        <v>281</v>
      </c>
      <c r="G321" s="2" t="s">
        <v>21</v>
      </c>
      <c r="H321">
        <v>1</v>
      </c>
      <c r="I321" s="2" t="s">
        <v>526</v>
      </c>
      <c r="J321" s="3">
        <v>1</v>
      </c>
      <c r="K321" s="3">
        <v>5.2488000000000001</v>
      </c>
      <c r="L321" s="507">
        <v>15367.906421048538</v>
      </c>
      <c r="M321" s="507">
        <v>0</v>
      </c>
      <c r="N321" s="507">
        <v>15367.906421048538</v>
      </c>
      <c r="O321" s="507">
        <v>226.17189797012065</v>
      </c>
      <c r="P321">
        <v>1</v>
      </c>
      <c r="Q321" s="2" t="s">
        <v>526</v>
      </c>
      <c r="R321" s="3">
        <v>1</v>
      </c>
      <c r="S321" s="3">
        <v>5.2488000000000001</v>
      </c>
      <c r="T321" s="507">
        <v>14986.107469173745</v>
      </c>
      <c r="U321" s="507">
        <v>0</v>
      </c>
      <c r="V321" s="507">
        <v>14986.107469173745</v>
      </c>
      <c r="W321" s="507">
        <v>209.51071719509665</v>
      </c>
      <c r="X321" s="507">
        <v>15594.078319018658</v>
      </c>
      <c r="Y321" s="507">
        <v>15195.618186368842</v>
      </c>
      <c r="Z321" s="507">
        <v>81850.198280865137</v>
      </c>
      <c r="AA321" s="507">
        <v>79758.760736612778</v>
      </c>
      <c r="AB321" s="507">
        <v>79758.760736612778</v>
      </c>
      <c r="AC321" s="507">
        <v>2091.44</v>
      </c>
      <c r="AD321" s="507">
        <v>2091.44</v>
      </c>
      <c r="AE321" s="507">
        <v>0</v>
      </c>
      <c r="AF321" s="507">
        <v>2091.44</v>
      </c>
      <c r="AG321" s="507"/>
      <c r="AH321" s="507">
        <v>0</v>
      </c>
      <c r="AI321" s="507">
        <v>0</v>
      </c>
      <c r="AJ321" s="507">
        <v>0</v>
      </c>
      <c r="AK321" s="507">
        <v>0</v>
      </c>
      <c r="AL321" s="507">
        <v>0</v>
      </c>
      <c r="AM321" s="507">
        <v>0</v>
      </c>
      <c r="AN321" s="507"/>
      <c r="AO321" s="507"/>
    </row>
    <row r="322" spans="1:41">
      <c r="A322" s="2" t="s">
        <v>298</v>
      </c>
      <c r="B322" s="2" t="s">
        <v>288</v>
      </c>
      <c r="C322" s="2" t="s">
        <v>278</v>
      </c>
      <c r="D322" s="2" t="s">
        <v>25</v>
      </c>
      <c r="E322" s="2" t="s">
        <v>280</v>
      </c>
      <c r="F322" s="2" t="s">
        <v>281</v>
      </c>
      <c r="G322" s="2" t="s">
        <v>21</v>
      </c>
      <c r="H322">
        <v>1</v>
      </c>
      <c r="I322" s="2" t="s">
        <v>526</v>
      </c>
      <c r="J322" s="3">
        <v>1</v>
      </c>
      <c r="K322" s="3">
        <v>5.2488000000000001</v>
      </c>
      <c r="L322" s="507">
        <v>15364.654093102099</v>
      </c>
      <c r="M322" s="507">
        <v>0</v>
      </c>
      <c r="N322" s="507">
        <v>15364.654093102099</v>
      </c>
      <c r="O322" s="507">
        <v>226.12403294776084</v>
      </c>
      <c r="P322">
        <v>1</v>
      </c>
      <c r="Q322" s="2" t="s">
        <v>526</v>
      </c>
      <c r="R322" s="3">
        <v>1</v>
      </c>
      <c r="S322" s="3">
        <v>5.2488000000000001</v>
      </c>
      <c r="T322" s="507">
        <v>14986.107469173745</v>
      </c>
      <c r="U322" s="507">
        <v>0</v>
      </c>
      <c r="V322" s="507">
        <v>14986.107469173745</v>
      </c>
      <c r="W322" s="507">
        <v>209.466378197842</v>
      </c>
      <c r="X322" s="507">
        <v>15590.77812604986</v>
      </c>
      <c r="Y322" s="507">
        <v>15195.573847371586</v>
      </c>
      <c r="Z322" s="507">
        <v>81832.8762280105</v>
      </c>
      <c r="AA322" s="507">
        <v>79758.528010083988</v>
      </c>
      <c r="AB322" s="507">
        <v>79758.528010083988</v>
      </c>
      <c r="AC322" s="507">
        <v>2074.35</v>
      </c>
      <c r="AD322" s="507">
        <v>2074.35</v>
      </c>
      <c r="AE322" s="507">
        <v>0</v>
      </c>
      <c r="AF322" s="507">
        <v>2074.35</v>
      </c>
      <c r="AG322" s="507"/>
      <c r="AH322" s="507">
        <v>0</v>
      </c>
      <c r="AI322" s="507">
        <v>0</v>
      </c>
      <c r="AJ322" s="507">
        <v>0</v>
      </c>
      <c r="AK322" s="507">
        <v>0</v>
      </c>
      <c r="AL322" s="507">
        <v>0</v>
      </c>
      <c r="AM322" s="507">
        <v>0</v>
      </c>
      <c r="AN322" s="507"/>
      <c r="AO322" s="507"/>
    </row>
    <row r="323" spans="1:41">
      <c r="A323" s="2" t="s">
        <v>299</v>
      </c>
      <c r="B323" s="2" t="s">
        <v>288</v>
      </c>
      <c r="C323" s="2" t="s">
        <v>278</v>
      </c>
      <c r="D323" s="2" t="s">
        <v>25</v>
      </c>
      <c r="E323" s="2" t="s">
        <v>280</v>
      </c>
      <c r="F323" s="2" t="s">
        <v>281</v>
      </c>
      <c r="G323" s="2" t="s">
        <v>21</v>
      </c>
      <c r="H323">
        <v>1</v>
      </c>
      <c r="I323" s="2" t="s">
        <v>526</v>
      </c>
      <c r="J323" s="3">
        <v>1</v>
      </c>
      <c r="K323" s="3">
        <v>5.2488000000000001</v>
      </c>
      <c r="L323" s="507">
        <v>15342.064031996284</v>
      </c>
      <c r="M323" s="507">
        <v>0</v>
      </c>
      <c r="N323" s="507">
        <v>15342.064031996284</v>
      </c>
      <c r="O323" s="507">
        <v>225.79157146240414</v>
      </c>
      <c r="P323">
        <v>1</v>
      </c>
      <c r="Q323" s="2" t="s">
        <v>526</v>
      </c>
      <c r="R323" s="3">
        <v>1</v>
      </c>
      <c r="S323" s="3">
        <v>5.2488000000000001</v>
      </c>
      <c r="T323" s="507">
        <v>14986.107469173745</v>
      </c>
      <c r="U323" s="507">
        <v>0</v>
      </c>
      <c r="V323" s="507">
        <v>14986.107469173745</v>
      </c>
      <c r="W323" s="507">
        <v>209.15840782282208</v>
      </c>
      <c r="X323" s="507">
        <v>15567.855603458687</v>
      </c>
      <c r="Y323" s="507">
        <v>15195.265876996567</v>
      </c>
      <c r="Z323" s="507">
        <v>81712.560491433964</v>
      </c>
      <c r="AA323" s="507">
        <v>79756.911535179592</v>
      </c>
      <c r="AB323" s="507">
        <v>79756.911535179592</v>
      </c>
      <c r="AC323" s="507">
        <v>1955.65</v>
      </c>
      <c r="AD323" s="507">
        <v>1955.65</v>
      </c>
      <c r="AE323" s="507">
        <v>0</v>
      </c>
      <c r="AF323" s="507">
        <v>1955.65</v>
      </c>
      <c r="AG323" s="507"/>
      <c r="AH323" s="507">
        <v>0</v>
      </c>
      <c r="AI323" s="507">
        <v>0</v>
      </c>
      <c r="AJ323" s="507">
        <v>0</v>
      </c>
      <c r="AK323" s="507">
        <v>0</v>
      </c>
      <c r="AL323" s="507">
        <v>0</v>
      </c>
      <c r="AM323" s="507">
        <v>0</v>
      </c>
      <c r="AN323" s="507"/>
      <c r="AO323" s="507"/>
    </row>
    <row r="324" spans="1:41">
      <c r="A324" s="2" t="s">
        <v>300</v>
      </c>
      <c r="B324" s="2" t="s">
        <v>288</v>
      </c>
      <c r="C324" s="2" t="s">
        <v>278</v>
      </c>
      <c r="D324" s="2" t="s">
        <v>25</v>
      </c>
      <c r="E324" s="2" t="s">
        <v>280</v>
      </c>
      <c r="F324" s="2" t="s">
        <v>281</v>
      </c>
      <c r="G324" s="2" t="s">
        <v>21</v>
      </c>
      <c r="H324">
        <v>1</v>
      </c>
      <c r="I324" s="2" t="s">
        <v>526</v>
      </c>
      <c r="J324" s="3">
        <v>1</v>
      </c>
      <c r="K324" s="3">
        <v>5.2488000000000001</v>
      </c>
      <c r="L324" s="507">
        <v>38216.135076270322</v>
      </c>
      <c r="M324" s="507">
        <v>0</v>
      </c>
      <c r="N324" s="507">
        <v>38216.135076270322</v>
      </c>
      <c r="O324" s="507">
        <v>562.43287579134198</v>
      </c>
      <c r="P324">
        <v>1</v>
      </c>
      <c r="Q324" s="2" t="s">
        <v>526</v>
      </c>
      <c r="R324" s="3">
        <v>1</v>
      </c>
      <c r="S324" s="3">
        <v>5.2488000000000001</v>
      </c>
      <c r="T324" s="507">
        <v>40676.577416328728</v>
      </c>
      <c r="U324" s="507">
        <v>0</v>
      </c>
      <c r="V324" s="507">
        <v>40676.577416328728</v>
      </c>
      <c r="W324" s="507">
        <v>521.00069123844867</v>
      </c>
      <c r="X324" s="507">
        <v>38778.567952061661</v>
      </c>
      <c r="Y324" s="507">
        <v>41197.578107567177</v>
      </c>
      <c r="Z324" s="507">
        <v>203540.94746678125</v>
      </c>
      <c r="AA324" s="507">
        <v>216237.84797099861</v>
      </c>
      <c r="AB324" s="507">
        <v>216237.84797099861</v>
      </c>
      <c r="AC324" s="507">
        <v>-12696.9</v>
      </c>
      <c r="AD324" s="507">
        <v>-12696.9</v>
      </c>
      <c r="AE324" s="507">
        <v>0</v>
      </c>
      <c r="AF324" s="507"/>
      <c r="AG324" s="507">
        <v>-12696.9</v>
      </c>
      <c r="AH324" s="507">
        <v>0</v>
      </c>
      <c r="AI324" s="507">
        <v>0</v>
      </c>
      <c r="AJ324" s="507">
        <v>0</v>
      </c>
      <c r="AK324" s="507">
        <v>0</v>
      </c>
      <c r="AL324" s="507">
        <v>0</v>
      </c>
      <c r="AM324" s="507">
        <v>0</v>
      </c>
      <c r="AN324" s="507"/>
      <c r="AO324" s="507"/>
    </row>
    <row r="325" spans="1:41">
      <c r="A325" s="2" t="s">
        <v>301</v>
      </c>
      <c r="B325" s="2" t="s">
        <v>288</v>
      </c>
      <c r="C325" s="2" t="s">
        <v>278</v>
      </c>
      <c r="D325" s="2" t="s">
        <v>25</v>
      </c>
      <c r="E325" s="2" t="s">
        <v>280</v>
      </c>
      <c r="F325" s="2" t="s">
        <v>281</v>
      </c>
      <c r="G325" s="2" t="s">
        <v>21</v>
      </c>
      <c r="H325">
        <v>1</v>
      </c>
      <c r="I325" s="2" t="s">
        <v>526</v>
      </c>
      <c r="J325" s="3">
        <v>1</v>
      </c>
      <c r="K325" s="3">
        <v>5.2488000000000001</v>
      </c>
      <c r="L325" s="507">
        <v>38184.052383104085</v>
      </c>
      <c r="M325" s="507">
        <v>0</v>
      </c>
      <c r="N325" s="507">
        <v>38184.052383104085</v>
      </c>
      <c r="O325" s="507">
        <v>561.96070974564941</v>
      </c>
      <c r="P325">
        <v>1</v>
      </c>
      <c r="Q325" s="2" t="s">
        <v>526</v>
      </c>
      <c r="R325" s="3">
        <v>1</v>
      </c>
      <c r="S325" s="3">
        <v>5.2488000000000001</v>
      </c>
      <c r="T325" s="507">
        <v>40676.577416328728</v>
      </c>
      <c r="U325" s="507">
        <v>0</v>
      </c>
      <c r="V325" s="507">
        <v>40676.577416328728</v>
      </c>
      <c r="W325" s="507">
        <v>520.56330778030883</v>
      </c>
      <c r="X325" s="507">
        <v>38746.013092849731</v>
      </c>
      <c r="Y325" s="507">
        <v>41197.140724109035</v>
      </c>
      <c r="Z325" s="507">
        <v>203370.07352174967</v>
      </c>
      <c r="AA325" s="507">
        <v>216235.55223270351</v>
      </c>
      <c r="AB325" s="507">
        <v>216235.55223270351</v>
      </c>
      <c r="AC325" s="507">
        <v>-12865.48</v>
      </c>
      <c r="AD325" s="507">
        <v>-12865.48</v>
      </c>
      <c r="AE325" s="507">
        <v>0</v>
      </c>
      <c r="AF325" s="507"/>
      <c r="AG325" s="507">
        <v>-12865.48</v>
      </c>
      <c r="AH325" s="507">
        <v>0</v>
      </c>
      <c r="AI325" s="507">
        <v>0</v>
      </c>
      <c r="AJ325" s="507">
        <v>0</v>
      </c>
      <c r="AK325" s="507">
        <v>0</v>
      </c>
      <c r="AL325" s="507">
        <v>0</v>
      </c>
      <c r="AM325" s="507">
        <v>0</v>
      </c>
      <c r="AN325" s="507"/>
      <c r="AO325" s="507"/>
    </row>
    <row r="326" spans="1:41">
      <c r="A326" s="2" t="s">
        <v>302</v>
      </c>
      <c r="B326" s="2" t="s">
        <v>288</v>
      </c>
      <c r="C326" s="2" t="s">
        <v>278</v>
      </c>
      <c r="D326" s="2" t="s">
        <v>25</v>
      </c>
      <c r="E326" s="2" t="s">
        <v>280</v>
      </c>
      <c r="F326" s="2" t="s">
        <v>281</v>
      </c>
      <c r="G326" s="2" t="s">
        <v>21</v>
      </c>
      <c r="H326">
        <v>1</v>
      </c>
      <c r="I326" s="2" t="s">
        <v>526</v>
      </c>
      <c r="J326" s="3">
        <v>1</v>
      </c>
      <c r="K326" s="3">
        <v>5.2488000000000001</v>
      </c>
      <c r="L326" s="507">
        <v>55173.601208184729</v>
      </c>
      <c r="M326" s="507">
        <v>0</v>
      </c>
      <c r="N326" s="507">
        <v>55173.601208184729</v>
      </c>
      <c r="O326" s="507">
        <v>816.31893693621328</v>
      </c>
      <c r="P326">
        <v>1</v>
      </c>
      <c r="Q326" s="2" t="s">
        <v>526</v>
      </c>
      <c r="R326" s="3">
        <v>1</v>
      </c>
      <c r="S326" s="3">
        <v>5.2488000000000001</v>
      </c>
      <c r="T326" s="507">
        <v>55129.929068314799</v>
      </c>
      <c r="U326" s="507">
        <v>0</v>
      </c>
      <c r="V326" s="507">
        <v>55129.929068314799</v>
      </c>
      <c r="W326" s="507">
        <v>729.07874520256848</v>
      </c>
      <c r="X326" s="507">
        <v>55989.920145120945</v>
      </c>
      <c r="Y326" s="507">
        <v>55859.007813517368</v>
      </c>
      <c r="Z326" s="507">
        <v>293879.89285771083</v>
      </c>
      <c r="AA326" s="507">
        <v>293192.76021158998</v>
      </c>
      <c r="AB326" s="507">
        <v>293192.76021158998</v>
      </c>
      <c r="AC326" s="507">
        <v>687.13</v>
      </c>
      <c r="AD326" s="507">
        <v>687.13</v>
      </c>
      <c r="AE326" s="507">
        <v>0</v>
      </c>
      <c r="AF326" s="507">
        <v>687.13</v>
      </c>
      <c r="AG326" s="507"/>
      <c r="AH326" s="507">
        <v>0</v>
      </c>
      <c r="AI326" s="507">
        <v>0</v>
      </c>
      <c r="AJ326" s="507">
        <v>0</v>
      </c>
      <c r="AK326" s="507">
        <v>0</v>
      </c>
      <c r="AL326" s="507">
        <v>0</v>
      </c>
      <c r="AM326" s="507">
        <v>0</v>
      </c>
      <c r="AN326" s="507"/>
      <c r="AO326" s="507"/>
    </row>
    <row r="327" spans="1:41">
      <c r="A327" s="2" t="s">
        <v>303</v>
      </c>
      <c r="B327" s="2" t="s">
        <v>288</v>
      </c>
      <c r="C327" s="2" t="s">
        <v>278</v>
      </c>
      <c r="D327" s="2" t="s">
        <v>25</v>
      </c>
      <c r="E327" s="2" t="s">
        <v>280</v>
      </c>
      <c r="F327" s="2" t="s">
        <v>281</v>
      </c>
      <c r="G327" s="2" t="s">
        <v>21</v>
      </c>
      <c r="H327">
        <v>1</v>
      </c>
      <c r="I327" s="2" t="s">
        <v>526</v>
      </c>
      <c r="J327" s="3">
        <v>1</v>
      </c>
      <c r="K327" s="3">
        <v>5.2488000000000001</v>
      </c>
      <c r="L327" s="507">
        <v>94722.813936502775</v>
      </c>
      <c r="M327" s="507">
        <v>0</v>
      </c>
      <c r="N327" s="507">
        <v>94722.813936502775</v>
      </c>
      <c r="O327" s="507">
        <v>1401.4678230715533</v>
      </c>
      <c r="P327">
        <v>1</v>
      </c>
      <c r="Q327" s="2" t="s">
        <v>526</v>
      </c>
      <c r="R327" s="3">
        <v>1</v>
      </c>
      <c r="S327" s="3">
        <v>5.2488000000000001</v>
      </c>
      <c r="T327" s="507">
        <v>94647.83699302758</v>
      </c>
      <c r="U327" s="507">
        <v>0</v>
      </c>
      <c r="V327" s="507">
        <v>94647.83699302758</v>
      </c>
      <c r="W327" s="507">
        <v>1251.6926358730605</v>
      </c>
      <c r="X327" s="507">
        <v>96124.281759574325</v>
      </c>
      <c r="Y327" s="507">
        <v>95899.529628900636</v>
      </c>
      <c r="Z327" s="507">
        <v>504537.13009965373</v>
      </c>
      <c r="AA327" s="507">
        <v>503357.45111617364</v>
      </c>
      <c r="AB327" s="507">
        <v>503357.45111617364</v>
      </c>
      <c r="AC327" s="507">
        <v>1179.68</v>
      </c>
      <c r="AD327" s="507">
        <v>1179.68</v>
      </c>
      <c r="AE327" s="507">
        <v>0</v>
      </c>
      <c r="AF327" s="507">
        <v>1179.68</v>
      </c>
      <c r="AG327" s="507"/>
      <c r="AH327" s="507">
        <v>0</v>
      </c>
      <c r="AI327" s="507">
        <v>0</v>
      </c>
      <c r="AJ327" s="507">
        <v>0</v>
      </c>
      <c r="AK327" s="507">
        <v>0</v>
      </c>
      <c r="AL327" s="507">
        <v>0</v>
      </c>
      <c r="AM327" s="507">
        <v>0</v>
      </c>
      <c r="AN327" s="507"/>
      <c r="AO327" s="507"/>
    </row>
    <row r="328" spans="1:41">
      <c r="A328" s="2" t="s">
        <v>304</v>
      </c>
      <c r="B328" s="2" t="s">
        <v>288</v>
      </c>
      <c r="C328" s="2" t="s">
        <v>278</v>
      </c>
      <c r="D328" s="2" t="s">
        <v>25</v>
      </c>
      <c r="E328" s="2" t="s">
        <v>280</v>
      </c>
      <c r="F328" s="2" t="s">
        <v>281</v>
      </c>
      <c r="G328" s="2" t="s">
        <v>21</v>
      </c>
      <c r="H328">
        <v>1</v>
      </c>
      <c r="I328" s="2" t="s">
        <v>526</v>
      </c>
      <c r="J328" s="3">
        <v>1</v>
      </c>
      <c r="K328" s="3">
        <v>5.2488000000000001</v>
      </c>
      <c r="L328" s="507">
        <v>39467.839140209486</v>
      </c>
      <c r="M328" s="507">
        <v>0</v>
      </c>
      <c r="N328" s="507">
        <v>39467.839140209486</v>
      </c>
      <c r="O328" s="507">
        <v>583.9449262798139</v>
      </c>
      <c r="P328">
        <v>1</v>
      </c>
      <c r="Q328" s="2" t="s">
        <v>526</v>
      </c>
      <c r="R328" s="3">
        <v>1</v>
      </c>
      <c r="S328" s="3">
        <v>5.2488000000000001</v>
      </c>
      <c r="T328" s="507">
        <v>39436.598747094831</v>
      </c>
      <c r="U328" s="507">
        <v>0</v>
      </c>
      <c r="V328" s="507">
        <v>39436.598747094831</v>
      </c>
      <c r="W328" s="507">
        <v>521.53859828044176</v>
      </c>
      <c r="X328" s="507">
        <v>40051.784066489301</v>
      </c>
      <c r="Y328" s="507">
        <v>39958.137345375275</v>
      </c>
      <c r="Z328" s="507">
        <v>210223.80420818905</v>
      </c>
      <c r="AA328" s="507">
        <v>209732.27129840574</v>
      </c>
      <c r="AB328" s="507">
        <v>209732.27129840574</v>
      </c>
      <c r="AC328" s="507">
        <v>491.53</v>
      </c>
      <c r="AD328" s="507">
        <v>491.53</v>
      </c>
      <c r="AE328" s="507">
        <v>0</v>
      </c>
      <c r="AF328" s="507">
        <v>491.53</v>
      </c>
      <c r="AG328" s="507"/>
      <c r="AH328" s="507">
        <v>0</v>
      </c>
      <c r="AI328" s="507">
        <v>0</v>
      </c>
      <c r="AJ328" s="507">
        <v>0</v>
      </c>
      <c r="AK328" s="507">
        <v>0</v>
      </c>
      <c r="AL328" s="507">
        <v>0</v>
      </c>
      <c r="AM328" s="507">
        <v>0</v>
      </c>
      <c r="AN328" s="507"/>
      <c r="AO328" s="507"/>
    </row>
    <row r="329" spans="1:41">
      <c r="A329" s="2" t="s">
        <v>305</v>
      </c>
      <c r="B329" s="2" t="s">
        <v>288</v>
      </c>
      <c r="C329" s="2" t="s">
        <v>278</v>
      </c>
      <c r="D329" s="2" t="s">
        <v>25</v>
      </c>
      <c r="E329" s="2" t="s">
        <v>280</v>
      </c>
      <c r="F329" s="2" t="s">
        <v>281</v>
      </c>
      <c r="G329" s="2" t="s">
        <v>21</v>
      </c>
      <c r="H329">
        <v>1</v>
      </c>
      <c r="I329" s="2" t="s">
        <v>526</v>
      </c>
      <c r="J329" s="3">
        <v>1</v>
      </c>
      <c r="K329" s="3">
        <v>5.2488000000000001</v>
      </c>
      <c r="L329" s="507">
        <v>39485.523673795389</v>
      </c>
      <c r="M329" s="507">
        <v>0</v>
      </c>
      <c r="N329" s="507">
        <v>39485.523673795389</v>
      </c>
      <c r="O329" s="507">
        <v>584.20657712987486</v>
      </c>
      <c r="P329">
        <v>1</v>
      </c>
      <c r="Q329" s="2" t="s">
        <v>526</v>
      </c>
      <c r="R329" s="3">
        <v>1</v>
      </c>
      <c r="S329" s="3">
        <v>5.2488000000000001</v>
      </c>
      <c r="T329" s="507">
        <v>39454.269282656183</v>
      </c>
      <c r="U329" s="507">
        <v>0</v>
      </c>
      <c r="V329" s="507">
        <v>39454.269282656183</v>
      </c>
      <c r="W329" s="507">
        <v>521.7722864442369</v>
      </c>
      <c r="X329" s="507">
        <v>40069.730250925262</v>
      </c>
      <c r="Y329" s="507">
        <v>39976.041569100424</v>
      </c>
      <c r="Z329" s="507">
        <v>210318.00014105652</v>
      </c>
      <c r="AA329" s="507">
        <v>209826.24698789432</v>
      </c>
      <c r="AB329" s="507">
        <v>209826.24698789432</v>
      </c>
      <c r="AC329" s="507">
        <v>491.75</v>
      </c>
      <c r="AD329" s="507">
        <v>491.75</v>
      </c>
      <c r="AE329" s="507">
        <v>0</v>
      </c>
      <c r="AF329" s="507">
        <v>491.75</v>
      </c>
      <c r="AG329" s="507"/>
      <c r="AH329" s="507">
        <v>0</v>
      </c>
      <c r="AI329" s="507">
        <v>0</v>
      </c>
      <c r="AJ329" s="507">
        <v>0</v>
      </c>
      <c r="AK329" s="507">
        <v>0</v>
      </c>
      <c r="AL329" s="507">
        <v>0</v>
      </c>
      <c r="AM329" s="507">
        <v>0</v>
      </c>
      <c r="AN329" s="507"/>
      <c r="AO329" s="507"/>
    </row>
    <row r="330" spans="1:41">
      <c r="A330" s="2" t="s">
        <v>306</v>
      </c>
      <c r="B330" s="2" t="s">
        <v>288</v>
      </c>
      <c r="C330" s="2" t="s">
        <v>278</v>
      </c>
      <c r="D330" s="2" t="s">
        <v>25</v>
      </c>
      <c r="E330" s="2" t="s">
        <v>280</v>
      </c>
      <c r="F330" s="2" t="s">
        <v>281</v>
      </c>
      <c r="G330" s="2" t="s">
        <v>21</v>
      </c>
      <c r="H330">
        <v>1</v>
      </c>
      <c r="I330" s="2" t="s">
        <v>526</v>
      </c>
      <c r="J330" s="3">
        <v>1</v>
      </c>
      <c r="K330" s="3">
        <v>5.2488000000000001</v>
      </c>
      <c r="L330" s="507">
        <v>39479.010488931584</v>
      </c>
      <c r="M330" s="507">
        <v>0</v>
      </c>
      <c r="N330" s="507">
        <v>39479.010488931584</v>
      </c>
      <c r="O330" s="507">
        <v>584.11021154873356</v>
      </c>
      <c r="P330">
        <v>1</v>
      </c>
      <c r="Q330" s="2" t="s">
        <v>526</v>
      </c>
      <c r="R330" s="3">
        <v>1</v>
      </c>
      <c r="S330" s="3">
        <v>5.2488000000000001</v>
      </c>
      <c r="T330" s="507">
        <v>39447.761253241973</v>
      </c>
      <c r="U330" s="507">
        <v>0</v>
      </c>
      <c r="V330" s="507">
        <v>39447.761253241973</v>
      </c>
      <c r="W330" s="507">
        <v>521.68621947482052</v>
      </c>
      <c r="X330" s="507">
        <v>40063.120700480315</v>
      </c>
      <c r="Y330" s="507">
        <v>39969.447472716791</v>
      </c>
      <c r="Z330" s="507">
        <v>210283.30793268108</v>
      </c>
      <c r="AA330" s="507">
        <v>209791.63589479591</v>
      </c>
      <c r="AB330" s="507">
        <v>209791.63589479591</v>
      </c>
      <c r="AC330" s="507">
        <v>491.67</v>
      </c>
      <c r="AD330" s="507">
        <v>491.67</v>
      </c>
      <c r="AE330" s="507">
        <v>0</v>
      </c>
      <c r="AF330" s="507">
        <v>491.67</v>
      </c>
      <c r="AG330" s="507"/>
      <c r="AH330" s="507">
        <v>0</v>
      </c>
      <c r="AI330" s="507">
        <v>0</v>
      </c>
      <c r="AJ330" s="507">
        <v>0</v>
      </c>
      <c r="AK330" s="507">
        <v>0</v>
      </c>
      <c r="AL330" s="507">
        <v>0</v>
      </c>
      <c r="AM330" s="507">
        <v>0</v>
      </c>
      <c r="AN330" s="507"/>
      <c r="AO330" s="507"/>
    </row>
    <row r="331" spans="1:41">
      <c r="A331" s="2" t="s">
        <v>307</v>
      </c>
      <c r="B331" s="2" t="s">
        <v>288</v>
      </c>
      <c r="C331" s="2" t="s">
        <v>278</v>
      </c>
      <c r="D331" s="2" t="s">
        <v>25</v>
      </c>
      <c r="E331" s="2" t="s">
        <v>280</v>
      </c>
      <c r="F331" s="2" t="s">
        <v>281</v>
      </c>
      <c r="G331" s="2" t="s">
        <v>21</v>
      </c>
      <c r="H331">
        <v>1</v>
      </c>
      <c r="I331" s="2" t="s">
        <v>526</v>
      </c>
      <c r="J331" s="3">
        <v>1</v>
      </c>
      <c r="K331" s="3">
        <v>5.2488000000000001</v>
      </c>
      <c r="L331" s="507">
        <v>39478.557039352454</v>
      </c>
      <c r="M331" s="507">
        <v>0</v>
      </c>
      <c r="N331" s="507">
        <v>39478.557039352454</v>
      </c>
      <c r="O331" s="507">
        <v>584.10350255257822</v>
      </c>
      <c r="P331">
        <v>1</v>
      </c>
      <c r="Q331" s="2" t="s">
        <v>526</v>
      </c>
      <c r="R331" s="3">
        <v>1</v>
      </c>
      <c r="S331" s="3">
        <v>5.2488000000000001</v>
      </c>
      <c r="T331" s="507">
        <v>39447.308162586545</v>
      </c>
      <c r="U331" s="507">
        <v>0</v>
      </c>
      <c r="V331" s="507">
        <v>39447.308162586545</v>
      </c>
      <c r="W331" s="507">
        <v>521.68022747062059</v>
      </c>
      <c r="X331" s="507">
        <v>40062.660541905032</v>
      </c>
      <c r="Y331" s="507">
        <v>39968.988390057166</v>
      </c>
      <c r="Z331" s="507">
        <v>210280.89265235115</v>
      </c>
      <c r="AA331" s="507">
        <v>209789.22626173205</v>
      </c>
      <c r="AB331" s="507">
        <v>209789.22626173205</v>
      </c>
      <c r="AC331" s="507">
        <v>491.67</v>
      </c>
      <c r="AD331" s="507">
        <v>491.67</v>
      </c>
      <c r="AE331" s="507">
        <v>0</v>
      </c>
      <c r="AF331" s="507">
        <v>491.67</v>
      </c>
      <c r="AG331" s="507"/>
      <c r="AH331" s="507">
        <v>0</v>
      </c>
      <c r="AI331" s="507">
        <v>0</v>
      </c>
      <c r="AJ331" s="507">
        <v>0</v>
      </c>
      <c r="AK331" s="507">
        <v>0</v>
      </c>
      <c r="AL331" s="507">
        <v>0</v>
      </c>
      <c r="AM331" s="507">
        <v>0</v>
      </c>
      <c r="AN331" s="507"/>
      <c r="AO331" s="507"/>
    </row>
    <row r="332" spans="1:41">
      <c r="A332" s="2" t="s">
        <v>308</v>
      </c>
      <c r="B332" s="2" t="s">
        <v>288</v>
      </c>
      <c r="C332" s="2" t="s">
        <v>278</v>
      </c>
      <c r="D332" s="2" t="s">
        <v>25</v>
      </c>
      <c r="E332" s="2" t="s">
        <v>280</v>
      </c>
      <c r="F332" s="2" t="s">
        <v>281</v>
      </c>
      <c r="G332" s="2" t="s">
        <v>21</v>
      </c>
      <c r="H332">
        <v>1</v>
      </c>
      <c r="I332" s="2" t="s">
        <v>526</v>
      </c>
      <c r="J332" s="3">
        <v>1</v>
      </c>
      <c r="K332" s="3">
        <v>5.2488000000000001</v>
      </c>
      <c r="L332" s="507">
        <v>40820.871213652332</v>
      </c>
      <c r="M332" s="507">
        <v>0</v>
      </c>
      <c r="N332" s="507">
        <v>40820.871213652332</v>
      </c>
      <c r="O332" s="507">
        <v>402.06973554608589</v>
      </c>
      <c r="P332">
        <v>1</v>
      </c>
      <c r="Q332" s="2" t="s">
        <v>526</v>
      </c>
      <c r="R332" s="3">
        <v>1</v>
      </c>
      <c r="S332" s="3">
        <v>5.2488000000000001</v>
      </c>
      <c r="T332" s="507">
        <v>40814.391387207055</v>
      </c>
      <c r="U332" s="507">
        <v>0</v>
      </c>
      <c r="V332" s="507">
        <v>40814.391387207055</v>
      </c>
      <c r="W332" s="507">
        <v>319.29067234541719</v>
      </c>
      <c r="X332" s="507">
        <v>41222.940949198419</v>
      </c>
      <c r="Y332" s="507">
        <v>41133.68205955247</v>
      </c>
      <c r="Z332" s="507">
        <v>216370.97245415265</v>
      </c>
      <c r="AA332" s="507">
        <v>215902.47039417902</v>
      </c>
      <c r="AB332" s="507">
        <v>215902.47039417902</v>
      </c>
      <c r="AC332" s="507">
        <v>468.5</v>
      </c>
      <c r="AD332" s="507">
        <v>468.5</v>
      </c>
      <c r="AE332" s="507">
        <v>0</v>
      </c>
      <c r="AF332" s="507">
        <v>468.5</v>
      </c>
      <c r="AG332" s="507"/>
      <c r="AH332" s="507">
        <v>0</v>
      </c>
      <c r="AI332" s="507">
        <v>0</v>
      </c>
      <c r="AJ332" s="507">
        <v>0</v>
      </c>
      <c r="AK332" s="507">
        <v>0</v>
      </c>
      <c r="AL332" s="507">
        <v>0</v>
      </c>
      <c r="AM332" s="507">
        <v>0</v>
      </c>
      <c r="AN332" s="507"/>
      <c r="AO332" s="507"/>
    </row>
    <row r="333" spans="1:41">
      <c r="A333" s="2" t="s">
        <v>309</v>
      </c>
      <c r="B333" s="2" t="s">
        <v>288</v>
      </c>
      <c r="C333" s="2" t="s">
        <v>278</v>
      </c>
      <c r="D333" s="2" t="s">
        <v>25</v>
      </c>
      <c r="E333" s="2" t="s">
        <v>280</v>
      </c>
      <c r="F333" s="2" t="s">
        <v>281</v>
      </c>
      <c r="G333" s="2" t="s">
        <v>21</v>
      </c>
      <c r="H333">
        <v>1</v>
      </c>
      <c r="I333" s="2" t="s">
        <v>526</v>
      </c>
      <c r="J333" s="3">
        <v>1</v>
      </c>
      <c r="K333" s="3">
        <v>5.2488000000000001</v>
      </c>
      <c r="L333" s="507">
        <v>4667.3795608453975</v>
      </c>
      <c r="M333" s="507">
        <v>0</v>
      </c>
      <c r="N333" s="507">
        <v>4667.3795608453975</v>
      </c>
      <c r="O333" s="507">
        <v>25.557515138586869</v>
      </c>
      <c r="P333">
        <v>1</v>
      </c>
      <c r="Q333" s="2" t="s">
        <v>526</v>
      </c>
      <c r="R333" s="3">
        <v>1</v>
      </c>
      <c r="S333" s="3">
        <v>5.2488000000000001</v>
      </c>
      <c r="T333" s="507">
        <v>16333.67814818122</v>
      </c>
      <c r="U333" s="507">
        <v>0</v>
      </c>
      <c r="V333" s="507">
        <v>16333.67814818122</v>
      </c>
      <c r="W333" s="507">
        <v>51.498064504844606</v>
      </c>
      <c r="X333" s="507">
        <v>4692.937075983984</v>
      </c>
      <c r="Y333" s="507">
        <v>16385.176212686063</v>
      </c>
      <c r="Z333" s="507">
        <v>24632.288124424736</v>
      </c>
      <c r="AA333" s="507">
        <v>86002.512905146606</v>
      </c>
      <c r="AB333" s="507">
        <v>86002.512905146606</v>
      </c>
      <c r="AC333" s="507">
        <v>-61370.22</v>
      </c>
      <c r="AD333" s="507">
        <v>-61370.22</v>
      </c>
      <c r="AE333" s="507">
        <v>0</v>
      </c>
      <c r="AF333" s="507"/>
      <c r="AG333" s="507">
        <v>-61370.22</v>
      </c>
      <c r="AH333" s="507">
        <v>0</v>
      </c>
      <c r="AI333" s="507">
        <v>0</v>
      </c>
      <c r="AJ333" s="507">
        <v>0</v>
      </c>
      <c r="AK333" s="507">
        <v>0</v>
      </c>
      <c r="AL333" s="507">
        <v>0</v>
      </c>
      <c r="AM333" s="507">
        <v>0</v>
      </c>
      <c r="AN333" s="507"/>
      <c r="AO333" s="507"/>
    </row>
    <row r="334" spans="1:41">
      <c r="A334" s="2" t="s">
        <v>310</v>
      </c>
      <c r="B334" s="2" t="s">
        <v>288</v>
      </c>
      <c r="C334" s="2" t="s">
        <v>278</v>
      </c>
      <c r="D334" s="2" t="s">
        <v>25</v>
      </c>
      <c r="E334" s="2" t="s">
        <v>280</v>
      </c>
      <c r="F334" s="2" t="s">
        <v>281</v>
      </c>
      <c r="G334" s="2" t="s">
        <v>21</v>
      </c>
      <c r="H334">
        <v>1</v>
      </c>
      <c r="I334" s="2" t="s">
        <v>526</v>
      </c>
      <c r="J334" s="3">
        <v>1</v>
      </c>
      <c r="K334" s="3">
        <v>5.2488000000000001</v>
      </c>
      <c r="L334" s="507">
        <v>4667.9030900323469</v>
      </c>
      <c r="M334" s="507">
        <v>0</v>
      </c>
      <c r="N334" s="507">
        <v>4667.9030900323469</v>
      </c>
      <c r="O334" s="507">
        <v>25.560381866039933</v>
      </c>
      <c r="P334">
        <v>1</v>
      </c>
      <c r="Q334" s="2" t="s">
        <v>526</v>
      </c>
      <c r="R334" s="3">
        <v>1</v>
      </c>
      <c r="S334" s="3">
        <v>5.2488000000000001</v>
      </c>
      <c r="T334" s="507">
        <v>16335.510259139699</v>
      </c>
      <c r="U334" s="507">
        <v>0</v>
      </c>
      <c r="V334" s="507">
        <v>16335.510259139699</v>
      </c>
      <c r="W334" s="507">
        <v>51.503840923815517</v>
      </c>
      <c r="X334" s="507">
        <v>4693.4634718983871</v>
      </c>
      <c r="Y334" s="507">
        <v>16387.014100063516</v>
      </c>
      <c r="Z334" s="507">
        <v>24635.051071300255</v>
      </c>
      <c r="AA334" s="507">
        <v>86012.159608413378</v>
      </c>
      <c r="AB334" s="507">
        <v>86012.159608413378</v>
      </c>
      <c r="AC334" s="507">
        <v>-61377.11</v>
      </c>
      <c r="AD334" s="507">
        <v>-61377.11</v>
      </c>
      <c r="AE334" s="507">
        <v>0</v>
      </c>
      <c r="AF334" s="507"/>
      <c r="AG334" s="507">
        <v>-61377.11</v>
      </c>
      <c r="AH334" s="507">
        <v>0</v>
      </c>
      <c r="AI334" s="507">
        <v>0</v>
      </c>
      <c r="AJ334" s="507">
        <v>0</v>
      </c>
      <c r="AK334" s="507">
        <v>0</v>
      </c>
      <c r="AL334" s="507">
        <v>0</v>
      </c>
      <c r="AM334" s="507">
        <v>0</v>
      </c>
      <c r="AN334" s="507"/>
      <c r="AO334" s="507"/>
    </row>
    <row r="335" spans="1:41">
      <c r="A335" s="2" t="s">
        <v>311</v>
      </c>
      <c r="B335" s="2" t="s">
        <v>288</v>
      </c>
      <c r="C335" s="2" t="s">
        <v>278</v>
      </c>
      <c r="D335" s="2" t="s">
        <v>25</v>
      </c>
      <c r="E335" s="2" t="s">
        <v>280</v>
      </c>
      <c r="F335" s="2" t="s">
        <v>281</v>
      </c>
      <c r="G335" s="2" t="s">
        <v>21</v>
      </c>
      <c r="H335">
        <v>1</v>
      </c>
      <c r="I335" s="2" t="s">
        <v>526</v>
      </c>
      <c r="J335" s="3">
        <v>1</v>
      </c>
      <c r="K335" s="3">
        <v>5.2488000000000001</v>
      </c>
      <c r="L335" s="507">
        <v>4666.8466829229674</v>
      </c>
      <c r="M335" s="507">
        <v>0</v>
      </c>
      <c r="N335" s="507">
        <v>4666.8466829229674</v>
      </c>
      <c r="O335" s="507">
        <v>25.554597219572145</v>
      </c>
      <c r="P335">
        <v>1</v>
      </c>
      <c r="Q335" s="2" t="s">
        <v>526</v>
      </c>
      <c r="R335" s="3">
        <v>1</v>
      </c>
      <c r="S335" s="3">
        <v>5.2488000000000001</v>
      </c>
      <c r="T335" s="507">
        <v>16331.813320955625</v>
      </c>
      <c r="U335" s="507">
        <v>0</v>
      </c>
      <c r="V335" s="507">
        <v>16331.813320955625</v>
      </c>
      <c r="W335" s="507">
        <v>51.492184935534944</v>
      </c>
      <c r="X335" s="507">
        <v>4692.4012801425397</v>
      </c>
      <c r="Y335" s="507">
        <v>16383.30550589116</v>
      </c>
      <c r="Z335" s="507">
        <v>24629.475839212162</v>
      </c>
      <c r="AA335" s="507">
        <v>85992.693939321514</v>
      </c>
      <c r="AB335" s="507">
        <v>85992.693939321514</v>
      </c>
      <c r="AC335" s="507">
        <v>-61363.22</v>
      </c>
      <c r="AD335" s="507">
        <v>-61363.22</v>
      </c>
      <c r="AE335" s="507">
        <v>0</v>
      </c>
      <c r="AF335" s="507"/>
      <c r="AG335" s="507">
        <v>-61363.22</v>
      </c>
      <c r="AH335" s="507">
        <v>0</v>
      </c>
      <c r="AI335" s="507">
        <v>0</v>
      </c>
      <c r="AJ335" s="507">
        <v>0</v>
      </c>
      <c r="AK335" s="507">
        <v>0</v>
      </c>
      <c r="AL335" s="507">
        <v>0</v>
      </c>
      <c r="AM335" s="507">
        <v>0</v>
      </c>
      <c r="AN335" s="507"/>
      <c r="AO335" s="507"/>
    </row>
    <row r="336" spans="1:41">
      <c r="A336" s="2" t="s">
        <v>312</v>
      </c>
      <c r="B336" s="2" t="s">
        <v>288</v>
      </c>
      <c r="C336" s="2" t="s">
        <v>278</v>
      </c>
      <c r="D336" s="2" t="s">
        <v>25</v>
      </c>
      <c r="E336" s="2" t="s">
        <v>280</v>
      </c>
      <c r="F336" s="2" t="s">
        <v>281</v>
      </c>
      <c r="G336" s="2" t="s">
        <v>21</v>
      </c>
      <c r="H336">
        <v>1</v>
      </c>
      <c r="I336" s="2" t="s">
        <v>526</v>
      </c>
      <c r="J336" s="3">
        <v>1</v>
      </c>
      <c r="K336" s="3">
        <v>5.2488000000000001</v>
      </c>
      <c r="L336" s="507">
        <v>11640.811702847092</v>
      </c>
      <c r="M336" s="507">
        <v>0</v>
      </c>
      <c r="N336" s="507">
        <v>11640.811702847092</v>
      </c>
      <c r="O336" s="507">
        <v>63.742452792304306</v>
      </c>
      <c r="P336">
        <v>1</v>
      </c>
      <c r="Q336" s="2" t="s">
        <v>526</v>
      </c>
      <c r="R336" s="3">
        <v>1</v>
      </c>
      <c r="S336" s="3">
        <v>5.2488000000000001</v>
      </c>
      <c r="T336" s="507">
        <v>16294.991162316906</v>
      </c>
      <c r="U336" s="507">
        <v>0</v>
      </c>
      <c r="V336" s="507">
        <v>16294.991162316906</v>
      </c>
      <c r="W336" s="507">
        <v>51.376089229253651</v>
      </c>
      <c r="X336" s="507">
        <v>11704.554155639396</v>
      </c>
      <c r="Y336" s="507">
        <v>16346.36725154616</v>
      </c>
      <c r="Z336" s="507">
        <v>61434.863852120063</v>
      </c>
      <c r="AA336" s="507">
        <v>85798.812429915488</v>
      </c>
      <c r="AB336" s="507">
        <v>85798.812429915488</v>
      </c>
      <c r="AC336" s="507">
        <v>-24363.95</v>
      </c>
      <c r="AD336" s="507">
        <v>-24363.95</v>
      </c>
      <c r="AE336" s="507">
        <v>0</v>
      </c>
      <c r="AF336" s="507"/>
      <c r="AG336" s="507">
        <v>-24363.95</v>
      </c>
      <c r="AH336" s="507">
        <v>0</v>
      </c>
      <c r="AI336" s="507">
        <v>0</v>
      </c>
      <c r="AJ336" s="507">
        <v>0</v>
      </c>
      <c r="AK336" s="507">
        <v>0</v>
      </c>
      <c r="AL336" s="507">
        <v>0</v>
      </c>
      <c r="AM336" s="507">
        <v>0</v>
      </c>
      <c r="AN336" s="507"/>
      <c r="AO336" s="507"/>
    </row>
    <row r="337" spans="1:41">
      <c r="A337" s="2" t="s">
        <v>313</v>
      </c>
      <c r="B337" s="2" t="s">
        <v>288</v>
      </c>
      <c r="C337" s="2" t="s">
        <v>278</v>
      </c>
      <c r="D337" s="2" t="s">
        <v>25</v>
      </c>
      <c r="E337" s="2" t="s">
        <v>280</v>
      </c>
      <c r="F337" s="2" t="s">
        <v>281</v>
      </c>
      <c r="G337" s="2" t="s">
        <v>21</v>
      </c>
      <c r="H337">
        <v>1</v>
      </c>
      <c r="I337" s="2" t="s">
        <v>526</v>
      </c>
      <c r="J337" s="3">
        <v>1</v>
      </c>
      <c r="K337" s="3">
        <v>5.2488000000000001</v>
      </c>
      <c r="L337" s="507">
        <v>23272.409138326093</v>
      </c>
      <c r="M337" s="507">
        <v>0</v>
      </c>
      <c r="N337" s="507">
        <v>23272.409138326093</v>
      </c>
      <c r="O337" s="507">
        <v>127.43445033992988</v>
      </c>
      <c r="P337">
        <v>1</v>
      </c>
      <c r="Q337" s="2" t="s">
        <v>526</v>
      </c>
      <c r="R337" s="3">
        <v>1</v>
      </c>
      <c r="S337" s="3">
        <v>5.2488000000000001</v>
      </c>
      <c r="T337" s="507">
        <v>81442.710120913835</v>
      </c>
      <c r="U337" s="507">
        <v>0</v>
      </c>
      <c r="V337" s="507">
        <v>81442.710120913835</v>
      </c>
      <c r="W337" s="507">
        <v>256.77877947675898</v>
      </c>
      <c r="X337" s="507">
        <v>23399.843588666023</v>
      </c>
      <c r="Y337" s="507">
        <v>81699.488900390599</v>
      </c>
      <c r="Z337" s="507">
        <v>122821.09902819022</v>
      </c>
      <c r="AA337" s="507">
        <v>428824.27734037017</v>
      </c>
      <c r="AB337" s="507">
        <v>428824.27734037017</v>
      </c>
      <c r="AC337" s="507">
        <v>-306003.18</v>
      </c>
      <c r="AD337" s="507">
        <v>-306003.18</v>
      </c>
      <c r="AE337" s="507">
        <v>0</v>
      </c>
      <c r="AF337" s="507"/>
      <c r="AG337" s="507">
        <v>-306003.18</v>
      </c>
      <c r="AH337" s="507">
        <v>0</v>
      </c>
      <c r="AI337" s="507">
        <v>0</v>
      </c>
      <c r="AJ337" s="507">
        <v>0</v>
      </c>
      <c r="AK337" s="507">
        <v>0</v>
      </c>
      <c r="AL337" s="507">
        <v>0</v>
      </c>
      <c r="AM337" s="507">
        <v>0</v>
      </c>
      <c r="AN337" s="507"/>
      <c r="AO337" s="507"/>
    </row>
    <row r="338" spans="1:41">
      <c r="A338" s="2" t="s">
        <v>314</v>
      </c>
      <c r="B338" s="2" t="s">
        <v>288</v>
      </c>
      <c r="C338" s="2" t="s">
        <v>278</v>
      </c>
      <c r="D338" s="2" t="s">
        <v>25</v>
      </c>
      <c r="E338" s="2" t="s">
        <v>280</v>
      </c>
      <c r="F338" s="2" t="s">
        <v>281</v>
      </c>
      <c r="G338" s="2" t="s">
        <v>21</v>
      </c>
      <c r="H338">
        <v>1</v>
      </c>
      <c r="I338" s="2" t="s">
        <v>526</v>
      </c>
      <c r="J338" s="3">
        <v>1</v>
      </c>
      <c r="K338" s="3">
        <v>5.2488000000000001</v>
      </c>
      <c r="L338" s="507">
        <v>24461.000151394172</v>
      </c>
      <c r="M338" s="507">
        <v>0</v>
      </c>
      <c r="N338" s="507">
        <v>24461.000151394172</v>
      </c>
      <c r="O338" s="507">
        <v>586.23076387251558</v>
      </c>
      <c r="P338">
        <v>1</v>
      </c>
      <c r="Q338" s="2" t="s">
        <v>526</v>
      </c>
      <c r="R338" s="3">
        <v>1</v>
      </c>
      <c r="S338" s="3">
        <v>5.2488000000000001</v>
      </c>
      <c r="T338" s="507">
        <v>24464.356865327114</v>
      </c>
      <c r="U338" s="507">
        <v>0</v>
      </c>
      <c r="V338" s="507">
        <v>24464.356865327114</v>
      </c>
      <c r="W338" s="507">
        <v>529.82368006347815</v>
      </c>
      <c r="X338" s="507">
        <v>25047.230915266686</v>
      </c>
      <c r="Y338" s="507">
        <v>24994.180545390591</v>
      </c>
      <c r="Z338" s="507">
        <v>131467.90562805178</v>
      </c>
      <c r="AA338" s="507">
        <v>131189.45484664614</v>
      </c>
      <c r="AB338" s="507">
        <v>131189.45484664614</v>
      </c>
      <c r="AC338" s="507">
        <v>278.45</v>
      </c>
      <c r="AD338" s="507">
        <v>278.45</v>
      </c>
      <c r="AE338" s="507">
        <v>0</v>
      </c>
      <c r="AF338" s="507">
        <v>278.45</v>
      </c>
      <c r="AG338" s="507"/>
      <c r="AH338" s="507">
        <v>0</v>
      </c>
      <c r="AI338" s="507">
        <v>0</v>
      </c>
      <c r="AJ338" s="507">
        <v>0</v>
      </c>
      <c r="AK338" s="507">
        <v>0</v>
      </c>
      <c r="AL338" s="507">
        <v>0</v>
      </c>
      <c r="AM338" s="507">
        <v>0</v>
      </c>
      <c r="AN338" s="507"/>
      <c r="AO338" s="507"/>
    </row>
    <row r="339" spans="1:41">
      <c r="A339" s="2" t="s">
        <v>315</v>
      </c>
      <c r="B339" s="2" t="s">
        <v>288</v>
      </c>
      <c r="C339" s="2" t="s">
        <v>278</v>
      </c>
      <c r="D339" s="2" t="s">
        <v>25</v>
      </c>
      <c r="E339" s="2" t="s">
        <v>280</v>
      </c>
      <c r="F339" s="2" t="s">
        <v>281</v>
      </c>
      <c r="G339" s="2" t="s">
        <v>21</v>
      </c>
      <c r="H339">
        <v>1</v>
      </c>
      <c r="I339" s="2" t="s">
        <v>526</v>
      </c>
      <c r="J339" s="3">
        <v>1</v>
      </c>
      <c r="K339" s="3">
        <v>5.2488000000000001</v>
      </c>
      <c r="L339" s="507">
        <v>32614.666868525564</v>
      </c>
      <c r="M339" s="507">
        <v>0</v>
      </c>
      <c r="N339" s="507">
        <v>32614.666868525564</v>
      </c>
      <c r="O339" s="507">
        <v>781.64101849668737</v>
      </c>
      <c r="P339">
        <v>1</v>
      </c>
      <c r="Q339" s="2" t="s">
        <v>526</v>
      </c>
      <c r="R339" s="3">
        <v>1</v>
      </c>
      <c r="S339" s="3">
        <v>5.2488000000000001</v>
      </c>
      <c r="T339" s="507">
        <v>32619.142487102821</v>
      </c>
      <c r="U339" s="507">
        <v>0</v>
      </c>
      <c r="V339" s="507">
        <v>32619.142487102821</v>
      </c>
      <c r="W339" s="507">
        <v>706.43157341797087</v>
      </c>
      <c r="X339" s="507">
        <v>33396.307887022253</v>
      </c>
      <c r="Y339" s="507">
        <v>33325.57406052079</v>
      </c>
      <c r="Z339" s="507">
        <v>175290.5408374024</v>
      </c>
      <c r="AA339" s="507">
        <v>174919.27312886153</v>
      </c>
      <c r="AB339" s="507">
        <v>174919.27312886153</v>
      </c>
      <c r="AC339" s="507">
        <v>371.27</v>
      </c>
      <c r="AD339" s="507">
        <v>371.27</v>
      </c>
      <c r="AE339" s="507">
        <v>0</v>
      </c>
      <c r="AF339" s="507">
        <v>371.27</v>
      </c>
      <c r="AG339" s="507"/>
      <c r="AH339" s="507">
        <v>0</v>
      </c>
      <c r="AI339" s="507">
        <v>0</v>
      </c>
      <c r="AJ339" s="507">
        <v>0</v>
      </c>
      <c r="AK339" s="507">
        <v>0</v>
      </c>
      <c r="AL339" s="507">
        <v>0</v>
      </c>
      <c r="AM339" s="507">
        <v>0</v>
      </c>
      <c r="AN339" s="507"/>
      <c r="AO339" s="507"/>
    </row>
    <row r="340" spans="1:41">
      <c r="A340" s="2" t="s">
        <v>316</v>
      </c>
      <c r="B340" s="2" t="s">
        <v>288</v>
      </c>
      <c r="C340" s="2" t="s">
        <v>278</v>
      </c>
      <c r="D340" s="2" t="s">
        <v>25</v>
      </c>
      <c r="E340" s="2" t="s">
        <v>280</v>
      </c>
      <c r="F340" s="2" t="s">
        <v>281</v>
      </c>
      <c r="G340" s="2" t="s">
        <v>21</v>
      </c>
      <c r="H340">
        <v>1</v>
      </c>
      <c r="I340" s="2" t="s">
        <v>526</v>
      </c>
      <c r="J340" s="3">
        <v>1</v>
      </c>
      <c r="K340" s="3">
        <v>5.2488000000000001</v>
      </c>
      <c r="L340" s="507">
        <v>41331.854543827045</v>
      </c>
      <c r="M340" s="507">
        <v>0</v>
      </c>
      <c r="N340" s="507">
        <v>41331.854543827045</v>
      </c>
      <c r="O340" s="507">
        <v>990.55658033322175</v>
      </c>
      <c r="P340">
        <v>1</v>
      </c>
      <c r="Q340" s="2" t="s">
        <v>526</v>
      </c>
      <c r="R340" s="3">
        <v>1</v>
      </c>
      <c r="S340" s="3">
        <v>5.2488000000000001</v>
      </c>
      <c r="T340" s="507">
        <v>41337.52639743741</v>
      </c>
      <c r="U340" s="507">
        <v>0</v>
      </c>
      <c r="V340" s="507">
        <v>41337.52639743741</v>
      </c>
      <c r="W340" s="507">
        <v>895.24529425305241</v>
      </c>
      <c r="X340" s="507">
        <v>42322.411124160266</v>
      </c>
      <c r="Y340" s="507">
        <v>42232.771691690461</v>
      </c>
      <c r="Z340" s="507">
        <v>222141.87150849242</v>
      </c>
      <c r="AA340" s="507">
        <v>221671.37205534489</v>
      </c>
      <c r="AB340" s="507">
        <v>221671.37205534489</v>
      </c>
      <c r="AC340" s="507">
        <v>470.5</v>
      </c>
      <c r="AD340" s="507">
        <v>470.5</v>
      </c>
      <c r="AE340" s="507">
        <v>0</v>
      </c>
      <c r="AF340" s="507">
        <v>470.5</v>
      </c>
      <c r="AG340" s="507"/>
      <c r="AH340" s="507">
        <v>0</v>
      </c>
      <c r="AI340" s="507">
        <v>0</v>
      </c>
      <c r="AJ340" s="507">
        <v>0</v>
      </c>
      <c r="AK340" s="507">
        <v>0</v>
      </c>
      <c r="AL340" s="507">
        <v>0</v>
      </c>
      <c r="AM340" s="507">
        <v>0</v>
      </c>
      <c r="AN340" s="507"/>
      <c r="AO340" s="507"/>
    </row>
    <row r="341" spans="1:41">
      <c r="A341" s="2" t="s">
        <v>317</v>
      </c>
      <c r="B341" s="2" t="s">
        <v>288</v>
      </c>
      <c r="C341" s="2" t="s">
        <v>278</v>
      </c>
      <c r="D341" s="2" t="s">
        <v>25</v>
      </c>
      <c r="E341" s="2" t="s">
        <v>280</v>
      </c>
      <c r="F341" s="2" t="s">
        <v>281</v>
      </c>
      <c r="G341" s="2" t="s">
        <v>21</v>
      </c>
      <c r="H341">
        <v>1</v>
      </c>
      <c r="I341" s="2" t="s">
        <v>526</v>
      </c>
      <c r="J341" s="3">
        <v>1</v>
      </c>
      <c r="K341" s="3">
        <v>5.2488000000000001</v>
      </c>
      <c r="L341" s="507">
        <v>41331.854543827045</v>
      </c>
      <c r="M341" s="507">
        <v>0</v>
      </c>
      <c r="N341" s="507">
        <v>41331.854543827045</v>
      </c>
      <c r="O341" s="507">
        <v>990.55658033322175</v>
      </c>
      <c r="P341">
        <v>1</v>
      </c>
      <c r="Q341" s="2" t="s">
        <v>526</v>
      </c>
      <c r="R341" s="3">
        <v>1</v>
      </c>
      <c r="S341" s="3">
        <v>5.2488000000000001</v>
      </c>
      <c r="T341" s="507">
        <v>41337.52639743741</v>
      </c>
      <c r="U341" s="507">
        <v>0</v>
      </c>
      <c r="V341" s="507">
        <v>41337.52639743741</v>
      </c>
      <c r="W341" s="507">
        <v>895.24529425305241</v>
      </c>
      <c r="X341" s="507">
        <v>42322.411124160266</v>
      </c>
      <c r="Y341" s="507">
        <v>42232.771691690461</v>
      </c>
      <c r="Z341" s="507">
        <v>222141.87150849242</v>
      </c>
      <c r="AA341" s="507">
        <v>221671.37205534489</v>
      </c>
      <c r="AB341" s="507">
        <v>221671.37205534489</v>
      </c>
      <c r="AC341" s="507">
        <v>470.5</v>
      </c>
      <c r="AD341" s="507">
        <v>470.5</v>
      </c>
      <c r="AE341" s="507">
        <v>0</v>
      </c>
      <c r="AF341" s="507">
        <v>470.5</v>
      </c>
      <c r="AG341" s="507"/>
      <c r="AH341" s="507">
        <v>0</v>
      </c>
      <c r="AI341" s="507">
        <v>0</v>
      </c>
      <c r="AJ341" s="507">
        <v>0</v>
      </c>
      <c r="AK341" s="507">
        <v>0</v>
      </c>
      <c r="AL341" s="507">
        <v>0</v>
      </c>
      <c r="AM341" s="507">
        <v>0</v>
      </c>
      <c r="AN341" s="507"/>
      <c r="AO341" s="507"/>
    </row>
    <row r="342" spans="1:41">
      <c r="A342" s="2" t="s">
        <v>318</v>
      </c>
      <c r="B342" s="2" t="s">
        <v>288</v>
      </c>
      <c r="C342" s="2" t="s">
        <v>278</v>
      </c>
      <c r="D342" s="2" t="s">
        <v>25</v>
      </c>
      <c r="E342" s="2" t="s">
        <v>280</v>
      </c>
      <c r="F342" s="2" t="s">
        <v>281</v>
      </c>
      <c r="G342" s="2" t="s">
        <v>21</v>
      </c>
      <c r="H342">
        <v>1</v>
      </c>
      <c r="I342" s="2" t="s">
        <v>526</v>
      </c>
      <c r="J342" s="3">
        <v>1</v>
      </c>
      <c r="K342" s="3">
        <v>5.2488000000000001</v>
      </c>
      <c r="L342" s="507">
        <v>66130.509820334817</v>
      </c>
      <c r="M342" s="507">
        <v>0</v>
      </c>
      <c r="N342" s="507">
        <v>66130.509820334817</v>
      </c>
      <c r="O342" s="507">
        <v>1584.8795653208063</v>
      </c>
      <c r="P342">
        <v>1</v>
      </c>
      <c r="Q342" s="2" t="s">
        <v>526</v>
      </c>
      <c r="R342" s="3">
        <v>1</v>
      </c>
      <c r="S342" s="3">
        <v>5.2488000000000001</v>
      </c>
      <c r="T342" s="507">
        <v>66139.584723336855</v>
      </c>
      <c r="U342" s="507">
        <v>0</v>
      </c>
      <c r="V342" s="507">
        <v>66139.584723336855</v>
      </c>
      <c r="W342" s="507">
        <v>1432.3825624720739</v>
      </c>
      <c r="X342" s="507">
        <v>67715.389385655624</v>
      </c>
      <c r="Y342" s="507">
        <v>67571.967285808933</v>
      </c>
      <c r="Z342" s="507">
        <v>355424.53580742923</v>
      </c>
      <c r="AA342" s="507">
        <v>354671.74188975396</v>
      </c>
      <c r="AB342" s="507">
        <v>354671.74188975396</v>
      </c>
      <c r="AC342" s="507">
        <v>752.79</v>
      </c>
      <c r="AD342" s="507">
        <v>752.79</v>
      </c>
      <c r="AE342" s="507">
        <v>0</v>
      </c>
      <c r="AF342" s="507">
        <v>752.79</v>
      </c>
      <c r="AG342" s="507"/>
      <c r="AH342" s="507">
        <v>0</v>
      </c>
      <c r="AI342" s="507">
        <v>0</v>
      </c>
      <c r="AJ342" s="507">
        <v>0</v>
      </c>
      <c r="AK342" s="507">
        <v>0</v>
      </c>
      <c r="AL342" s="507">
        <v>0</v>
      </c>
      <c r="AM342" s="507">
        <v>0</v>
      </c>
      <c r="AN342" s="507"/>
      <c r="AO342" s="507"/>
    </row>
    <row r="343" spans="1:41">
      <c r="A343" s="2" t="s">
        <v>319</v>
      </c>
      <c r="B343" s="2" t="s">
        <v>288</v>
      </c>
      <c r="C343" s="2" t="s">
        <v>278</v>
      </c>
      <c r="D343" s="2" t="s">
        <v>25</v>
      </c>
      <c r="E343" s="2" t="s">
        <v>280</v>
      </c>
      <c r="F343" s="2" t="s">
        <v>281</v>
      </c>
      <c r="G343" s="2" t="s">
        <v>21</v>
      </c>
      <c r="H343">
        <v>1</v>
      </c>
      <c r="I343" s="2" t="s">
        <v>526</v>
      </c>
      <c r="J343" s="3">
        <v>1</v>
      </c>
      <c r="K343" s="3">
        <v>5.2488000000000001</v>
      </c>
      <c r="L343" s="507">
        <v>8266.3137275418521</v>
      </c>
      <c r="M343" s="507">
        <v>0</v>
      </c>
      <c r="N343" s="507">
        <v>8266.3137275418521</v>
      </c>
      <c r="O343" s="507">
        <v>198.10994566510078</v>
      </c>
      <c r="P343">
        <v>1</v>
      </c>
      <c r="Q343" s="2" t="s">
        <v>526</v>
      </c>
      <c r="R343" s="3">
        <v>1</v>
      </c>
      <c r="S343" s="3">
        <v>5.2488000000000001</v>
      </c>
      <c r="T343" s="507">
        <v>8267.4480904171069</v>
      </c>
      <c r="U343" s="507">
        <v>0</v>
      </c>
      <c r="V343" s="507">
        <v>8267.4480904171069</v>
      </c>
      <c r="W343" s="507">
        <v>179.04782030900924</v>
      </c>
      <c r="X343" s="507">
        <v>8464.423673206953</v>
      </c>
      <c r="Y343" s="507">
        <v>8446.4959107261166</v>
      </c>
      <c r="Z343" s="507">
        <v>44428.066975928654</v>
      </c>
      <c r="AA343" s="507">
        <v>44333.967736219245</v>
      </c>
      <c r="AB343" s="507">
        <v>44333.967736219245</v>
      </c>
      <c r="AC343" s="507">
        <v>94.1</v>
      </c>
      <c r="AD343" s="507">
        <v>94.1</v>
      </c>
      <c r="AE343" s="507">
        <v>0</v>
      </c>
      <c r="AF343" s="507">
        <v>94.1</v>
      </c>
      <c r="AG343" s="507"/>
      <c r="AH343" s="507">
        <v>0</v>
      </c>
      <c r="AI343" s="507">
        <v>0</v>
      </c>
      <c r="AJ343" s="507">
        <v>0</v>
      </c>
      <c r="AK343" s="507">
        <v>0</v>
      </c>
      <c r="AL343" s="507">
        <v>0</v>
      </c>
      <c r="AM343" s="507">
        <v>0</v>
      </c>
      <c r="AN343" s="507"/>
      <c r="AO343" s="507"/>
    </row>
    <row r="344" spans="1:41">
      <c r="A344" s="2" t="s">
        <v>320</v>
      </c>
      <c r="B344" s="2" t="s">
        <v>288</v>
      </c>
      <c r="C344" s="2" t="s">
        <v>278</v>
      </c>
      <c r="D344" s="2" t="s">
        <v>25</v>
      </c>
      <c r="E344" s="2" t="s">
        <v>280</v>
      </c>
      <c r="F344" s="2" t="s">
        <v>281</v>
      </c>
      <c r="G344" s="2" t="s">
        <v>21</v>
      </c>
      <c r="H344">
        <v>1</v>
      </c>
      <c r="I344" s="2" t="s">
        <v>526</v>
      </c>
      <c r="J344" s="3">
        <v>1</v>
      </c>
      <c r="K344" s="3">
        <v>5.2488000000000001</v>
      </c>
      <c r="L344" s="507">
        <v>33065.254910167409</v>
      </c>
      <c r="M344" s="507">
        <v>0</v>
      </c>
      <c r="N344" s="507">
        <v>33065.254910167409</v>
      </c>
      <c r="O344" s="507">
        <v>792.43978266040313</v>
      </c>
      <c r="P344">
        <v>1</v>
      </c>
      <c r="Q344" s="2" t="s">
        <v>526</v>
      </c>
      <c r="R344" s="3">
        <v>1</v>
      </c>
      <c r="S344" s="3">
        <v>5.2488000000000001</v>
      </c>
      <c r="T344" s="507">
        <v>33069.792361668427</v>
      </c>
      <c r="U344" s="507">
        <v>0</v>
      </c>
      <c r="V344" s="507">
        <v>33069.792361668427</v>
      </c>
      <c r="W344" s="507">
        <v>716.19128123603696</v>
      </c>
      <c r="X344" s="507">
        <v>33857.694692827812</v>
      </c>
      <c r="Y344" s="507">
        <v>33785.983642904466</v>
      </c>
      <c r="Z344" s="507">
        <v>177712.26790371462</v>
      </c>
      <c r="AA344" s="507">
        <v>177335.87094487698</v>
      </c>
      <c r="AB344" s="507">
        <v>177335.87094487698</v>
      </c>
      <c r="AC344" s="507">
        <v>376.4</v>
      </c>
      <c r="AD344" s="507">
        <v>376.4</v>
      </c>
      <c r="AE344" s="507">
        <v>0</v>
      </c>
      <c r="AF344" s="507">
        <v>376.4</v>
      </c>
      <c r="AG344" s="507"/>
      <c r="AH344" s="507">
        <v>0</v>
      </c>
      <c r="AI344" s="507">
        <v>0</v>
      </c>
      <c r="AJ344" s="507">
        <v>0</v>
      </c>
      <c r="AK344" s="507">
        <v>0</v>
      </c>
      <c r="AL344" s="507">
        <v>0</v>
      </c>
      <c r="AM344" s="507">
        <v>0</v>
      </c>
      <c r="AN344" s="507"/>
      <c r="AO344" s="507"/>
    </row>
    <row r="345" spans="1:41">
      <c r="A345" s="2" t="s">
        <v>321</v>
      </c>
      <c r="B345" s="2" t="s">
        <v>288</v>
      </c>
      <c r="C345" s="2" t="s">
        <v>278</v>
      </c>
      <c r="D345" s="2" t="s">
        <v>25</v>
      </c>
      <c r="E345" s="2" t="s">
        <v>280</v>
      </c>
      <c r="F345" s="2" t="s">
        <v>281</v>
      </c>
      <c r="G345" s="2" t="s">
        <v>21</v>
      </c>
      <c r="H345">
        <v>1</v>
      </c>
      <c r="I345" s="2" t="s">
        <v>526</v>
      </c>
      <c r="J345" s="3">
        <v>1</v>
      </c>
      <c r="K345" s="3">
        <v>5.2488000000000001</v>
      </c>
      <c r="L345" s="507">
        <v>65343.283541467623</v>
      </c>
      <c r="M345" s="507">
        <v>0</v>
      </c>
      <c r="N345" s="507">
        <v>65343.283541467623</v>
      </c>
      <c r="O345" s="507">
        <v>1338.2973568363611</v>
      </c>
      <c r="P345">
        <v>1</v>
      </c>
      <c r="Q345" s="2" t="s">
        <v>526</v>
      </c>
      <c r="R345" s="3">
        <v>1</v>
      </c>
      <c r="S345" s="3">
        <v>5.2488000000000001</v>
      </c>
      <c r="T345" s="507">
        <v>65341.639788459914</v>
      </c>
      <c r="U345" s="507">
        <v>0</v>
      </c>
      <c r="V345" s="507">
        <v>65341.639788459914</v>
      </c>
      <c r="W345" s="507">
        <v>1195.817029872796</v>
      </c>
      <c r="X345" s="507">
        <v>66681.58089830399</v>
      </c>
      <c r="Y345" s="507">
        <v>66537.456818332706</v>
      </c>
      <c r="Z345" s="507">
        <v>349998.28181901801</v>
      </c>
      <c r="AA345" s="507">
        <v>349241.80334806471</v>
      </c>
      <c r="AB345" s="507">
        <v>349241.80334806471</v>
      </c>
      <c r="AC345" s="507">
        <v>756.48</v>
      </c>
      <c r="AD345" s="507">
        <v>756.48</v>
      </c>
      <c r="AE345" s="507">
        <v>0</v>
      </c>
      <c r="AF345" s="507">
        <v>756.48</v>
      </c>
      <c r="AG345" s="507"/>
      <c r="AH345" s="507">
        <v>0</v>
      </c>
      <c r="AI345" s="507">
        <v>0</v>
      </c>
      <c r="AJ345" s="507">
        <v>0</v>
      </c>
      <c r="AK345" s="507">
        <v>0</v>
      </c>
      <c r="AL345" s="507">
        <v>0</v>
      </c>
      <c r="AM345" s="507">
        <v>0</v>
      </c>
      <c r="AN345" s="507"/>
      <c r="AO345" s="507"/>
    </row>
    <row r="346" spans="1:41">
      <c r="A346" s="2" t="s">
        <v>1029</v>
      </c>
      <c r="B346" s="2" t="s">
        <v>288</v>
      </c>
      <c r="C346" s="2" t="s">
        <v>278</v>
      </c>
      <c r="D346" s="2" t="s">
        <v>25</v>
      </c>
      <c r="E346" s="2" t="s">
        <v>280</v>
      </c>
      <c r="F346" s="2" t="s">
        <v>281</v>
      </c>
      <c r="G346" s="2" t="s">
        <v>21</v>
      </c>
      <c r="H346">
        <v>1</v>
      </c>
      <c r="I346" s="2" t="s">
        <v>526</v>
      </c>
      <c r="J346" s="3">
        <v>1</v>
      </c>
      <c r="K346" s="3">
        <v>5.2488000000000001</v>
      </c>
      <c r="L346" s="507">
        <v>40923.055127861917</v>
      </c>
      <c r="M346" s="507">
        <v>0</v>
      </c>
      <c r="N346" s="507">
        <v>40923.055127861917</v>
      </c>
      <c r="O346" s="507">
        <v>636.03908307451252</v>
      </c>
      <c r="P346">
        <v>1</v>
      </c>
      <c r="Q346" s="2" t="s">
        <v>526</v>
      </c>
      <c r="R346" s="3">
        <v>1</v>
      </c>
      <c r="S346" s="3">
        <v>5.2488000000000001</v>
      </c>
      <c r="T346" s="507">
        <v>40925.683674427768</v>
      </c>
      <c r="U346" s="507">
        <v>0</v>
      </c>
      <c r="V346" s="507">
        <v>40925.683674427768</v>
      </c>
      <c r="W346" s="507">
        <v>555.45494585240658</v>
      </c>
      <c r="X346" s="507">
        <v>41559.094210936426</v>
      </c>
      <c r="Y346" s="507">
        <v>41481.138620280173</v>
      </c>
      <c r="Z346" s="507">
        <v>218135.37369436311</v>
      </c>
      <c r="AA346" s="507">
        <v>217726.20039012659</v>
      </c>
      <c r="AB346" s="507">
        <v>217726.20039012659</v>
      </c>
      <c r="AC346" s="507">
        <v>409.17</v>
      </c>
      <c r="AD346" s="507">
        <v>409.17</v>
      </c>
      <c r="AE346" s="507">
        <v>0</v>
      </c>
      <c r="AF346" s="507">
        <v>409.17</v>
      </c>
      <c r="AG346" s="507"/>
      <c r="AH346" s="507">
        <v>0</v>
      </c>
      <c r="AI346" s="507">
        <v>0</v>
      </c>
      <c r="AJ346" s="507">
        <v>0</v>
      </c>
      <c r="AK346" s="507">
        <v>0</v>
      </c>
      <c r="AL346" s="507">
        <v>0</v>
      </c>
      <c r="AM346" s="507">
        <v>0</v>
      </c>
      <c r="AN346" s="507"/>
      <c r="AO346" s="507"/>
    </row>
    <row r="347" spans="1:41">
      <c r="A347" s="2" t="s">
        <v>1030</v>
      </c>
      <c r="B347" s="2" t="s">
        <v>288</v>
      </c>
      <c r="C347" s="2" t="s">
        <v>278</v>
      </c>
      <c r="D347" s="2" t="s">
        <v>25</v>
      </c>
      <c r="E347" s="2" t="s">
        <v>280</v>
      </c>
      <c r="F347" s="2" t="s">
        <v>281</v>
      </c>
      <c r="G347" s="2" t="s">
        <v>21</v>
      </c>
      <c r="H347">
        <v>1</v>
      </c>
      <c r="I347" s="2" t="s">
        <v>526</v>
      </c>
      <c r="J347" s="3">
        <v>1</v>
      </c>
      <c r="K347" s="3">
        <v>5.2488000000000001</v>
      </c>
      <c r="L347" s="507">
        <v>40924.674629092297</v>
      </c>
      <c r="M347" s="507">
        <v>0</v>
      </c>
      <c r="N347" s="507">
        <v>40924.674629092297</v>
      </c>
      <c r="O347" s="507">
        <v>636.06425387552895</v>
      </c>
      <c r="P347">
        <v>1</v>
      </c>
      <c r="Q347" s="2" t="s">
        <v>526</v>
      </c>
      <c r="R347" s="3">
        <v>1</v>
      </c>
      <c r="S347" s="3">
        <v>5.2488000000000001</v>
      </c>
      <c r="T347" s="507">
        <v>40927.303279681037</v>
      </c>
      <c r="U347" s="507">
        <v>0</v>
      </c>
      <c r="V347" s="507">
        <v>40927.303279681037</v>
      </c>
      <c r="W347" s="507">
        <v>555.47692759266079</v>
      </c>
      <c r="X347" s="507">
        <v>41560.738882967824</v>
      </c>
      <c r="Y347" s="507">
        <v>41482.780207273696</v>
      </c>
      <c r="Z347" s="507">
        <v>218144.00624892151</v>
      </c>
      <c r="AA347" s="507">
        <v>217734.81675193817</v>
      </c>
      <c r="AB347" s="507">
        <v>217734.81675193817</v>
      </c>
      <c r="AC347" s="507">
        <v>409.19</v>
      </c>
      <c r="AD347" s="507">
        <v>409.19</v>
      </c>
      <c r="AE347" s="507">
        <v>0</v>
      </c>
      <c r="AF347" s="507">
        <v>409.19</v>
      </c>
      <c r="AG347" s="507"/>
      <c r="AH347" s="507">
        <v>0</v>
      </c>
      <c r="AI347" s="507">
        <v>0</v>
      </c>
      <c r="AJ347" s="507">
        <v>0</v>
      </c>
      <c r="AK347" s="507">
        <v>0</v>
      </c>
      <c r="AL347" s="507">
        <v>0</v>
      </c>
      <c r="AM347" s="507">
        <v>0</v>
      </c>
      <c r="AN347" s="507"/>
      <c r="AO347" s="507"/>
    </row>
    <row r="348" spans="1:41">
      <c r="A348" s="2" t="s">
        <v>1031</v>
      </c>
      <c r="B348" s="2" t="s">
        <v>288</v>
      </c>
      <c r="C348" s="2" t="s">
        <v>278</v>
      </c>
      <c r="D348" s="2" t="s">
        <v>25</v>
      </c>
      <c r="E348" s="2" t="s">
        <v>280</v>
      </c>
      <c r="F348" s="2" t="s">
        <v>281</v>
      </c>
      <c r="G348" s="2" t="s">
        <v>21</v>
      </c>
      <c r="H348">
        <v>1</v>
      </c>
      <c r="I348" s="2" t="s">
        <v>526</v>
      </c>
      <c r="J348" s="3">
        <v>1</v>
      </c>
      <c r="K348" s="3">
        <v>5.2488000000000001</v>
      </c>
      <c r="L348" s="507">
        <v>40921.47611416228</v>
      </c>
      <c r="M348" s="507">
        <v>0</v>
      </c>
      <c r="N348" s="507">
        <v>40921.47611416228</v>
      </c>
      <c r="O348" s="507">
        <v>636.01454154352132</v>
      </c>
      <c r="P348">
        <v>1</v>
      </c>
      <c r="Q348" s="2" t="s">
        <v>526</v>
      </c>
      <c r="R348" s="3">
        <v>1</v>
      </c>
      <c r="S348" s="3">
        <v>5.2488000000000001</v>
      </c>
      <c r="T348" s="507">
        <v>40924.104559305822</v>
      </c>
      <c r="U348" s="507">
        <v>0</v>
      </c>
      <c r="V348" s="507">
        <v>40924.104559305822</v>
      </c>
      <c r="W348" s="507">
        <v>555.43351365565854</v>
      </c>
      <c r="X348" s="507">
        <v>41557.490655705798</v>
      </c>
      <c r="Y348" s="507">
        <v>41479.538072961484</v>
      </c>
      <c r="Z348" s="507">
        <v>218126.95695366859</v>
      </c>
      <c r="AA348" s="507">
        <v>217717.79943736026</v>
      </c>
      <c r="AB348" s="507">
        <v>217717.79943736026</v>
      </c>
      <c r="AC348" s="507">
        <v>409.16</v>
      </c>
      <c r="AD348" s="507">
        <v>409.16</v>
      </c>
      <c r="AE348" s="507">
        <v>0</v>
      </c>
      <c r="AF348" s="507">
        <v>409.16</v>
      </c>
      <c r="AG348" s="507"/>
      <c r="AH348" s="507">
        <v>0</v>
      </c>
      <c r="AI348" s="507">
        <v>0</v>
      </c>
      <c r="AJ348" s="507">
        <v>0</v>
      </c>
      <c r="AK348" s="507">
        <v>0</v>
      </c>
      <c r="AL348" s="507">
        <v>0</v>
      </c>
      <c r="AM348" s="507">
        <v>0</v>
      </c>
      <c r="AN348" s="507"/>
      <c r="AO348" s="507"/>
    </row>
    <row r="349" spans="1:41">
      <c r="A349" s="2" t="s">
        <v>1032</v>
      </c>
      <c r="B349" s="2" t="s">
        <v>288</v>
      </c>
      <c r="C349" s="2" t="s">
        <v>278</v>
      </c>
      <c r="D349" s="2" t="s">
        <v>25</v>
      </c>
      <c r="E349" s="2" t="s">
        <v>280</v>
      </c>
      <c r="F349" s="2" t="s">
        <v>281</v>
      </c>
      <c r="G349" s="2" t="s">
        <v>21</v>
      </c>
      <c r="H349">
        <v>1</v>
      </c>
      <c r="I349" s="2" t="s">
        <v>526</v>
      </c>
      <c r="J349" s="3">
        <v>1</v>
      </c>
      <c r="K349" s="3">
        <v>5.2488000000000001</v>
      </c>
      <c r="L349" s="507">
        <v>97686.006086763533</v>
      </c>
      <c r="M349" s="507">
        <v>0</v>
      </c>
      <c r="N349" s="507">
        <v>97686.006086763533</v>
      </c>
      <c r="O349" s="507">
        <v>988.73946791282765</v>
      </c>
      <c r="P349">
        <v>1</v>
      </c>
      <c r="Q349" s="2" t="s">
        <v>526</v>
      </c>
      <c r="R349" s="3">
        <v>1</v>
      </c>
      <c r="S349" s="3">
        <v>5.2488000000000001</v>
      </c>
      <c r="T349" s="507">
        <v>97682.385247039361</v>
      </c>
      <c r="U349" s="507">
        <v>0</v>
      </c>
      <c r="V349" s="507">
        <v>97682.385247039361</v>
      </c>
      <c r="W349" s="507">
        <v>786.6613284854003</v>
      </c>
      <c r="X349" s="507">
        <v>98674.745554676367</v>
      </c>
      <c r="Y349" s="507">
        <v>98469.046575524757</v>
      </c>
      <c r="Z349" s="507">
        <v>517924.00446738536</v>
      </c>
      <c r="AA349" s="507">
        <v>516844.33166561433</v>
      </c>
      <c r="AB349" s="507">
        <v>516844.33166561433</v>
      </c>
      <c r="AC349" s="507">
        <v>1079.67</v>
      </c>
      <c r="AD349" s="507">
        <v>1079.67</v>
      </c>
      <c r="AE349" s="507">
        <v>0</v>
      </c>
      <c r="AF349" s="507">
        <v>1079.67</v>
      </c>
      <c r="AG349" s="507"/>
      <c r="AH349" s="507">
        <v>0</v>
      </c>
      <c r="AI349" s="507">
        <v>0</v>
      </c>
      <c r="AJ349" s="507">
        <v>0</v>
      </c>
      <c r="AK349" s="507">
        <v>0</v>
      </c>
      <c r="AL349" s="507">
        <v>0</v>
      </c>
      <c r="AM349" s="507">
        <v>0</v>
      </c>
      <c r="AN349" s="507"/>
      <c r="AO349" s="507"/>
    </row>
    <row r="350" spans="1:41">
      <c r="A350" s="2" t="s">
        <v>1033</v>
      </c>
      <c r="B350" s="2" t="s">
        <v>288</v>
      </c>
      <c r="C350" s="2" t="s">
        <v>278</v>
      </c>
      <c r="D350" s="2" t="s">
        <v>25</v>
      </c>
      <c r="E350" s="2" t="s">
        <v>280</v>
      </c>
      <c r="F350" s="2" t="s">
        <v>281</v>
      </c>
      <c r="G350" s="2" t="s">
        <v>21</v>
      </c>
      <c r="H350">
        <v>1</v>
      </c>
      <c r="I350" s="2" t="s">
        <v>526</v>
      </c>
      <c r="J350" s="3">
        <v>1</v>
      </c>
      <c r="K350" s="3">
        <v>5.2488000000000001</v>
      </c>
      <c r="L350" s="507">
        <v>97686.006086763533</v>
      </c>
      <c r="M350" s="507">
        <v>0</v>
      </c>
      <c r="N350" s="507">
        <v>97686.006086763533</v>
      </c>
      <c r="O350" s="507">
        <v>988.73946791282765</v>
      </c>
      <c r="P350">
        <v>1</v>
      </c>
      <c r="Q350" s="2" t="s">
        <v>526</v>
      </c>
      <c r="R350" s="3">
        <v>1</v>
      </c>
      <c r="S350" s="3">
        <v>5.2488000000000001</v>
      </c>
      <c r="T350" s="507">
        <v>97682.385247039361</v>
      </c>
      <c r="U350" s="507">
        <v>0</v>
      </c>
      <c r="V350" s="507">
        <v>97682.385247039361</v>
      </c>
      <c r="W350" s="507">
        <v>786.6613284854003</v>
      </c>
      <c r="X350" s="507">
        <v>98674.745554676367</v>
      </c>
      <c r="Y350" s="507">
        <v>98469.046575524757</v>
      </c>
      <c r="Z350" s="507">
        <v>517924.00446738536</v>
      </c>
      <c r="AA350" s="507">
        <v>516844.33166561433</v>
      </c>
      <c r="AB350" s="507">
        <v>516844.33166561433</v>
      </c>
      <c r="AC350" s="507">
        <v>1079.67</v>
      </c>
      <c r="AD350" s="507">
        <v>1079.67</v>
      </c>
      <c r="AE350" s="507">
        <v>0</v>
      </c>
      <c r="AF350" s="507">
        <v>1079.67</v>
      </c>
      <c r="AG350" s="507"/>
      <c r="AH350" s="507">
        <v>0</v>
      </c>
      <c r="AI350" s="507">
        <v>0</v>
      </c>
      <c r="AJ350" s="507">
        <v>0</v>
      </c>
      <c r="AK350" s="507">
        <v>0</v>
      </c>
      <c r="AL350" s="507">
        <v>0</v>
      </c>
      <c r="AM350" s="507">
        <v>0</v>
      </c>
      <c r="AN350" s="507"/>
      <c r="AO350" s="507"/>
    </row>
    <row r="351" spans="1:41">
      <c r="A351" s="2" t="s">
        <v>1034</v>
      </c>
      <c r="B351" s="2" t="s">
        <v>288</v>
      </c>
      <c r="C351" s="2" t="s">
        <v>278</v>
      </c>
      <c r="D351" s="2" t="s">
        <v>25</v>
      </c>
      <c r="E351" s="2" t="s">
        <v>280</v>
      </c>
      <c r="F351" s="2" t="s">
        <v>281</v>
      </c>
      <c r="G351" s="2" t="s">
        <v>21</v>
      </c>
      <c r="H351">
        <v>1</v>
      </c>
      <c r="I351" s="2" t="s">
        <v>526</v>
      </c>
      <c r="J351" s="3">
        <v>1</v>
      </c>
      <c r="K351" s="3">
        <v>5.2488000000000001</v>
      </c>
      <c r="L351" s="507">
        <v>49050.764821027289</v>
      </c>
      <c r="M351" s="507">
        <v>0</v>
      </c>
      <c r="N351" s="507">
        <v>49050.764821027289</v>
      </c>
      <c r="O351" s="507">
        <v>496.47261724247414</v>
      </c>
      <c r="P351">
        <v>1</v>
      </c>
      <c r="Q351" s="2" t="s">
        <v>526</v>
      </c>
      <c r="R351" s="3">
        <v>1</v>
      </c>
      <c r="S351" s="3">
        <v>5.2488000000000001</v>
      </c>
      <c r="T351" s="507">
        <v>49048.946700245404</v>
      </c>
      <c r="U351" s="507">
        <v>0</v>
      </c>
      <c r="V351" s="507">
        <v>49048.946700245404</v>
      </c>
      <c r="W351" s="507">
        <v>395.00376116372627</v>
      </c>
      <c r="X351" s="507">
        <v>49547.23743826976</v>
      </c>
      <c r="Y351" s="507">
        <v>49443.950461409127</v>
      </c>
      <c r="Z351" s="507">
        <v>260063.53986599031</v>
      </c>
      <c r="AA351" s="507">
        <v>259521.40718184423</v>
      </c>
      <c r="AB351" s="507">
        <v>259521.40718184423</v>
      </c>
      <c r="AC351" s="507">
        <v>542.13</v>
      </c>
      <c r="AD351" s="507">
        <v>542.13</v>
      </c>
      <c r="AE351" s="507">
        <v>0</v>
      </c>
      <c r="AF351" s="507">
        <v>542.13</v>
      </c>
      <c r="AG351" s="507"/>
      <c r="AH351" s="507">
        <v>0</v>
      </c>
      <c r="AI351" s="507">
        <v>0</v>
      </c>
      <c r="AJ351" s="507">
        <v>0</v>
      </c>
      <c r="AK351" s="507">
        <v>0</v>
      </c>
      <c r="AL351" s="507">
        <v>0</v>
      </c>
      <c r="AM351" s="507">
        <v>0</v>
      </c>
      <c r="AN351" s="507"/>
      <c r="AO351" s="507"/>
    </row>
    <row r="352" spans="1:41">
      <c r="A352" s="2" t="s">
        <v>1035</v>
      </c>
      <c r="B352" s="2" t="s">
        <v>288</v>
      </c>
      <c r="C352" s="2" t="s">
        <v>278</v>
      </c>
      <c r="D352" s="2" t="s">
        <v>25</v>
      </c>
      <c r="E352" s="2" t="s">
        <v>280</v>
      </c>
      <c r="F352" s="2" t="s">
        <v>281</v>
      </c>
      <c r="G352" s="2" t="s">
        <v>21</v>
      </c>
      <c r="H352">
        <v>1</v>
      </c>
      <c r="I352" s="2" t="s">
        <v>526</v>
      </c>
      <c r="J352" s="3">
        <v>1</v>
      </c>
      <c r="K352" s="3">
        <v>5.2488000000000001</v>
      </c>
      <c r="L352" s="507">
        <v>98101.529642054578</v>
      </c>
      <c r="M352" s="507">
        <v>0</v>
      </c>
      <c r="N352" s="507">
        <v>98101.529642054578</v>
      </c>
      <c r="O352" s="507">
        <v>992.94523448494829</v>
      </c>
      <c r="P352">
        <v>1</v>
      </c>
      <c r="Q352" s="2" t="s">
        <v>526</v>
      </c>
      <c r="R352" s="3">
        <v>1</v>
      </c>
      <c r="S352" s="3">
        <v>5.2488000000000001</v>
      </c>
      <c r="T352" s="507">
        <v>98097.893400490808</v>
      </c>
      <c r="U352" s="507">
        <v>0</v>
      </c>
      <c r="V352" s="507">
        <v>98097.893400490808</v>
      </c>
      <c r="W352" s="507">
        <v>790.00752232745253</v>
      </c>
      <c r="X352" s="507">
        <v>99094.47487653952</v>
      </c>
      <c r="Y352" s="507">
        <v>98887.900922818255</v>
      </c>
      <c r="Z352" s="507">
        <v>520127.07973198063</v>
      </c>
      <c r="AA352" s="507">
        <v>519042.81436368846</v>
      </c>
      <c r="AB352" s="507">
        <v>519042.81436368846</v>
      </c>
      <c r="AC352" s="507">
        <v>1084.27</v>
      </c>
      <c r="AD352" s="507">
        <v>1084.27</v>
      </c>
      <c r="AE352" s="507">
        <v>0</v>
      </c>
      <c r="AF352" s="507">
        <v>1084.27</v>
      </c>
      <c r="AG352" s="507"/>
      <c r="AH352" s="507">
        <v>0</v>
      </c>
      <c r="AI352" s="507">
        <v>0</v>
      </c>
      <c r="AJ352" s="507">
        <v>0</v>
      </c>
      <c r="AK352" s="507">
        <v>0</v>
      </c>
      <c r="AL352" s="507">
        <v>0</v>
      </c>
      <c r="AM352" s="507">
        <v>0</v>
      </c>
      <c r="AN352" s="507"/>
      <c r="AO352" s="507"/>
    </row>
    <row r="353" spans="1:41">
      <c r="A353" s="2" t="s">
        <v>1036</v>
      </c>
      <c r="B353" s="2" t="s">
        <v>288</v>
      </c>
      <c r="C353" s="2" t="s">
        <v>278</v>
      </c>
      <c r="D353" s="2" t="s">
        <v>25</v>
      </c>
      <c r="E353" s="2" t="s">
        <v>280</v>
      </c>
      <c r="F353" s="2" t="s">
        <v>281</v>
      </c>
      <c r="G353" s="2" t="s">
        <v>21</v>
      </c>
      <c r="H353">
        <v>1</v>
      </c>
      <c r="I353" s="2" t="s">
        <v>526</v>
      </c>
      <c r="J353" s="3">
        <v>1</v>
      </c>
      <c r="K353" s="3">
        <v>5.2488000000000001</v>
      </c>
      <c r="L353" s="507">
        <v>49050.764821027289</v>
      </c>
      <c r="M353" s="507">
        <v>0</v>
      </c>
      <c r="N353" s="507">
        <v>49050.764821027289</v>
      </c>
      <c r="O353" s="507">
        <v>496.47261724247414</v>
      </c>
      <c r="P353">
        <v>1</v>
      </c>
      <c r="Q353" s="2" t="s">
        <v>526</v>
      </c>
      <c r="R353" s="3">
        <v>1</v>
      </c>
      <c r="S353" s="3">
        <v>5.2488000000000001</v>
      </c>
      <c r="T353" s="507">
        <v>49048.946700245404</v>
      </c>
      <c r="U353" s="507">
        <v>0</v>
      </c>
      <c r="V353" s="507">
        <v>49048.946700245404</v>
      </c>
      <c r="W353" s="507">
        <v>395.00376116372627</v>
      </c>
      <c r="X353" s="507">
        <v>49547.23743826976</v>
      </c>
      <c r="Y353" s="507">
        <v>49443.950461409127</v>
      </c>
      <c r="Z353" s="507">
        <v>260063.53986599031</v>
      </c>
      <c r="AA353" s="507">
        <v>259521.40718184423</v>
      </c>
      <c r="AB353" s="507">
        <v>259521.40718184423</v>
      </c>
      <c r="AC353" s="507">
        <v>542.13</v>
      </c>
      <c r="AD353" s="507">
        <v>542.13</v>
      </c>
      <c r="AE353" s="507">
        <v>0</v>
      </c>
      <c r="AF353" s="507">
        <v>542.13</v>
      </c>
      <c r="AG353" s="507"/>
      <c r="AH353" s="507">
        <v>0</v>
      </c>
      <c r="AI353" s="507">
        <v>0</v>
      </c>
      <c r="AJ353" s="507">
        <v>0</v>
      </c>
      <c r="AK353" s="507">
        <v>0</v>
      </c>
      <c r="AL353" s="507">
        <v>0</v>
      </c>
      <c r="AM353" s="507">
        <v>0</v>
      </c>
      <c r="AN353" s="507"/>
      <c r="AO353" s="507"/>
    </row>
    <row r="354" spans="1:41">
      <c r="A354" s="2" t="s">
        <v>1037</v>
      </c>
      <c r="B354" s="2" t="s">
        <v>288</v>
      </c>
      <c r="C354" s="2" t="s">
        <v>278</v>
      </c>
      <c r="D354" s="2" t="s">
        <v>25</v>
      </c>
      <c r="E354" s="2" t="s">
        <v>280</v>
      </c>
      <c r="F354" s="2" t="s">
        <v>281</v>
      </c>
      <c r="G354" s="2" t="s">
        <v>21</v>
      </c>
      <c r="H354">
        <v>1</v>
      </c>
      <c r="I354" s="2" t="s">
        <v>526</v>
      </c>
      <c r="J354" s="3">
        <v>1</v>
      </c>
      <c r="K354" s="3">
        <v>5.2488000000000001</v>
      </c>
      <c r="L354" s="507">
        <v>49047.192845104502</v>
      </c>
      <c r="M354" s="507">
        <v>0</v>
      </c>
      <c r="N354" s="507">
        <v>49047.192845104502</v>
      </c>
      <c r="O354" s="507">
        <v>496.43646310213433</v>
      </c>
      <c r="P354">
        <v>1</v>
      </c>
      <c r="Q354" s="2" t="s">
        <v>526</v>
      </c>
      <c r="R354" s="3">
        <v>1</v>
      </c>
      <c r="S354" s="3">
        <v>5.2488000000000001</v>
      </c>
      <c r="T354" s="507">
        <v>49045.374856721857</v>
      </c>
      <c r="U354" s="507">
        <v>0</v>
      </c>
      <c r="V354" s="507">
        <v>49045.374856721857</v>
      </c>
      <c r="W354" s="507">
        <v>394.97499619075529</v>
      </c>
      <c r="X354" s="507">
        <v>49543.629308206633</v>
      </c>
      <c r="Y354" s="507">
        <v>49440.349852912615</v>
      </c>
      <c r="Z354" s="507">
        <v>260044.60151291499</v>
      </c>
      <c r="AA354" s="507">
        <v>259502.50830796774</v>
      </c>
      <c r="AB354" s="507">
        <v>259502.50830796774</v>
      </c>
      <c r="AC354" s="507">
        <v>542.09</v>
      </c>
      <c r="AD354" s="507">
        <v>542.09</v>
      </c>
      <c r="AE354" s="507">
        <v>0</v>
      </c>
      <c r="AF354" s="507">
        <v>542.09</v>
      </c>
      <c r="AG354" s="507"/>
      <c r="AH354" s="507">
        <v>0</v>
      </c>
      <c r="AI354" s="507">
        <v>0</v>
      </c>
      <c r="AJ354" s="507">
        <v>0</v>
      </c>
      <c r="AK354" s="507">
        <v>0</v>
      </c>
      <c r="AL354" s="507">
        <v>0</v>
      </c>
      <c r="AM354" s="507">
        <v>0</v>
      </c>
      <c r="AN354" s="507"/>
      <c r="AO354" s="507"/>
    </row>
    <row r="355" spans="1:41">
      <c r="A355" s="2" t="s">
        <v>1038</v>
      </c>
      <c r="B355" s="2" t="s">
        <v>288</v>
      </c>
      <c r="C355" s="2" t="s">
        <v>278</v>
      </c>
      <c r="D355" s="2" t="s">
        <v>25</v>
      </c>
      <c r="E355" s="2" t="s">
        <v>280</v>
      </c>
      <c r="F355" s="2" t="s">
        <v>281</v>
      </c>
      <c r="G355" s="2" t="s">
        <v>21</v>
      </c>
      <c r="H355">
        <v>1</v>
      </c>
      <c r="I355" s="2" t="s">
        <v>526</v>
      </c>
      <c r="J355" s="3">
        <v>1</v>
      </c>
      <c r="K355" s="3">
        <v>5.2488000000000001</v>
      </c>
      <c r="L355" s="507">
        <v>9807.2366660548032</v>
      </c>
      <c r="M355" s="507">
        <v>0</v>
      </c>
      <c r="N355" s="507">
        <v>9807.2366660548032</v>
      </c>
      <c r="O355" s="507">
        <v>99.265005821587351</v>
      </c>
      <c r="P355">
        <v>1</v>
      </c>
      <c r="Q355" s="2" t="s">
        <v>526</v>
      </c>
      <c r="R355" s="3">
        <v>1</v>
      </c>
      <c r="S355" s="3">
        <v>5.2488000000000001</v>
      </c>
      <c r="T355" s="507">
        <v>9806.8731499942387</v>
      </c>
      <c r="U355" s="507">
        <v>0</v>
      </c>
      <c r="V355" s="507">
        <v>9806.8731499942387</v>
      </c>
      <c r="W355" s="507">
        <v>78.977267405497699</v>
      </c>
      <c r="X355" s="507">
        <v>9906.5016718763909</v>
      </c>
      <c r="Y355" s="507">
        <v>9885.8504173997371</v>
      </c>
      <c r="Z355" s="507">
        <v>51997.245975344798</v>
      </c>
      <c r="AA355" s="507">
        <v>51888.85167084774</v>
      </c>
      <c r="AB355" s="507">
        <v>51888.85167084774</v>
      </c>
      <c r="AC355" s="507">
        <v>108.39</v>
      </c>
      <c r="AD355" s="507">
        <v>108.39</v>
      </c>
      <c r="AE355" s="507">
        <v>0</v>
      </c>
      <c r="AF355" s="507">
        <v>108.39</v>
      </c>
      <c r="AG355" s="507"/>
      <c r="AH355" s="507">
        <v>0</v>
      </c>
      <c r="AI355" s="507">
        <v>0</v>
      </c>
      <c r="AJ355" s="507">
        <v>0</v>
      </c>
      <c r="AK355" s="507">
        <v>0</v>
      </c>
      <c r="AL355" s="507">
        <v>0</v>
      </c>
      <c r="AM355" s="507">
        <v>0</v>
      </c>
      <c r="AN355" s="507"/>
      <c r="AO355" s="507"/>
    </row>
    <row r="356" spans="1:41">
      <c r="A356" s="2" t="s">
        <v>1039</v>
      </c>
      <c r="B356" s="2" t="s">
        <v>288</v>
      </c>
      <c r="C356" s="2" t="s">
        <v>278</v>
      </c>
      <c r="D356" s="2" t="s">
        <v>25</v>
      </c>
      <c r="E356" s="2" t="s">
        <v>280</v>
      </c>
      <c r="F356" s="2" t="s">
        <v>281</v>
      </c>
      <c r="G356" s="2" t="s">
        <v>21</v>
      </c>
      <c r="H356">
        <v>1</v>
      </c>
      <c r="I356" s="2" t="s">
        <v>526</v>
      </c>
      <c r="J356" s="3">
        <v>1</v>
      </c>
      <c r="K356" s="3">
        <v>5.2488000000000001</v>
      </c>
      <c r="L356" s="507">
        <v>38856.877747750332</v>
      </c>
      <c r="M356" s="507">
        <v>0</v>
      </c>
      <c r="N356" s="507">
        <v>38856.877747750332</v>
      </c>
      <c r="O356" s="507">
        <v>393.29408753737835</v>
      </c>
      <c r="P356">
        <v>1</v>
      </c>
      <c r="Q356" s="2" t="s">
        <v>526</v>
      </c>
      <c r="R356" s="3">
        <v>1</v>
      </c>
      <c r="S356" s="3">
        <v>5.2488000000000001</v>
      </c>
      <c r="T356" s="507">
        <v>38855.437474653474</v>
      </c>
      <c r="U356" s="507">
        <v>0</v>
      </c>
      <c r="V356" s="507">
        <v>38855.437474653474</v>
      </c>
      <c r="W356" s="507">
        <v>312.91281417207949</v>
      </c>
      <c r="X356" s="507">
        <v>39250.171835287707</v>
      </c>
      <c r="Y356" s="507">
        <v>39168.350288825553</v>
      </c>
      <c r="Z356" s="507">
        <v>206016.30192905813</v>
      </c>
      <c r="AA356" s="507">
        <v>205586.83699598757</v>
      </c>
      <c r="AB356" s="507">
        <v>205586.83699598757</v>
      </c>
      <c r="AC356" s="507">
        <v>429.46</v>
      </c>
      <c r="AD356" s="507">
        <v>429.46</v>
      </c>
      <c r="AE356" s="507">
        <v>0</v>
      </c>
      <c r="AF356" s="507">
        <v>429.46</v>
      </c>
      <c r="AG356" s="507"/>
      <c r="AH356" s="507">
        <v>0</v>
      </c>
      <c r="AI356" s="507">
        <v>0</v>
      </c>
      <c r="AJ356" s="507">
        <v>0</v>
      </c>
      <c r="AK356" s="507">
        <v>0</v>
      </c>
      <c r="AL356" s="507">
        <v>0</v>
      </c>
      <c r="AM356" s="507">
        <v>0</v>
      </c>
      <c r="AN356" s="507"/>
      <c r="AO356" s="507"/>
    </row>
    <row r="357" spans="1:41">
      <c r="A357" s="2" t="s">
        <v>322</v>
      </c>
      <c r="B357" s="2" t="s">
        <v>323</v>
      </c>
      <c r="C357" s="2" t="s">
        <v>278</v>
      </c>
      <c r="D357" s="2" t="s">
        <v>25</v>
      </c>
      <c r="E357" s="2" t="s">
        <v>280</v>
      </c>
      <c r="F357" s="2" t="s">
        <v>281</v>
      </c>
      <c r="G357" s="2" t="s">
        <v>21</v>
      </c>
      <c r="H357">
        <v>1</v>
      </c>
      <c r="I357" s="2" t="s">
        <v>526</v>
      </c>
      <c r="J357" s="3">
        <v>1</v>
      </c>
      <c r="K357" s="3">
        <v>5.2488000000000001</v>
      </c>
      <c r="L357" s="507">
        <v>81748.804297192793</v>
      </c>
      <c r="M357" s="507">
        <v>0</v>
      </c>
      <c r="N357" s="507">
        <v>81748.804297192793</v>
      </c>
      <c r="O357" s="507">
        <v>1447.7377287042523</v>
      </c>
      <c r="P357">
        <v>1</v>
      </c>
      <c r="Q357" s="2" t="s">
        <v>526</v>
      </c>
      <c r="R357" s="3">
        <v>1</v>
      </c>
      <c r="S357" s="3">
        <v>5.2488000000000001</v>
      </c>
      <c r="T357" s="507">
        <v>81748.804297192793</v>
      </c>
      <c r="U357" s="507">
        <v>0</v>
      </c>
      <c r="V357" s="507">
        <v>81748.804297192793</v>
      </c>
      <c r="W357" s="507">
        <v>1247.0612118541662</v>
      </c>
      <c r="X357" s="507">
        <v>83196.542025897041</v>
      </c>
      <c r="Y357" s="507">
        <v>82995.865509046955</v>
      </c>
      <c r="Z357" s="507">
        <v>436682.00978552841</v>
      </c>
      <c r="AA357" s="507">
        <v>435628.69888388569</v>
      </c>
      <c r="AB357" s="507">
        <v>435628.69888388569</v>
      </c>
      <c r="AC357" s="507">
        <v>1053.31</v>
      </c>
      <c r="AD357" s="507">
        <v>1053.31</v>
      </c>
      <c r="AE357" s="507">
        <v>0</v>
      </c>
      <c r="AF357" s="507">
        <v>1053.31</v>
      </c>
      <c r="AG357" s="507"/>
      <c r="AH357" s="507">
        <v>0</v>
      </c>
      <c r="AI357" s="507">
        <v>0</v>
      </c>
      <c r="AJ357" s="507">
        <v>0</v>
      </c>
      <c r="AK357" s="507">
        <v>0</v>
      </c>
      <c r="AL357" s="507">
        <v>0</v>
      </c>
      <c r="AM357" s="507">
        <v>0</v>
      </c>
      <c r="AN357" s="507"/>
      <c r="AO357" s="507"/>
    </row>
    <row r="358" spans="1:41">
      <c r="A358" s="2" t="s">
        <v>324</v>
      </c>
      <c r="B358" s="2" t="s">
        <v>325</v>
      </c>
      <c r="C358" s="2" t="s">
        <v>278</v>
      </c>
      <c r="D358" s="2" t="s">
        <v>25</v>
      </c>
      <c r="E358" s="2" t="s">
        <v>595</v>
      </c>
      <c r="F358" s="2" t="s">
        <v>281</v>
      </c>
      <c r="G358" s="2" t="s">
        <v>21</v>
      </c>
      <c r="H358">
        <v>1</v>
      </c>
      <c r="I358" s="2" t="s">
        <v>526</v>
      </c>
      <c r="J358" s="3">
        <v>1</v>
      </c>
      <c r="K358" s="3">
        <v>5.2488000000000001</v>
      </c>
      <c r="L358" s="507">
        <v>544868.0236048603</v>
      </c>
      <c r="M358" s="507">
        <v>0</v>
      </c>
      <c r="N358" s="507">
        <v>544868.0236048603</v>
      </c>
      <c r="O358" s="507">
        <v>14299.038877655399</v>
      </c>
      <c r="P358">
        <v>1</v>
      </c>
      <c r="Q358" s="2" t="s">
        <v>526</v>
      </c>
      <c r="R358" s="3">
        <v>1</v>
      </c>
      <c r="S358" s="3">
        <v>5.2488000000000001</v>
      </c>
      <c r="T358" s="507">
        <v>544681.20294828224</v>
      </c>
      <c r="U358" s="507">
        <v>0</v>
      </c>
      <c r="V358" s="507">
        <v>544681.20294828224</v>
      </c>
      <c r="W358" s="507">
        <v>12821.6474069013</v>
      </c>
      <c r="X358" s="507">
        <v>559167.0624825157</v>
      </c>
      <c r="Y358" s="507">
        <v>557502.85035518359</v>
      </c>
      <c r="Z358" s="507">
        <v>2934956.0775582283</v>
      </c>
      <c r="AA358" s="507">
        <v>2926220.9609442875</v>
      </c>
      <c r="AB358" s="507">
        <v>2926220.9609442875</v>
      </c>
      <c r="AC358" s="507">
        <v>8735.1200000000008</v>
      </c>
      <c r="AD358" s="507">
        <v>8735.1200000000008</v>
      </c>
      <c r="AE358" s="507">
        <v>0</v>
      </c>
      <c r="AF358" s="507">
        <v>8735.1200000000008</v>
      </c>
      <c r="AG358" s="507"/>
      <c r="AH358" s="507">
        <v>0</v>
      </c>
      <c r="AI358" s="507">
        <v>0</v>
      </c>
      <c r="AJ358" s="507">
        <v>0</v>
      </c>
      <c r="AK358" s="507">
        <v>0</v>
      </c>
      <c r="AL358" s="507">
        <v>0</v>
      </c>
      <c r="AM358" s="507">
        <v>0</v>
      </c>
      <c r="AN358" s="507"/>
      <c r="AO358" s="507"/>
    </row>
    <row r="359" spans="1:41">
      <c r="A359" s="2" t="s">
        <v>326</v>
      </c>
      <c r="B359" s="2" t="s">
        <v>327</v>
      </c>
      <c r="C359" s="2" t="s">
        <v>278</v>
      </c>
      <c r="D359" s="2" t="s">
        <v>25</v>
      </c>
      <c r="E359" s="2" t="s">
        <v>595</v>
      </c>
      <c r="F359" s="2" t="s">
        <v>281</v>
      </c>
      <c r="G359" s="2" t="s">
        <v>21</v>
      </c>
      <c r="H359">
        <v>1</v>
      </c>
      <c r="I359" s="2" t="s">
        <v>526</v>
      </c>
      <c r="J359" s="3">
        <v>1</v>
      </c>
      <c r="K359" s="3">
        <v>5.2488000000000001</v>
      </c>
      <c r="L359" s="507">
        <v>232290.69038374728</v>
      </c>
      <c r="M359" s="507">
        <v>0</v>
      </c>
      <c r="N359" s="507">
        <v>232290.69038374728</v>
      </c>
      <c r="O359" s="507">
        <v>6179.156297648241</v>
      </c>
      <c r="P359">
        <v>1</v>
      </c>
      <c r="Q359" s="2" t="s">
        <v>526</v>
      </c>
      <c r="R359" s="3">
        <v>1</v>
      </c>
      <c r="S359" s="3">
        <v>5.2488000000000001</v>
      </c>
      <c r="T359" s="507">
        <v>232225.98256135412</v>
      </c>
      <c r="U359" s="507">
        <v>0</v>
      </c>
      <c r="V359" s="507">
        <v>232225.98256135412</v>
      </c>
      <c r="W359" s="507">
        <v>5594.6415127355358</v>
      </c>
      <c r="X359" s="507">
        <v>238469.84668139552</v>
      </c>
      <c r="Y359" s="507">
        <v>237820.62407408966</v>
      </c>
      <c r="Z359" s="507">
        <v>1251680.5312613088</v>
      </c>
      <c r="AA359" s="507">
        <v>1248272.8916400818</v>
      </c>
      <c r="AB359" s="507">
        <v>1248272.8916400818</v>
      </c>
      <c r="AC359" s="507">
        <v>3407.64</v>
      </c>
      <c r="AD359" s="507">
        <v>3407.64</v>
      </c>
      <c r="AE359" s="507">
        <v>0</v>
      </c>
      <c r="AF359" s="507">
        <v>3407.64</v>
      </c>
      <c r="AG359" s="507"/>
      <c r="AH359" s="507">
        <v>0</v>
      </c>
      <c r="AI359" s="507">
        <v>0</v>
      </c>
      <c r="AJ359" s="507">
        <v>0</v>
      </c>
      <c r="AK359" s="507">
        <v>0</v>
      </c>
      <c r="AL359" s="507">
        <v>0</v>
      </c>
      <c r="AM359" s="507">
        <v>0</v>
      </c>
      <c r="AN359" s="507"/>
      <c r="AO359" s="507"/>
    </row>
    <row r="360" spans="1:41">
      <c r="A360" s="2" t="s">
        <v>336</v>
      </c>
      <c r="B360" s="2" t="s">
        <v>333</v>
      </c>
      <c r="C360" s="2" t="s">
        <v>328</v>
      </c>
      <c r="D360" s="2" t="s">
        <v>30</v>
      </c>
      <c r="E360" s="2" t="s">
        <v>19</v>
      </c>
      <c r="F360" s="2" t="s">
        <v>20</v>
      </c>
      <c r="G360" s="2" t="s">
        <v>21</v>
      </c>
      <c r="H360">
        <v>1</v>
      </c>
      <c r="I360" s="2" t="s">
        <v>526</v>
      </c>
      <c r="J360" s="3">
        <v>1</v>
      </c>
      <c r="K360" s="3">
        <v>5.2488000000000001</v>
      </c>
      <c r="L360" s="507">
        <v>1367.2890985571264</v>
      </c>
      <c r="M360" s="507">
        <v>0</v>
      </c>
      <c r="N360" s="507">
        <v>1367.2890985571264</v>
      </c>
      <c r="O360" s="507">
        <v>32.663017354420248</v>
      </c>
      <c r="P360">
        <v>1</v>
      </c>
      <c r="Q360" s="2" t="s">
        <v>526</v>
      </c>
      <c r="R360" s="3">
        <v>1</v>
      </c>
      <c r="S360" s="3">
        <v>5.2488000000000001</v>
      </c>
      <c r="T360" s="507">
        <v>1367.2890985571264</v>
      </c>
      <c r="U360" s="507">
        <v>0</v>
      </c>
      <c r="V360" s="507">
        <v>1367.2890985571264</v>
      </c>
      <c r="W360" s="507">
        <v>32.663017354420248</v>
      </c>
      <c r="X360" s="507">
        <v>1399.9521159115466</v>
      </c>
      <c r="Y360" s="507">
        <v>1399.9521159115466</v>
      </c>
      <c r="Z360" s="507">
        <v>7348.0686659965259</v>
      </c>
      <c r="AA360" s="507">
        <v>7348.0686659965259</v>
      </c>
      <c r="AB360" s="507">
        <v>7348.0686659965259</v>
      </c>
      <c r="AC360" s="507">
        <v>0</v>
      </c>
      <c r="AD360" s="507">
        <v>0</v>
      </c>
      <c r="AE360" s="507">
        <v>0</v>
      </c>
      <c r="AF360" s="507"/>
      <c r="AG360" s="507"/>
      <c r="AH360" s="507">
        <v>0</v>
      </c>
      <c r="AI360" s="507">
        <v>0</v>
      </c>
      <c r="AJ360" s="507">
        <v>0</v>
      </c>
      <c r="AK360" s="507">
        <v>0</v>
      </c>
      <c r="AL360" s="507">
        <v>0</v>
      </c>
      <c r="AM360" s="507">
        <v>0</v>
      </c>
      <c r="AN360" s="507"/>
      <c r="AO360" s="507"/>
    </row>
    <row r="361" spans="1:41">
      <c r="A361" s="2"/>
      <c r="B361" s="2"/>
      <c r="C361" s="2"/>
      <c r="D361" s="2"/>
      <c r="E361" s="2"/>
      <c r="F361" s="2"/>
      <c r="G361" s="2"/>
      <c r="I361" s="2"/>
      <c r="J361" s="3"/>
      <c r="K361" s="3"/>
      <c r="L361" s="507"/>
      <c r="M361" s="507"/>
      <c r="N361" s="507"/>
      <c r="O361" s="507"/>
      <c r="P361">
        <v>1</v>
      </c>
      <c r="Q361" s="2" t="s">
        <v>526</v>
      </c>
      <c r="R361" s="3">
        <v>1</v>
      </c>
      <c r="S361" s="3">
        <v>5.2488000000000001</v>
      </c>
      <c r="T361" s="507">
        <v>1166.4523441423025</v>
      </c>
      <c r="U361" s="507">
        <v>0</v>
      </c>
      <c r="V361" s="507">
        <v>1166.4523441423025</v>
      </c>
      <c r="W361" s="507">
        <v>28.35128270554068</v>
      </c>
      <c r="X361" s="507"/>
      <c r="Y361" s="507">
        <v>1194.8036268478431</v>
      </c>
      <c r="Z361" s="507"/>
      <c r="AA361" s="507">
        <v>6271.2852765989592</v>
      </c>
      <c r="AB361" s="507"/>
      <c r="AC361" s="507"/>
      <c r="AD361" s="507"/>
      <c r="AE361" s="507"/>
      <c r="AF361" s="507"/>
      <c r="AG361" s="507"/>
      <c r="AH361" s="507"/>
      <c r="AI361" s="507">
        <v>0</v>
      </c>
      <c r="AJ361" s="507"/>
      <c r="AK361" s="507"/>
      <c r="AL361" s="507"/>
      <c r="AM361" s="507"/>
      <c r="AN361" s="507"/>
      <c r="AO361" s="507"/>
    </row>
    <row r="362" spans="1:41">
      <c r="A362" s="2" t="s">
        <v>1043</v>
      </c>
      <c r="B362" s="2" t="s">
        <v>329</v>
      </c>
      <c r="C362" s="2" t="s">
        <v>328</v>
      </c>
      <c r="D362" s="2" t="s">
        <v>30</v>
      </c>
      <c r="E362" s="2" t="s">
        <v>19</v>
      </c>
      <c r="F362" s="2" t="s">
        <v>20</v>
      </c>
      <c r="G362" s="2" t="s">
        <v>21</v>
      </c>
      <c r="H362">
        <v>1</v>
      </c>
      <c r="I362" s="2" t="s">
        <v>526</v>
      </c>
      <c r="J362" s="3">
        <v>1</v>
      </c>
      <c r="K362" s="3">
        <v>5.2488000000000001</v>
      </c>
      <c r="L362" s="507">
        <v>5531.241760932854</v>
      </c>
      <c r="M362" s="507">
        <v>0</v>
      </c>
      <c r="N362" s="507">
        <v>5531.241760932854</v>
      </c>
      <c r="O362" s="507">
        <v>127.52583603227347</v>
      </c>
      <c r="P362">
        <v>1</v>
      </c>
      <c r="Q362" s="2" t="s">
        <v>526</v>
      </c>
      <c r="R362" s="3">
        <v>1</v>
      </c>
      <c r="S362" s="3">
        <v>5.2488000000000001</v>
      </c>
      <c r="T362" s="507">
        <v>5531.241760932854</v>
      </c>
      <c r="U362" s="507">
        <v>0</v>
      </c>
      <c r="V362" s="507">
        <v>5531.241760932854</v>
      </c>
      <c r="W362" s="507">
        <v>127.52583603227347</v>
      </c>
      <c r="X362" s="507">
        <v>5658.7675969651273</v>
      </c>
      <c r="Y362" s="507">
        <v>5658.7675969651273</v>
      </c>
      <c r="Z362" s="507">
        <v>29701.73936295056</v>
      </c>
      <c r="AA362" s="507">
        <v>29701.73936295056</v>
      </c>
      <c r="AB362" s="507">
        <v>29701.73936295056</v>
      </c>
      <c r="AC362" s="507">
        <v>0</v>
      </c>
      <c r="AD362" s="507">
        <v>0</v>
      </c>
      <c r="AE362" s="507">
        <v>0</v>
      </c>
      <c r="AF362" s="507"/>
      <c r="AG362" s="507"/>
      <c r="AH362" s="507">
        <v>0</v>
      </c>
      <c r="AI362" s="507">
        <v>0</v>
      </c>
      <c r="AJ362" s="507">
        <v>0</v>
      </c>
      <c r="AK362" s="507">
        <v>0</v>
      </c>
      <c r="AL362" s="507">
        <v>0</v>
      </c>
      <c r="AM362" s="507">
        <v>0</v>
      </c>
      <c r="AN362" s="507"/>
      <c r="AO362" s="507"/>
    </row>
    <row r="363" spans="1:41">
      <c r="A363" s="2"/>
      <c r="B363" s="2"/>
      <c r="C363" s="2"/>
      <c r="D363" s="2"/>
      <c r="E363" s="2"/>
      <c r="F363" s="2"/>
      <c r="G363" s="2"/>
      <c r="I363" s="2"/>
      <c r="J363" s="3"/>
      <c r="K363" s="3"/>
      <c r="L363" s="507"/>
      <c r="M363" s="507"/>
      <c r="N363" s="507"/>
      <c r="O363" s="507"/>
      <c r="P363">
        <v>1</v>
      </c>
      <c r="Q363" s="2" t="s">
        <v>526</v>
      </c>
      <c r="R363" s="3">
        <v>1</v>
      </c>
      <c r="S363" s="3">
        <v>5.2488000000000001</v>
      </c>
      <c r="T363" s="507">
        <v>4628.1818815968782</v>
      </c>
      <c r="U363" s="507">
        <v>0</v>
      </c>
      <c r="V363" s="507">
        <v>4628.1818815968782</v>
      </c>
      <c r="W363" s="507">
        <v>112.49054752249145</v>
      </c>
      <c r="X363" s="507"/>
      <c r="Y363" s="507">
        <v>4740.6724291193696</v>
      </c>
      <c r="Z363" s="507"/>
      <c r="AA363" s="507">
        <v>24882.841445961749</v>
      </c>
      <c r="AB363" s="507"/>
      <c r="AC363" s="507"/>
      <c r="AD363" s="507"/>
      <c r="AE363" s="507"/>
      <c r="AF363" s="507"/>
      <c r="AG363" s="507"/>
      <c r="AH363" s="507"/>
      <c r="AI363" s="507">
        <v>0</v>
      </c>
      <c r="AJ363" s="507"/>
      <c r="AK363" s="507"/>
      <c r="AL363" s="507"/>
      <c r="AM363" s="507"/>
      <c r="AN363" s="507"/>
      <c r="AO363" s="507"/>
    </row>
    <row r="364" spans="1:41">
      <c r="A364" s="2" t="s">
        <v>1044</v>
      </c>
      <c r="B364" s="2" t="s">
        <v>329</v>
      </c>
      <c r="C364" s="2" t="s">
        <v>328</v>
      </c>
      <c r="D364" s="2" t="s">
        <v>30</v>
      </c>
      <c r="E364" s="2" t="s">
        <v>19</v>
      </c>
      <c r="F364" s="2" t="s">
        <v>20</v>
      </c>
      <c r="G364" s="2" t="s">
        <v>21</v>
      </c>
      <c r="H364">
        <v>1</v>
      </c>
      <c r="I364" s="2" t="s">
        <v>526</v>
      </c>
      <c r="J364" s="3">
        <v>1</v>
      </c>
      <c r="K364" s="3">
        <v>5.2488000000000001</v>
      </c>
      <c r="L364" s="507">
        <v>2686.6031410245291</v>
      </c>
      <c r="M364" s="507">
        <v>0</v>
      </c>
      <c r="N364" s="507">
        <v>2686.6031410245291</v>
      </c>
      <c r="O364" s="507">
        <v>61.941112295498179</v>
      </c>
      <c r="P364">
        <v>1</v>
      </c>
      <c r="Q364" s="2" t="s">
        <v>526</v>
      </c>
      <c r="R364" s="3">
        <v>1</v>
      </c>
      <c r="S364" s="3">
        <v>5.2488000000000001</v>
      </c>
      <c r="T364" s="507">
        <v>2686.6031410245291</v>
      </c>
      <c r="U364" s="507">
        <v>0</v>
      </c>
      <c r="V364" s="507">
        <v>2686.6031410245291</v>
      </c>
      <c r="W364" s="507">
        <v>61.941112295498179</v>
      </c>
      <c r="X364" s="507">
        <v>2748.5442533200271</v>
      </c>
      <c r="Y364" s="507">
        <v>2748.5442533200271</v>
      </c>
      <c r="Z364" s="507">
        <v>14426.559076826159</v>
      </c>
      <c r="AA364" s="507">
        <v>14426.559076826159</v>
      </c>
      <c r="AB364" s="507">
        <v>14426.559076826159</v>
      </c>
      <c r="AC364" s="507">
        <v>0</v>
      </c>
      <c r="AD364" s="507">
        <v>0</v>
      </c>
      <c r="AE364" s="507">
        <v>0</v>
      </c>
      <c r="AF364" s="507"/>
      <c r="AG364" s="507"/>
      <c r="AH364" s="507">
        <v>0</v>
      </c>
      <c r="AI364" s="507">
        <v>0</v>
      </c>
      <c r="AJ364" s="507">
        <v>0</v>
      </c>
      <c r="AK364" s="507">
        <v>0</v>
      </c>
      <c r="AL364" s="507">
        <v>0</v>
      </c>
      <c r="AM364" s="507">
        <v>0</v>
      </c>
      <c r="AN364" s="507"/>
      <c r="AO364" s="507"/>
    </row>
    <row r="365" spans="1:41">
      <c r="A365" s="2"/>
      <c r="B365" s="2"/>
      <c r="C365" s="2"/>
      <c r="D365" s="2"/>
      <c r="E365" s="2"/>
      <c r="F365" s="2"/>
      <c r="G365" s="2"/>
      <c r="I365" s="2"/>
      <c r="J365" s="3"/>
      <c r="K365" s="3"/>
      <c r="L365" s="507"/>
      <c r="M365" s="507"/>
      <c r="N365" s="507"/>
      <c r="O365" s="507"/>
      <c r="P365">
        <v>1</v>
      </c>
      <c r="Q365" s="2" t="s">
        <v>526</v>
      </c>
      <c r="R365" s="3">
        <v>1</v>
      </c>
      <c r="S365" s="3">
        <v>5.2488000000000001</v>
      </c>
      <c r="T365" s="507">
        <v>1119.4179754268871</v>
      </c>
      <c r="U365" s="507">
        <v>0</v>
      </c>
      <c r="V365" s="507">
        <v>1119.4179754268871</v>
      </c>
      <c r="W365" s="507">
        <v>27.208065339543793</v>
      </c>
      <c r="X365" s="507"/>
      <c r="Y365" s="507">
        <v>1146.6260407664308</v>
      </c>
      <c r="Z365" s="507"/>
      <c r="AA365" s="507">
        <v>6018.4107627748426</v>
      </c>
      <c r="AB365" s="507"/>
      <c r="AC365" s="507"/>
      <c r="AD365" s="507"/>
      <c r="AE365" s="507"/>
      <c r="AF365" s="507"/>
      <c r="AG365" s="507"/>
      <c r="AH365" s="507"/>
      <c r="AI365" s="507">
        <v>0</v>
      </c>
      <c r="AJ365" s="507"/>
      <c r="AK365" s="507"/>
      <c r="AL365" s="507"/>
      <c r="AM365" s="507"/>
      <c r="AN365" s="507"/>
      <c r="AO365" s="507"/>
    </row>
    <row r="366" spans="1:41">
      <c r="A366" s="2" t="s">
        <v>1045</v>
      </c>
      <c r="B366" s="2" t="s">
        <v>333</v>
      </c>
      <c r="C366" s="2" t="s">
        <v>328</v>
      </c>
      <c r="D366" s="2" t="s">
        <v>30</v>
      </c>
      <c r="E366" s="2" t="s">
        <v>19</v>
      </c>
      <c r="F366" s="2" t="s">
        <v>20</v>
      </c>
      <c r="G366" s="2" t="s">
        <v>21</v>
      </c>
      <c r="H366">
        <v>1</v>
      </c>
      <c r="I366" s="2" t="s">
        <v>526</v>
      </c>
      <c r="J366" s="3">
        <v>1</v>
      </c>
      <c r="K366" s="3">
        <v>5.2488000000000001</v>
      </c>
      <c r="L366" s="507">
        <v>987.721743023724</v>
      </c>
      <c r="M366" s="507">
        <v>0</v>
      </c>
      <c r="N366" s="507">
        <v>987.721743023724</v>
      </c>
      <c r="O366" s="507">
        <v>22.772489197836542</v>
      </c>
      <c r="P366">
        <v>1</v>
      </c>
      <c r="Q366" s="2" t="s">
        <v>526</v>
      </c>
      <c r="R366" s="3">
        <v>1</v>
      </c>
      <c r="S366" s="3">
        <v>5.2488000000000001</v>
      </c>
      <c r="T366" s="507">
        <v>987.721743023724</v>
      </c>
      <c r="U366" s="507">
        <v>0</v>
      </c>
      <c r="V366" s="507">
        <v>987.721743023724</v>
      </c>
      <c r="W366" s="507">
        <v>22.772489197836542</v>
      </c>
      <c r="X366" s="507">
        <v>1010.4942322215605</v>
      </c>
      <c r="Y366" s="507">
        <v>1010.4942322215605</v>
      </c>
      <c r="Z366" s="507">
        <v>5303.882126084527</v>
      </c>
      <c r="AA366" s="507">
        <v>5303.882126084527</v>
      </c>
      <c r="AB366" s="507">
        <v>5303.882126084527</v>
      </c>
      <c r="AC366" s="507">
        <v>0</v>
      </c>
      <c r="AD366" s="507">
        <v>0</v>
      </c>
      <c r="AE366" s="507">
        <v>0</v>
      </c>
      <c r="AF366" s="507"/>
      <c r="AG366" s="507"/>
      <c r="AH366" s="507">
        <v>0</v>
      </c>
      <c r="AI366" s="507">
        <v>0</v>
      </c>
      <c r="AJ366" s="507">
        <v>0</v>
      </c>
      <c r="AK366" s="507">
        <v>0</v>
      </c>
      <c r="AL366" s="507">
        <v>0</v>
      </c>
      <c r="AM366" s="507">
        <v>0</v>
      </c>
      <c r="AN366" s="507"/>
      <c r="AO366" s="507"/>
    </row>
    <row r="367" spans="1:41">
      <c r="A367" s="2"/>
      <c r="B367" s="2"/>
      <c r="C367" s="2"/>
      <c r="D367" s="2"/>
      <c r="E367" s="2"/>
      <c r="F367" s="2"/>
      <c r="G367" s="2"/>
      <c r="I367" s="2"/>
      <c r="J367" s="3"/>
      <c r="K367" s="3"/>
      <c r="L367" s="507"/>
      <c r="M367" s="507"/>
      <c r="N367" s="507"/>
      <c r="O367" s="507"/>
      <c r="P367">
        <v>1</v>
      </c>
      <c r="Q367" s="2" t="s">
        <v>526</v>
      </c>
      <c r="R367" s="3">
        <v>1</v>
      </c>
      <c r="S367" s="3">
        <v>5.2488000000000001</v>
      </c>
      <c r="T367" s="507">
        <v>2403.4562413577287</v>
      </c>
      <c r="U367" s="507">
        <v>0</v>
      </c>
      <c r="V367" s="507">
        <v>2403.4562413577287</v>
      </c>
      <c r="W367" s="507">
        <v>59.752603119169905</v>
      </c>
      <c r="X367" s="507"/>
      <c r="Y367" s="507">
        <v>2463.2088444768988</v>
      </c>
      <c r="Z367" s="507"/>
      <c r="AA367" s="507">
        <v>12928.890582890346</v>
      </c>
      <c r="AB367" s="507"/>
      <c r="AC367" s="507"/>
      <c r="AD367" s="507"/>
      <c r="AE367" s="507"/>
      <c r="AF367" s="507"/>
      <c r="AG367" s="507"/>
      <c r="AH367" s="507"/>
      <c r="AI367" s="507">
        <v>0</v>
      </c>
      <c r="AJ367" s="507"/>
      <c r="AK367" s="507"/>
      <c r="AL367" s="507"/>
      <c r="AM367" s="507"/>
      <c r="AN367" s="507"/>
      <c r="AO367" s="507"/>
    </row>
    <row r="368" spans="1:41">
      <c r="A368" s="2" t="s">
        <v>1046</v>
      </c>
      <c r="B368" s="2" t="s">
        <v>332</v>
      </c>
      <c r="C368" s="2" t="s">
        <v>328</v>
      </c>
      <c r="D368" s="2" t="s">
        <v>18</v>
      </c>
      <c r="E368" s="2" t="s">
        <v>19</v>
      </c>
      <c r="F368" s="2" t="s">
        <v>20</v>
      </c>
      <c r="G368" s="2" t="s">
        <v>21</v>
      </c>
      <c r="H368">
        <v>1</v>
      </c>
      <c r="I368" s="2" t="s">
        <v>526</v>
      </c>
      <c r="J368" s="3">
        <v>1</v>
      </c>
      <c r="K368" s="3">
        <v>5.2488000000000001</v>
      </c>
      <c r="L368" s="507">
        <v>5672.3448670791004</v>
      </c>
      <c r="M368" s="507">
        <v>0</v>
      </c>
      <c r="N368" s="507">
        <v>5672.3448670791004</v>
      </c>
      <c r="O368" s="507">
        <v>138.65731897304468</v>
      </c>
      <c r="P368">
        <v>1</v>
      </c>
      <c r="Q368" s="2" t="s">
        <v>526</v>
      </c>
      <c r="R368" s="3">
        <v>1</v>
      </c>
      <c r="S368" s="3">
        <v>5.2488000000000001</v>
      </c>
      <c r="T368" s="507">
        <v>5672.3448670791004</v>
      </c>
      <c r="U368" s="507">
        <v>0</v>
      </c>
      <c r="V368" s="507">
        <v>5672.3448670791004</v>
      </c>
      <c r="W368" s="507">
        <v>138.65731897304468</v>
      </c>
      <c r="X368" s="507">
        <v>5811.0021860521447</v>
      </c>
      <c r="Y368" s="507">
        <v>5811.0021860521447</v>
      </c>
      <c r="Z368" s="507">
        <v>30500.788274150498</v>
      </c>
      <c r="AA368" s="507">
        <v>30500.788274150498</v>
      </c>
      <c r="AB368" s="507">
        <v>30500.788274150498</v>
      </c>
      <c r="AC368" s="507">
        <v>0</v>
      </c>
      <c r="AD368" s="507">
        <v>0</v>
      </c>
      <c r="AE368" s="507">
        <v>0</v>
      </c>
      <c r="AF368" s="507"/>
      <c r="AG368" s="507"/>
      <c r="AH368" s="507">
        <v>0</v>
      </c>
      <c r="AI368" s="507">
        <v>0</v>
      </c>
      <c r="AJ368" s="507">
        <v>0</v>
      </c>
      <c r="AK368" s="507">
        <v>0</v>
      </c>
      <c r="AL368" s="507">
        <v>0</v>
      </c>
      <c r="AM368" s="507">
        <v>0</v>
      </c>
      <c r="AN368" s="507"/>
      <c r="AO368" s="507"/>
    </row>
    <row r="369" spans="1:41">
      <c r="A369" s="2"/>
      <c r="B369" s="2"/>
      <c r="C369" s="2"/>
      <c r="D369" s="2"/>
      <c r="E369" s="2"/>
      <c r="F369" s="2"/>
      <c r="G369" s="2"/>
      <c r="I369" s="2"/>
      <c r="J369" s="3"/>
      <c r="K369" s="3"/>
      <c r="L369" s="507"/>
      <c r="M369" s="507"/>
      <c r="N369" s="507"/>
      <c r="O369" s="507"/>
      <c r="P369">
        <v>1</v>
      </c>
      <c r="Q369" s="2" t="s">
        <v>526</v>
      </c>
      <c r="R369" s="3">
        <v>1</v>
      </c>
      <c r="S369" s="3">
        <v>5.2488000000000001</v>
      </c>
      <c r="T369" s="507">
        <v>6772.9490950198215</v>
      </c>
      <c r="U369" s="507">
        <v>0</v>
      </c>
      <c r="V369" s="507">
        <v>6772.9490950198215</v>
      </c>
      <c r="W369" s="507">
        <v>163.6796031296457</v>
      </c>
      <c r="X369" s="507"/>
      <c r="Y369" s="507">
        <v>6936.6286981494668</v>
      </c>
      <c r="Z369" s="507"/>
      <c r="AA369" s="507">
        <v>36408.976710846924</v>
      </c>
      <c r="AB369" s="507"/>
      <c r="AC369" s="507"/>
      <c r="AD369" s="507"/>
      <c r="AE369" s="507"/>
      <c r="AF369" s="507"/>
      <c r="AG369" s="507"/>
      <c r="AH369" s="507"/>
      <c r="AI369" s="507">
        <v>0</v>
      </c>
      <c r="AJ369" s="507"/>
      <c r="AK369" s="507"/>
      <c r="AL369" s="507"/>
      <c r="AM369" s="507"/>
      <c r="AN369" s="507"/>
      <c r="AO369" s="507"/>
    </row>
    <row r="370" spans="1:41">
      <c r="A370" s="2" t="s">
        <v>1047</v>
      </c>
      <c r="B370" s="2" t="s">
        <v>335</v>
      </c>
      <c r="C370" s="2" t="s">
        <v>328</v>
      </c>
      <c r="D370" s="2" t="s">
        <v>30</v>
      </c>
      <c r="E370" s="2" t="s">
        <v>19</v>
      </c>
      <c r="F370" s="2" t="s">
        <v>20</v>
      </c>
      <c r="G370" s="2" t="s">
        <v>21</v>
      </c>
      <c r="H370">
        <v>1</v>
      </c>
      <c r="I370" s="2" t="s">
        <v>526</v>
      </c>
      <c r="J370" s="3">
        <v>1</v>
      </c>
      <c r="K370" s="3">
        <v>5.2488000000000001</v>
      </c>
      <c r="L370" s="507">
        <v>2351.7184357707715</v>
      </c>
      <c r="M370" s="507">
        <v>0</v>
      </c>
      <c r="N370" s="507">
        <v>2351.7184357707715</v>
      </c>
      <c r="O370" s="507">
        <v>57.486440200092474</v>
      </c>
      <c r="P370">
        <v>1</v>
      </c>
      <c r="Q370" s="2" t="s">
        <v>526</v>
      </c>
      <c r="R370" s="3">
        <v>1</v>
      </c>
      <c r="S370" s="3">
        <v>5.2488000000000001</v>
      </c>
      <c r="T370" s="507">
        <v>2351.7184357707715</v>
      </c>
      <c r="U370" s="507">
        <v>0</v>
      </c>
      <c r="V370" s="507">
        <v>2351.7184357707715</v>
      </c>
      <c r="W370" s="507">
        <v>57.486440200092474</v>
      </c>
      <c r="X370" s="507">
        <v>2409.2048759708641</v>
      </c>
      <c r="Y370" s="507">
        <v>2409.2048759708641</v>
      </c>
      <c r="Z370" s="507">
        <v>12645.434552995872</v>
      </c>
      <c r="AA370" s="507">
        <v>12645.434552995872</v>
      </c>
      <c r="AB370" s="507">
        <v>12645.434552995872</v>
      </c>
      <c r="AC370" s="507">
        <v>0</v>
      </c>
      <c r="AD370" s="507">
        <v>0</v>
      </c>
      <c r="AE370" s="507">
        <v>0</v>
      </c>
      <c r="AF370" s="507"/>
      <c r="AG370" s="507"/>
      <c r="AH370" s="507">
        <v>0</v>
      </c>
      <c r="AI370" s="507">
        <v>0</v>
      </c>
      <c r="AJ370" s="507">
        <v>0</v>
      </c>
      <c r="AK370" s="507">
        <v>0</v>
      </c>
      <c r="AL370" s="507">
        <v>0</v>
      </c>
      <c r="AM370" s="507">
        <v>0</v>
      </c>
      <c r="AN370" s="507"/>
      <c r="AO370" s="507"/>
    </row>
    <row r="371" spans="1:41">
      <c r="A371" s="2"/>
      <c r="B371" s="2"/>
      <c r="C371" s="2"/>
      <c r="D371" s="2"/>
      <c r="E371" s="2"/>
      <c r="F371" s="2"/>
      <c r="G371" s="2"/>
      <c r="I371" s="2"/>
      <c r="J371" s="3"/>
      <c r="K371" s="3"/>
      <c r="L371" s="507"/>
      <c r="M371" s="507"/>
      <c r="N371" s="507"/>
      <c r="O371" s="507"/>
      <c r="P371">
        <v>1</v>
      </c>
      <c r="Q371" s="2" t="s">
        <v>526</v>
      </c>
      <c r="R371" s="3">
        <v>1</v>
      </c>
      <c r="S371" s="3">
        <v>5.2488000000000001</v>
      </c>
      <c r="T371" s="507">
        <v>1046.9850476051474</v>
      </c>
      <c r="U371" s="507">
        <v>0</v>
      </c>
      <c r="V371" s="507">
        <v>1046.9850476051474</v>
      </c>
      <c r="W371" s="507">
        <v>25.302138650457724</v>
      </c>
      <c r="X371" s="507"/>
      <c r="Y371" s="507">
        <v>1072.2871862556051</v>
      </c>
      <c r="Z371" s="507"/>
      <c r="AA371" s="507">
        <v>5628.2209832184199</v>
      </c>
      <c r="AB371" s="507"/>
      <c r="AC371" s="507"/>
      <c r="AD371" s="507"/>
      <c r="AE371" s="507"/>
      <c r="AF371" s="507"/>
      <c r="AG371" s="507"/>
      <c r="AH371" s="507"/>
      <c r="AI371" s="507">
        <v>0</v>
      </c>
      <c r="AJ371" s="507"/>
      <c r="AK371" s="507"/>
      <c r="AL371" s="507"/>
      <c r="AM371" s="507"/>
      <c r="AN371" s="507"/>
      <c r="AO371" s="507"/>
    </row>
    <row r="372" spans="1:41">
      <c r="A372" s="2" t="s">
        <v>1048</v>
      </c>
      <c r="B372" s="2" t="s">
        <v>1049</v>
      </c>
      <c r="C372" s="2" t="s">
        <v>328</v>
      </c>
      <c r="D372" s="2" t="s">
        <v>18</v>
      </c>
      <c r="E372" s="2" t="s">
        <v>19</v>
      </c>
      <c r="F372" s="2" t="s">
        <v>20</v>
      </c>
      <c r="G372" s="2" t="s">
        <v>21</v>
      </c>
      <c r="H372">
        <v>1</v>
      </c>
      <c r="I372" s="2" t="s">
        <v>526</v>
      </c>
      <c r="J372" s="3">
        <v>1</v>
      </c>
      <c r="K372" s="3">
        <v>5.2488000000000001</v>
      </c>
      <c r="L372" s="507">
        <v>18595.978359013796</v>
      </c>
      <c r="M372" s="507">
        <v>0</v>
      </c>
      <c r="N372" s="507">
        <v>18595.978359013796</v>
      </c>
      <c r="O372" s="507">
        <v>413.24396353363994</v>
      </c>
      <c r="P372">
        <v>1</v>
      </c>
      <c r="Q372" s="2" t="s">
        <v>526</v>
      </c>
      <c r="R372" s="3">
        <v>1</v>
      </c>
      <c r="S372" s="3">
        <v>5.2488000000000001</v>
      </c>
      <c r="T372" s="507">
        <v>18595.978359013796</v>
      </c>
      <c r="U372" s="507">
        <v>0</v>
      </c>
      <c r="V372" s="507">
        <v>18595.978359013796</v>
      </c>
      <c r="W372" s="507">
        <v>413.24396353363994</v>
      </c>
      <c r="X372" s="507">
        <v>19009.222322547437</v>
      </c>
      <c r="Y372" s="507">
        <v>19009.222322547437</v>
      </c>
      <c r="Z372" s="507">
        <v>99775.606126586994</v>
      </c>
      <c r="AA372" s="507">
        <v>99775.606126586994</v>
      </c>
      <c r="AB372" s="507">
        <v>99775.606126586994</v>
      </c>
      <c r="AC372" s="507">
        <v>0</v>
      </c>
      <c r="AD372" s="507">
        <v>0</v>
      </c>
      <c r="AE372" s="507">
        <v>0</v>
      </c>
      <c r="AF372" s="507"/>
      <c r="AG372" s="507"/>
      <c r="AH372" s="507">
        <v>0</v>
      </c>
      <c r="AI372" s="507">
        <v>0</v>
      </c>
      <c r="AJ372" s="507">
        <v>0</v>
      </c>
      <c r="AK372" s="507">
        <v>0</v>
      </c>
      <c r="AL372" s="507">
        <v>0</v>
      </c>
      <c r="AM372" s="507">
        <v>0</v>
      </c>
      <c r="AN372" s="507"/>
      <c r="AO372" s="507"/>
    </row>
    <row r="373" spans="1:41">
      <c r="A373" s="2"/>
      <c r="B373" s="2"/>
      <c r="C373" s="2"/>
      <c r="D373" s="2"/>
      <c r="E373" s="2"/>
      <c r="F373" s="2"/>
      <c r="G373" s="2"/>
      <c r="I373" s="2"/>
      <c r="J373" s="3"/>
      <c r="K373" s="3"/>
      <c r="L373" s="507"/>
      <c r="M373" s="507"/>
      <c r="N373" s="507"/>
      <c r="O373" s="507"/>
      <c r="P373">
        <v>1</v>
      </c>
      <c r="Q373" s="2" t="s">
        <v>526</v>
      </c>
      <c r="R373" s="3">
        <v>1</v>
      </c>
      <c r="S373" s="3">
        <v>5.2488000000000001</v>
      </c>
      <c r="T373" s="507">
        <v>1769.4329510739283</v>
      </c>
      <c r="U373" s="507">
        <v>0</v>
      </c>
      <c r="V373" s="507">
        <v>1769.4329510739283</v>
      </c>
      <c r="W373" s="507">
        <v>42.761296317619937</v>
      </c>
      <c r="X373" s="507"/>
      <c r="Y373" s="507">
        <v>1812.1942473915483</v>
      </c>
      <c r="Z373" s="507"/>
      <c r="AA373" s="507">
        <v>9511.8451657087589</v>
      </c>
      <c r="AB373" s="507"/>
      <c r="AC373" s="507"/>
      <c r="AD373" s="507"/>
      <c r="AE373" s="507"/>
      <c r="AF373" s="507"/>
      <c r="AG373" s="507"/>
      <c r="AH373" s="507"/>
      <c r="AI373" s="507">
        <v>0</v>
      </c>
      <c r="AJ373" s="507"/>
      <c r="AK373" s="507"/>
      <c r="AL373" s="507"/>
      <c r="AM373" s="507"/>
      <c r="AN373" s="507"/>
      <c r="AO373" s="507"/>
    </row>
    <row r="374" spans="1:41">
      <c r="A374" s="2" t="s">
        <v>1050</v>
      </c>
      <c r="B374" s="2" t="s">
        <v>329</v>
      </c>
      <c r="C374" s="2" t="s">
        <v>328</v>
      </c>
      <c r="D374" s="2" t="s">
        <v>30</v>
      </c>
      <c r="E374" s="2" t="s">
        <v>19</v>
      </c>
      <c r="F374" s="2" t="s">
        <v>20</v>
      </c>
      <c r="G374" s="2" t="s">
        <v>21</v>
      </c>
      <c r="H374">
        <v>1</v>
      </c>
      <c r="I374" s="2" t="s">
        <v>526</v>
      </c>
      <c r="J374" s="3">
        <v>1</v>
      </c>
      <c r="K374" s="3">
        <v>5.2488000000000001</v>
      </c>
      <c r="L374" s="507">
        <v>8240.4213989407817</v>
      </c>
      <c r="M374" s="507">
        <v>0</v>
      </c>
      <c r="N374" s="507">
        <v>8240.4213989407817</v>
      </c>
      <c r="O374" s="507">
        <v>200.28800443502109</v>
      </c>
      <c r="P374">
        <v>1</v>
      </c>
      <c r="Q374" s="2" t="s">
        <v>526</v>
      </c>
      <c r="R374" s="3">
        <v>1</v>
      </c>
      <c r="S374" s="3">
        <v>5.2488000000000001</v>
      </c>
      <c r="T374" s="507">
        <v>8240.4213989407817</v>
      </c>
      <c r="U374" s="507">
        <v>0</v>
      </c>
      <c r="V374" s="507">
        <v>8240.4213989407817</v>
      </c>
      <c r="W374" s="507">
        <v>200.28800443502109</v>
      </c>
      <c r="X374" s="507">
        <v>8440.7094033758021</v>
      </c>
      <c r="Y374" s="507">
        <v>8440.7094033758021</v>
      </c>
      <c r="Z374" s="507">
        <v>44303.595516438909</v>
      </c>
      <c r="AA374" s="507">
        <v>44303.595516438909</v>
      </c>
      <c r="AB374" s="507">
        <v>44303.595516438909</v>
      </c>
      <c r="AC374" s="507">
        <v>0</v>
      </c>
      <c r="AD374" s="507">
        <v>0</v>
      </c>
      <c r="AE374" s="507">
        <v>0</v>
      </c>
      <c r="AF374" s="507"/>
      <c r="AG374" s="507"/>
      <c r="AH374" s="507">
        <v>0</v>
      </c>
      <c r="AI374" s="507">
        <v>0</v>
      </c>
      <c r="AJ374" s="507">
        <v>0</v>
      </c>
      <c r="AK374" s="507">
        <v>0</v>
      </c>
      <c r="AL374" s="507">
        <v>0</v>
      </c>
      <c r="AM374" s="507">
        <v>0</v>
      </c>
      <c r="AN374" s="507"/>
      <c r="AO374" s="507"/>
    </row>
    <row r="375" spans="1:41">
      <c r="A375" s="2"/>
      <c r="B375" s="2"/>
      <c r="C375" s="2"/>
      <c r="D375" s="2"/>
      <c r="E375" s="2"/>
      <c r="F375" s="2"/>
      <c r="G375" s="2"/>
      <c r="I375" s="2"/>
      <c r="J375" s="3"/>
      <c r="K375" s="3"/>
      <c r="L375" s="507"/>
      <c r="M375" s="507"/>
      <c r="N375" s="507"/>
      <c r="O375" s="507"/>
      <c r="P375">
        <v>1</v>
      </c>
      <c r="Q375" s="2" t="s">
        <v>526</v>
      </c>
      <c r="R375" s="3">
        <v>1</v>
      </c>
      <c r="S375" s="3">
        <v>5.2488000000000001</v>
      </c>
      <c r="T375" s="507">
        <v>1909.5953698458666</v>
      </c>
      <c r="U375" s="507">
        <v>0</v>
      </c>
      <c r="V375" s="507">
        <v>1909.5953698458666</v>
      </c>
      <c r="W375" s="507">
        <v>46.413797254584232</v>
      </c>
      <c r="X375" s="507"/>
      <c r="Y375" s="507">
        <v>1956.0091671004509</v>
      </c>
      <c r="Z375" s="507"/>
      <c r="AA375" s="507">
        <v>10266.700916276846</v>
      </c>
      <c r="AB375" s="507"/>
      <c r="AC375" s="507"/>
      <c r="AD375" s="507"/>
      <c r="AE375" s="507"/>
      <c r="AF375" s="507"/>
      <c r="AG375" s="507"/>
      <c r="AH375" s="507"/>
      <c r="AI375" s="507">
        <v>0</v>
      </c>
      <c r="AJ375" s="507"/>
      <c r="AK375" s="507"/>
      <c r="AL375" s="507"/>
      <c r="AM375" s="507"/>
      <c r="AN375" s="507"/>
      <c r="AO375" s="507"/>
    </row>
    <row r="376" spans="1:41">
      <c r="A376" s="2" t="s">
        <v>1051</v>
      </c>
      <c r="B376" s="2" t="s">
        <v>333</v>
      </c>
      <c r="C376" s="2" t="s">
        <v>328</v>
      </c>
      <c r="D376" s="2" t="s">
        <v>30</v>
      </c>
      <c r="E376" s="2" t="s">
        <v>19</v>
      </c>
      <c r="F376" s="2" t="s">
        <v>20</v>
      </c>
      <c r="G376" s="2" t="s">
        <v>21</v>
      </c>
      <c r="H376">
        <v>1</v>
      </c>
      <c r="I376" s="2" t="s">
        <v>526</v>
      </c>
      <c r="J376" s="3">
        <v>1</v>
      </c>
      <c r="K376" s="3">
        <v>5.2488000000000001</v>
      </c>
      <c r="L376" s="507">
        <v>2434.0285810227483</v>
      </c>
      <c r="M376" s="507">
        <v>0</v>
      </c>
      <c r="N376" s="507">
        <v>2434.0285810227483</v>
      </c>
      <c r="O376" s="507">
        <v>59.160440417042821</v>
      </c>
      <c r="P376">
        <v>1</v>
      </c>
      <c r="Q376" s="2" t="s">
        <v>526</v>
      </c>
      <c r="R376" s="3">
        <v>1</v>
      </c>
      <c r="S376" s="3">
        <v>5.2488000000000001</v>
      </c>
      <c r="T376" s="507">
        <v>2434.0285810227483</v>
      </c>
      <c r="U376" s="507">
        <v>0</v>
      </c>
      <c r="V376" s="507">
        <v>2434.0285810227483</v>
      </c>
      <c r="W376" s="507">
        <v>59.160440417042821</v>
      </c>
      <c r="X376" s="507">
        <v>2493.1890214397913</v>
      </c>
      <c r="Y376" s="507">
        <v>2493.1890214397913</v>
      </c>
      <c r="Z376" s="507">
        <v>13086.250535733177</v>
      </c>
      <c r="AA376" s="507">
        <v>13086.250535733177</v>
      </c>
      <c r="AB376" s="507">
        <v>13086.250535733177</v>
      </c>
      <c r="AC376" s="507">
        <v>0</v>
      </c>
      <c r="AD376" s="507">
        <v>0</v>
      </c>
      <c r="AE376" s="507">
        <v>0</v>
      </c>
      <c r="AF376" s="507"/>
      <c r="AG376" s="507"/>
      <c r="AH376" s="507">
        <v>0</v>
      </c>
      <c r="AI376" s="507">
        <v>0</v>
      </c>
      <c r="AJ376" s="507">
        <v>0</v>
      </c>
      <c r="AK376" s="507">
        <v>0</v>
      </c>
      <c r="AL376" s="507">
        <v>0</v>
      </c>
      <c r="AM376" s="507">
        <v>0</v>
      </c>
      <c r="AN376" s="507"/>
      <c r="AO376" s="507"/>
    </row>
    <row r="377" spans="1:41">
      <c r="A377" s="2"/>
      <c r="B377" s="2"/>
      <c r="C377" s="2"/>
      <c r="D377" s="2"/>
      <c r="E377" s="2"/>
      <c r="F377" s="2"/>
      <c r="G377" s="2"/>
      <c r="I377" s="2"/>
      <c r="J377" s="3"/>
      <c r="K377" s="3"/>
      <c r="L377" s="507"/>
      <c r="M377" s="507"/>
      <c r="N377" s="507"/>
      <c r="O377" s="507"/>
      <c r="P377">
        <v>1</v>
      </c>
      <c r="Q377" s="2" t="s">
        <v>526</v>
      </c>
      <c r="R377" s="3">
        <v>1</v>
      </c>
      <c r="S377" s="3">
        <v>5.2488000000000001</v>
      </c>
      <c r="T377" s="507">
        <v>956.44388782797273</v>
      </c>
      <c r="U377" s="507">
        <v>0</v>
      </c>
      <c r="V377" s="507">
        <v>956.44388782797273</v>
      </c>
      <c r="W377" s="507">
        <v>22.715530577322177</v>
      </c>
      <c r="X377" s="507"/>
      <c r="Y377" s="507">
        <v>979.1594184052949</v>
      </c>
      <c r="Z377" s="507"/>
      <c r="AA377" s="507">
        <v>5139.4119553257124</v>
      </c>
      <c r="AB377" s="507"/>
      <c r="AC377" s="507"/>
      <c r="AD377" s="507"/>
      <c r="AE377" s="507"/>
      <c r="AF377" s="507"/>
      <c r="AG377" s="507"/>
      <c r="AH377" s="507"/>
      <c r="AI377" s="507">
        <v>0</v>
      </c>
      <c r="AJ377" s="507"/>
      <c r="AK377" s="507"/>
      <c r="AL377" s="507"/>
      <c r="AM377" s="507"/>
      <c r="AN377" s="507"/>
      <c r="AO377" s="507"/>
    </row>
    <row r="378" spans="1:41">
      <c r="A378" s="2" t="s">
        <v>1052</v>
      </c>
      <c r="B378" s="2" t="s">
        <v>334</v>
      </c>
      <c r="C378" s="2" t="s">
        <v>328</v>
      </c>
      <c r="D378" s="2" t="s">
        <v>30</v>
      </c>
      <c r="E378" s="2" t="s">
        <v>19</v>
      </c>
      <c r="F378" s="2" t="s">
        <v>20</v>
      </c>
      <c r="G378" s="2" t="s">
        <v>21</v>
      </c>
      <c r="H378">
        <v>1</v>
      </c>
      <c r="I378" s="2" t="s">
        <v>526</v>
      </c>
      <c r="J378" s="3">
        <v>1</v>
      </c>
      <c r="K378" s="3">
        <v>5.2488000000000001</v>
      </c>
      <c r="L378" s="507">
        <v>4910.3880938893708</v>
      </c>
      <c r="M378" s="507">
        <v>0</v>
      </c>
      <c r="N378" s="507">
        <v>4910.3880938893708</v>
      </c>
      <c r="O378" s="507">
        <v>119.34971061536666</v>
      </c>
      <c r="P378">
        <v>1</v>
      </c>
      <c r="Q378" s="2" t="s">
        <v>526</v>
      </c>
      <c r="R378" s="3">
        <v>1</v>
      </c>
      <c r="S378" s="3">
        <v>5.2488000000000001</v>
      </c>
      <c r="T378" s="507">
        <v>4910.3880938893708</v>
      </c>
      <c r="U378" s="507">
        <v>0</v>
      </c>
      <c r="V378" s="507">
        <v>4910.3880938893708</v>
      </c>
      <c r="W378" s="507">
        <v>119.34971061536666</v>
      </c>
      <c r="X378" s="507">
        <v>5029.7378045047371</v>
      </c>
      <c r="Y378" s="507">
        <v>5029.7378045047371</v>
      </c>
      <c r="Z378" s="507">
        <v>26400.087788284465</v>
      </c>
      <c r="AA378" s="507">
        <v>26400.087788284465</v>
      </c>
      <c r="AB378" s="507">
        <v>26400.087788284465</v>
      </c>
      <c r="AC378" s="507">
        <v>0</v>
      </c>
      <c r="AD378" s="507">
        <v>0</v>
      </c>
      <c r="AE378" s="507">
        <v>0</v>
      </c>
      <c r="AF378" s="507"/>
      <c r="AG378" s="507"/>
      <c r="AH378" s="507">
        <v>0</v>
      </c>
      <c r="AI378" s="507">
        <v>0</v>
      </c>
      <c r="AJ378" s="507">
        <v>0</v>
      </c>
      <c r="AK378" s="507">
        <v>0</v>
      </c>
      <c r="AL378" s="507">
        <v>0</v>
      </c>
      <c r="AM378" s="507">
        <v>0</v>
      </c>
      <c r="AN378" s="507"/>
      <c r="AO378" s="507"/>
    </row>
    <row r="379" spans="1:41">
      <c r="A379" s="2"/>
      <c r="B379" s="2"/>
      <c r="C379" s="2"/>
      <c r="D379" s="2"/>
      <c r="E379" s="2"/>
      <c r="F379" s="2"/>
      <c r="G379" s="2"/>
      <c r="I379" s="2"/>
      <c r="J379" s="3"/>
      <c r="K379" s="3"/>
      <c r="L379" s="507"/>
      <c r="M379" s="507"/>
      <c r="N379" s="507"/>
      <c r="O379" s="507"/>
      <c r="P379">
        <v>1</v>
      </c>
      <c r="Q379" s="2" t="s">
        <v>526</v>
      </c>
      <c r="R379" s="3">
        <v>1</v>
      </c>
      <c r="S379" s="3">
        <v>5.2488000000000001</v>
      </c>
      <c r="T379" s="507">
        <v>1442.0737448146369</v>
      </c>
      <c r="U379" s="507">
        <v>0</v>
      </c>
      <c r="V379" s="507">
        <v>1442.0737448146369</v>
      </c>
      <c r="W379" s="507">
        <v>34.249251439347624</v>
      </c>
      <c r="X379" s="507"/>
      <c r="Y379" s="507">
        <v>1476.3229962539845</v>
      </c>
      <c r="Z379" s="507"/>
      <c r="AA379" s="507">
        <v>7748.9241427379138</v>
      </c>
      <c r="AB379" s="507"/>
      <c r="AC379" s="507"/>
      <c r="AD379" s="507"/>
      <c r="AE379" s="507"/>
      <c r="AF379" s="507"/>
      <c r="AG379" s="507"/>
      <c r="AH379" s="507"/>
      <c r="AI379" s="507">
        <v>0</v>
      </c>
      <c r="AJ379" s="507"/>
      <c r="AK379" s="507"/>
      <c r="AL379" s="507"/>
      <c r="AM379" s="507"/>
      <c r="AN379" s="507"/>
      <c r="AO379" s="507"/>
    </row>
    <row r="380" spans="1:41">
      <c r="A380" s="2" t="s">
        <v>1053</v>
      </c>
      <c r="B380" s="2" t="s">
        <v>331</v>
      </c>
      <c r="C380" s="2" t="s">
        <v>328</v>
      </c>
      <c r="D380" s="2" t="s">
        <v>18</v>
      </c>
      <c r="E380" s="2" t="s">
        <v>19</v>
      </c>
      <c r="F380" s="2" t="s">
        <v>20</v>
      </c>
      <c r="G380" s="2" t="s">
        <v>21</v>
      </c>
      <c r="H380">
        <v>1</v>
      </c>
      <c r="I380" s="2" t="s">
        <v>526</v>
      </c>
      <c r="J380" s="3">
        <v>1</v>
      </c>
      <c r="K380" s="3">
        <v>5.2488000000000001</v>
      </c>
      <c r="L380" s="507">
        <v>9905.4380514664899</v>
      </c>
      <c r="M380" s="507">
        <v>0</v>
      </c>
      <c r="N380" s="507">
        <v>9905.4380514664899</v>
      </c>
      <c r="O380" s="507">
        <v>203.6117821690334</v>
      </c>
      <c r="P380">
        <v>1</v>
      </c>
      <c r="Q380" s="2" t="s">
        <v>526</v>
      </c>
      <c r="R380" s="3">
        <v>1</v>
      </c>
      <c r="S380" s="3">
        <v>5.2488000000000001</v>
      </c>
      <c r="T380" s="507">
        <v>9905.4380514664899</v>
      </c>
      <c r="U380" s="507">
        <v>0</v>
      </c>
      <c r="V380" s="507">
        <v>9905.4380514664899</v>
      </c>
      <c r="W380" s="507">
        <v>203.6117821690334</v>
      </c>
      <c r="X380" s="507">
        <v>10109.049833635523</v>
      </c>
      <c r="Y380" s="507">
        <v>10109.049833635523</v>
      </c>
      <c r="Z380" s="507">
        <v>53060.380766786133</v>
      </c>
      <c r="AA380" s="507">
        <v>53060.380766786133</v>
      </c>
      <c r="AB380" s="507">
        <v>53060.380766786133</v>
      </c>
      <c r="AC380" s="507">
        <v>0</v>
      </c>
      <c r="AD380" s="507">
        <v>0</v>
      </c>
      <c r="AE380" s="507">
        <v>0</v>
      </c>
      <c r="AF380" s="507"/>
      <c r="AG380" s="507"/>
      <c r="AH380" s="507">
        <v>0</v>
      </c>
      <c r="AI380" s="507">
        <v>0</v>
      </c>
      <c r="AJ380" s="507">
        <v>0</v>
      </c>
      <c r="AK380" s="507">
        <v>0</v>
      </c>
      <c r="AL380" s="507">
        <v>0</v>
      </c>
      <c r="AM380" s="507">
        <v>0</v>
      </c>
      <c r="AN380" s="507"/>
      <c r="AO380" s="507"/>
    </row>
    <row r="381" spans="1:41">
      <c r="A381" s="2"/>
      <c r="B381" s="2"/>
      <c r="C381" s="2"/>
      <c r="D381" s="2"/>
      <c r="E381" s="2"/>
      <c r="F381" s="2"/>
      <c r="G381" s="2"/>
      <c r="I381" s="2"/>
      <c r="J381" s="3"/>
      <c r="K381" s="3"/>
      <c r="L381" s="507"/>
      <c r="M381" s="507"/>
      <c r="N381" s="507"/>
      <c r="O381" s="507"/>
      <c r="P381">
        <v>1</v>
      </c>
      <c r="Q381" s="2" t="s">
        <v>526</v>
      </c>
      <c r="R381" s="3">
        <v>1</v>
      </c>
      <c r="S381" s="3">
        <v>5.2488000000000001</v>
      </c>
      <c r="T381" s="507">
        <v>1354.5898190039643</v>
      </c>
      <c r="U381" s="507">
        <v>0</v>
      </c>
      <c r="V381" s="507">
        <v>1354.5898190039643</v>
      </c>
      <c r="W381" s="507">
        <v>32.171508201344153</v>
      </c>
      <c r="X381" s="507"/>
      <c r="Y381" s="507">
        <v>1386.7613272053084</v>
      </c>
      <c r="Z381" s="507"/>
      <c r="AA381" s="507">
        <v>7278.8328542352228</v>
      </c>
      <c r="AB381" s="507"/>
      <c r="AC381" s="507"/>
      <c r="AD381" s="507"/>
      <c r="AE381" s="507"/>
      <c r="AF381" s="507"/>
      <c r="AG381" s="507"/>
      <c r="AH381" s="507"/>
      <c r="AI381" s="507">
        <v>0</v>
      </c>
      <c r="AJ381" s="507"/>
      <c r="AK381" s="507"/>
      <c r="AL381" s="507"/>
      <c r="AM381" s="507"/>
      <c r="AN381" s="507"/>
      <c r="AO381" s="507"/>
    </row>
    <row r="382" spans="1:41">
      <c r="A382" s="2" t="s">
        <v>1054</v>
      </c>
      <c r="B382" s="2" t="s">
        <v>333</v>
      </c>
      <c r="C382" s="2" t="s">
        <v>328</v>
      </c>
      <c r="D382" s="2" t="s">
        <v>30</v>
      </c>
      <c r="E382" s="2" t="s">
        <v>19</v>
      </c>
      <c r="F382" s="2" t="s">
        <v>20</v>
      </c>
      <c r="G382" s="2" t="s">
        <v>21</v>
      </c>
      <c r="H382">
        <v>1</v>
      </c>
      <c r="I382" s="2" t="s">
        <v>526</v>
      </c>
      <c r="J382" s="3">
        <v>1</v>
      </c>
      <c r="K382" s="3">
        <v>5.2488000000000001</v>
      </c>
      <c r="L382" s="507">
        <v>1053.5698592253057</v>
      </c>
      <c r="M382" s="507">
        <v>0</v>
      </c>
      <c r="N382" s="507">
        <v>1053.5698592253057</v>
      </c>
      <c r="O382" s="507">
        <v>21.656692868800739</v>
      </c>
      <c r="P382">
        <v>1</v>
      </c>
      <c r="Q382" s="2" t="s">
        <v>526</v>
      </c>
      <c r="R382" s="3">
        <v>1</v>
      </c>
      <c r="S382" s="3">
        <v>5.2488000000000001</v>
      </c>
      <c r="T382" s="507">
        <v>1053.5698592253057</v>
      </c>
      <c r="U382" s="507">
        <v>0</v>
      </c>
      <c r="V382" s="507">
        <v>1053.5698592253057</v>
      </c>
      <c r="W382" s="507">
        <v>21.656692868800739</v>
      </c>
      <c r="X382" s="507">
        <v>1075.2265520941064</v>
      </c>
      <c r="Y382" s="507">
        <v>1075.2265520941064</v>
      </c>
      <c r="Z382" s="507">
        <v>5643.6491266315461</v>
      </c>
      <c r="AA382" s="507">
        <v>5643.6491266315461</v>
      </c>
      <c r="AB382" s="507">
        <v>5643.6491266315461</v>
      </c>
      <c r="AC382" s="507">
        <v>0</v>
      </c>
      <c r="AD382" s="507">
        <v>0</v>
      </c>
      <c r="AE382" s="507">
        <v>0</v>
      </c>
      <c r="AF382" s="507"/>
      <c r="AG382" s="507"/>
      <c r="AH382" s="507">
        <v>0</v>
      </c>
      <c r="AI382" s="507">
        <v>0</v>
      </c>
      <c r="AJ382" s="507">
        <v>0</v>
      </c>
      <c r="AK382" s="507">
        <v>0</v>
      </c>
      <c r="AL382" s="507">
        <v>0</v>
      </c>
      <c r="AM382" s="507">
        <v>0</v>
      </c>
      <c r="AN382" s="507"/>
      <c r="AO382" s="507"/>
    </row>
    <row r="383" spans="1:41">
      <c r="A383" s="2"/>
      <c r="B383" s="2"/>
      <c r="C383" s="2"/>
      <c r="D383" s="2"/>
      <c r="E383" s="2"/>
      <c r="F383" s="2"/>
      <c r="G383" s="2"/>
      <c r="I383" s="2"/>
      <c r="J383" s="3"/>
      <c r="K383" s="3"/>
      <c r="L383" s="507"/>
      <c r="M383" s="507"/>
      <c r="N383" s="507"/>
      <c r="O383" s="507"/>
      <c r="P383">
        <v>1</v>
      </c>
      <c r="Q383" s="2" t="s">
        <v>526</v>
      </c>
      <c r="R383" s="3">
        <v>1</v>
      </c>
      <c r="S383" s="3">
        <v>5.2488000000000001</v>
      </c>
      <c r="T383" s="507">
        <v>1046.9850476051474</v>
      </c>
      <c r="U383" s="507">
        <v>0</v>
      </c>
      <c r="V383" s="507">
        <v>1046.9850476051474</v>
      </c>
      <c r="W383" s="507">
        <v>24.86589488062225</v>
      </c>
      <c r="X383" s="507"/>
      <c r="Y383" s="507">
        <v>1071.8509424857698</v>
      </c>
      <c r="Z383" s="507"/>
      <c r="AA383" s="507">
        <v>5625.9312269193088</v>
      </c>
      <c r="AB383" s="507"/>
      <c r="AC383" s="507"/>
      <c r="AD383" s="507"/>
      <c r="AE383" s="507"/>
      <c r="AF383" s="507"/>
      <c r="AG383" s="507"/>
      <c r="AH383" s="507"/>
      <c r="AI383" s="507">
        <v>0</v>
      </c>
      <c r="AJ383" s="507"/>
      <c r="AK383" s="507"/>
      <c r="AL383" s="507"/>
      <c r="AM383" s="507"/>
      <c r="AN383" s="507"/>
      <c r="AO383" s="507"/>
    </row>
    <row r="384" spans="1:41">
      <c r="A384" s="2" t="s">
        <v>1055</v>
      </c>
      <c r="B384" s="2" t="s">
        <v>331</v>
      </c>
      <c r="C384" s="2" t="s">
        <v>328</v>
      </c>
      <c r="D384" s="2" t="s">
        <v>18</v>
      </c>
      <c r="E384" s="2" t="s">
        <v>19</v>
      </c>
      <c r="F384" s="2" t="s">
        <v>20</v>
      </c>
      <c r="G384" s="2" t="s">
        <v>21</v>
      </c>
      <c r="H384">
        <v>1</v>
      </c>
      <c r="I384" s="2" t="s">
        <v>526</v>
      </c>
      <c r="J384" s="3">
        <v>1</v>
      </c>
      <c r="K384" s="3">
        <v>5.2488000000000001</v>
      </c>
      <c r="L384" s="507">
        <v>4360.0859799190093</v>
      </c>
      <c r="M384" s="507">
        <v>0</v>
      </c>
      <c r="N384" s="507">
        <v>4360.0859799190093</v>
      </c>
      <c r="O384" s="507">
        <v>93.86296206770092</v>
      </c>
      <c r="P384">
        <v>1</v>
      </c>
      <c r="Q384" s="2" t="s">
        <v>526</v>
      </c>
      <c r="R384" s="3">
        <v>1</v>
      </c>
      <c r="S384" s="3">
        <v>5.2488000000000001</v>
      </c>
      <c r="T384" s="507">
        <v>4360.0859799190093</v>
      </c>
      <c r="U384" s="507">
        <v>0</v>
      </c>
      <c r="V384" s="507">
        <v>4360.0859799190093</v>
      </c>
      <c r="W384" s="507">
        <v>93.86296206770092</v>
      </c>
      <c r="X384" s="507">
        <v>4453.9489419867105</v>
      </c>
      <c r="Y384" s="507">
        <v>4453.9489419867105</v>
      </c>
      <c r="Z384" s="507">
        <v>23377.887206699845</v>
      </c>
      <c r="AA384" s="507">
        <v>23377.887206699845</v>
      </c>
      <c r="AB384" s="507">
        <v>23377.887206699845</v>
      </c>
      <c r="AC384" s="507">
        <v>0</v>
      </c>
      <c r="AD384" s="507">
        <v>0</v>
      </c>
      <c r="AE384" s="507">
        <v>0</v>
      </c>
      <c r="AF384" s="507"/>
      <c r="AG384" s="507"/>
      <c r="AH384" s="507">
        <v>0</v>
      </c>
      <c r="AI384" s="507">
        <v>0</v>
      </c>
      <c r="AJ384" s="507">
        <v>0</v>
      </c>
      <c r="AK384" s="507">
        <v>0</v>
      </c>
      <c r="AL384" s="507">
        <v>0</v>
      </c>
      <c r="AM384" s="507">
        <v>0</v>
      </c>
      <c r="AN384" s="507"/>
      <c r="AO384" s="507"/>
    </row>
    <row r="385" spans="1:41">
      <c r="A385" s="2"/>
      <c r="B385" s="2"/>
      <c r="C385" s="2"/>
      <c r="D385" s="2"/>
      <c r="E385" s="2"/>
      <c r="F385" s="2"/>
      <c r="G385" s="2"/>
      <c r="I385" s="2"/>
      <c r="J385" s="3"/>
      <c r="K385" s="3"/>
      <c r="L385" s="507"/>
      <c r="M385" s="507"/>
      <c r="N385" s="507"/>
      <c r="O385" s="507"/>
      <c r="P385">
        <v>1</v>
      </c>
      <c r="Q385" s="2" t="s">
        <v>526</v>
      </c>
      <c r="R385" s="3">
        <v>1</v>
      </c>
      <c r="S385" s="3">
        <v>5.2488000000000001</v>
      </c>
      <c r="T385" s="507">
        <v>1053.5698592253057</v>
      </c>
      <c r="U385" s="507">
        <v>0</v>
      </c>
      <c r="V385" s="507">
        <v>1053.5698592253057</v>
      </c>
      <c r="W385" s="507">
        <v>24.436988472306378</v>
      </c>
      <c r="X385" s="507"/>
      <c r="Y385" s="507">
        <v>1078.0068476976121</v>
      </c>
      <c r="Z385" s="507"/>
      <c r="AA385" s="507">
        <v>5658.2423421952262</v>
      </c>
      <c r="AB385" s="507"/>
      <c r="AC385" s="507"/>
      <c r="AD385" s="507"/>
      <c r="AE385" s="507"/>
      <c r="AF385" s="507"/>
      <c r="AG385" s="507"/>
      <c r="AH385" s="507"/>
      <c r="AI385" s="507">
        <v>0</v>
      </c>
      <c r="AJ385" s="507"/>
      <c r="AK385" s="507"/>
      <c r="AL385" s="507"/>
      <c r="AM385" s="507"/>
      <c r="AN385" s="507"/>
      <c r="AO385" s="507"/>
    </row>
    <row r="386" spans="1:41">
      <c r="A386" s="2" t="s">
        <v>1056</v>
      </c>
      <c r="B386" s="2" t="s">
        <v>330</v>
      </c>
      <c r="C386" s="2" t="s">
        <v>328</v>
      </c>
      <c r="D386" s="2" t="s">
        <v>30</v>
      </c>
      <c r="E386" s="2" t="s">
        <v>19</v>
      </c>
      <c r="F386" s="2" t="s">
        <v>20</v>
      </c>
      <c r="G386" s="2" t="s">
        <v>21</v>
      </c>
      <c r="H386">
        <v>1</v>
      </c>
      <c r="I386" s="2" t="s">
        <v>526</v>
      </c>
      <c r="J386" s="3">
        <v>1</v>
      </c>
      <c r="K386" s="3">
        <v>5.2488000000000001</v>
      </c>
      <c r="L386" s="507">
        <v>3748.0600822417441</v>
      </c>
      <c r="M386" s="507">
        <v>0</v>
      </c>
      <c r="N386" s="507">
        <v>3748.0600822417441</v>
      </c>
      <c r="O386" s="507">
        <v>80.687425063093286</v>
      </c>
      <c r="P386">
        <v>1</v>
      </c>
      <c r="Q386" s="2" t="s">
        <v>526</v>
      </c>
      <c r="R386" s="3">
        <v>1</v>
      </c>
      <c r="S386" s="3">
        <v>5.2488000000000001</v>
      </c>
      <c r="T386" s="507">
        <v>3748.0600822417441</v>
      </c>
      <c r="U386" s="507">
        <v>0</v>
      </c>
      <c r="V386" s="507">
        <v>3748.0600822417441</v>
      </c>
      <c r="W386" s="507">
        <v>80.687425063093286</v>
      </c>
      <c r="X386" s="507">
        <v>3828.7475073048372</v>
      </c>
      <c r="Y386" s="507">
        <v>3828.7475073048372</v>
      </c>
      <c r="Z386" s="507">
        <v>20096.32991634163</v>
      </c>
      <c r="AA386" s="507">
        <v>20096.32991634163</v>
      </c>
      <c r="AB386" s="507">
        <v>20096.32991634163</v>
      </c>
      <c r="AC386" s="507">
        <v>0</v>
      </c>
      <c r="AD386" s="507">
        <v>0</v>
      </c>
      <c r="AE386" s="507">
        <v>0</v>
      </c>
      <c r="AF386" s="507"/>
      <c r="AG386" s="507"/>
      <c r="AH386" s="507">
        <v>0</v>
      </c>
      <c r="AI386" s="507">
        <v>0</v>
      </c>
      <c r="AJ386" s="507">
        <v>0</v>
      </c>
      <c r="AK386" s="507">
        <v>0</v>
      </c>
      <c r="AL386" s="507">
        <v>0</v>
      </c>
      <c r="AM386" s="507">
        <v>0</v>
      </c>
      <c r="AN386" s="507"/>
      <c r="AO386" s="507"/>
    </row>
    <row r="387" spans="1:41">
      <c r="A387" s="2"/>
      <c r="B387" s="2"/>
      <c r="C387" s="2"/>
      <c r="D387" s="2"/>
      <c r="E387" s="2"/>
      <c r="F387" s="2"/>
      <c r="G387" s="2"/>
      <c r="I387" s="2"/>
      <c r="J387" s="3"/>
      <c r="K387" s="3"/>
      <c r="L387" s="507"/>
      <c r="M387" s="507"/>
      <c r="N387" s="507"/>
      <c r="O387" s="507"/>
      <c r="P387">
        <v>1</v>
      </c>
      <c r="Q387" s="2" t="s">
        <v>526</v>
      </c>
      <c r="R387" s="3">
        <v>1</v>
      </c>
      <c r="S387" s="3">
        <v>5.2488000000000001</v>
      </c>
      <c r="T387" s="507">
        <v>1505.0997988932936</v>
      </c>
      <c r="U387" s="507">
        <v>0</v>
      </c>
      <c r="V387" s="507">
        <v>1505.0997988932936</v>
      </c>
      <c r="W387" s="507">
        <v>33.655724740527802</v>
      </c>
      <c r="X387" s="507"/>
      <c r="Y387" s="507">
        <v>1538.7555236338214</v>
      </c>
      <c r="Z387" s="507"/>
      <c r="AA387" s="507">
        <v>8076.6199924492021</v>
      </c>
      <c r="AB387" s="507"/>
      <c r="AC387" s="507"/>
      <c r="AD387" s="507"/>
      <c r="AE387" s="507"/>
      <c r="AF387" s="507"/>
      <c r="AG387" s="507"/>
      <c r="AH387" s="507"/>
      <c r="AI387" s="507">
        <v>0</v>
      </c>
      <c r="AJ387" s="507"/>
      <c r="AK387" s="507"/>
      <c r="AL387" s="507"/>
      <c r="AM387" s="507"/>
      <c r="AN387" s="507"/>
      <c r="AO387" s="507"/>
    </row>
    <row r="388" spans="1:41">
      <c r="A388" s="2" t="s">
        <v>1057</v>
      </c>
      <c r="B388" s="2" t="s">
        <v>334</v>
      </c>
      <c r="C388" s="2" t="s">
        <v>328</v>
      </c>
      <c r="D388" s="2" t="s">
        <v>30</v>
      </c>
      <c r="E388" s="2" t="s">
        <v>19</v>
      </c>
      <c r="F388" s="2" t="s">
        <v>20</v>
      </c>
      <c r="G388" s="2" t="s">
        <v>21</v>
      </c>
      <c r="H388">
        <v>1</v>
      </c>
      <c r="I388" s="2" t="s">
        <v>526</v>
      </c>
      <c r="J388" s="3">
        <v>1</v>
      </c>
      <c r="K388" s="3">
        <v>5.2488000000000001</v>
      </c>
      <c r="L388" s="507">
        <v>4952.719025733245</v>
      </c>
      <c r="M388" s="507">
        <v>0</v>
      </c>
      <c r="N388" s="507">
        <v>4952.719025733245</v>
      </c>
      <c r="O388" s="507">
        <v>118.31495450362749</v>
      </c>
      <c r="P388">
        <v>1</v>
      </c>
      <c r="Q388" s="2" t="s">
        <v>526</v>
      </c>
      <c r="R388" s="3">
        <v>1</v>
      </c>
      <c r="S388" s="3">
        <v>5.2488000000000001</v>
      </c>
      <c r="T388" s="507">
        <v>4952.719025733245</v>
      </c>
      <c r="U388" s="507">
        <v>0</v>
      </c>
      <c r="V388" s="507">
        <v>4952.719025733245</v>
      </c>
      <c r="W388" s="507">
        <v>118.31495450362749</v>
      </c>
      <c r="X388" s="507">
        <v>5071.0339802368726</v>
      </c>
      <c r="Y388" s="507">
        <v>5071.0339802368726</v>
      </c>
      <c r="Z388" s="507">
        <v>26616.843155467297</v>
      </c>
      <c r="AA388" s="507">
        <v>26616.843155467297</v>
      </c>
      <c r="AB388" s="507">
        <v>26616.843155467297</v>
      </c>
      <c r="AC388" s="507">
        <v>0</v>
      </c>
      <c r="AD388" s="507">
        <v>0</v>
      </c>
      <c r="AE388" s="507">
        <v>0</v>
      </c>
      <c r="AF388" s="507"/>
      <c r="AG388" s="507"/>
      <c r="AH388" s="507">
        <v>0</v>
      </c>
      <c r="AI388" s="507">
        <v>0</v>
      </c>
      <c r="AJ388" s="507">
        <v>0</v>
      </c>
      <c r="AK388" s="507">
        <v>0</v>
      </c>
      <c r="AL388" s="507">
        <v>0</v>
      </c>
      <c r="AM388" s="507">
        <v>0</v>
      </c>
      <c r="AN388" s="507"/>
      <c r="AO388" s="507"/>
    </row>
    <row r="389" spans="1:41">
      <c r="A389" s="2" t="s">
        <v>1058</v>
      </c>
      <c r="B389" s="2" t="s">
        <v>329</v>
      </c>
      <c r="C389" s="2" t="s">
        <v>328</v>
      </c>
      <c r="D389" s="2" t="s">
        <v>30</v>
      </c>
      <c r="E389" s="2" t="s">
        <v>19</v>
      </c>
      <c r="F389" s="2" t="s">
        <v>20</v>
      </c>
      <c r="G389" s="2" t="s">
        <v>21</v>
      </c>
      <c r="H389">
        <v>1</v>
      </c>
      <c r="I389" s="2" t="s">
        <v>526</v>
      </c>
      <c r="J389" s="3">
        <v>1</v>
      </c>
      <c r="K389" s="3">
        <v>5.2488000000000001</v>
      </c>
      <c r="L389" s="507">
        <v>1712.0510212411218</v>
      </c>
      <c r="M389" s="507">
        <v>0</v>
      </c>
      <c r="N389" s="507">
        <v>1712.0510212411218</v>
      </c>
      <c r="O389" s="507">
        <v>40.899017522701776</v>
      </c>
      <c r="P389">
        <v>1</v>
      </c>
      <c r="Q389" s="2" t="s">
        <v>526</v>
      </c>
      <c r="R389" s="3">
        <v>1</v>
      </c>
      <c r="S389" s="3">
        <v>5.2488000000000001</v>
      </c>
      <c r="T389" s="507">
        <v>1712.0510212411218</v>
      </c>
      <c r="U389" s="507">
        <v>0</v>
      </c>
      <c r="V389" s="507">
        <v>1712.0510212411218</v>
      </c>
      <c r="W389" s="507">
        <v>40.899017522701776</v>
      </c>
      <c r="X389" s="507">
        <v>1752.9500387638236</v>
      </c>
      <c r="Y389" s="507">
        <v>1752.9500387638236</v>
      </c>
      <c r="Z389" s="507">
        <v>9200.8841634635573</v>
      </c>
      <c r="AA389" s="507">
        <v>9200.8841634635573</v>
      </c>
      <c r="AB389" s="507">
        <v>9200.8841634635573</v>
      </c>
      <c r="AC389" s="507">
        <v>0</v>
      </c>
      <c r="AD389" s="507">
        <v>0</v>
      </c>
      <c r="AE389" s="507">
        <v>0</v>
      </c>
      <c r="AF389" s="507"/>
      <c r="AG389" s="507"/>
      <c r="AH389" s="507">
        <v>0</v>
      </c>
      <c r="AI389" s="507">
        <v>0</v>
      </c>
      <c r="AJ389" s="507">
        <v>0</v>
      </c>
      <c r="AK389" s="507">
        <v>0</v>
      </c>
      <c r="AL389" s="507">
        <v>0</v>
      </c>
      <c r="AM389" s="507">
        <v>0</v>
      </c>
      <c r="AN389" s="507"/>
      <c r="AO389" s="507"/>
    </row>
    <row r="390" spans="1:41">
      <c r="A390" s="2"/>
      <c r="B390" s="2"/>
      <c r="C390" s="2"/>
      <c r="D390" s="2"/>
      <c r="E390" s="2"/>
      <c r="F390" s="2"/>
      <c r="G390" s="2"/>
      <c r="I390" s="2"/>
      <c r="J390" s="3"/>
      <c r="K390" s="3"/>
      <c r="L390" s="507"/>
      <c r="M390" s="507"/>
      <c r="N390" s="507"/>
      <c r="O390" s="507"/>
      <c r="P390">
        <v>1</v>
      </c>
      <c r="Q390" s="2" t="s">
        <v>526</v>
      </c>
      <c r="R390" s="3">
        <v>1</v>
      </c>
      <c r="S390" s="3">
        <v>5.2488000000000001</v>
      </c>
      <c r="T390" s="507">
        <v>940.68737430830856</v>
      </c>
      <c r="U390" s="507">
        <v>0</v>
      </c>
      <c r="V390" s="507">
        <v>940.68737430830856</v>
      </c>
      <c r="W390" s="507">
        <v>21.034804445645516</v>
      </c>
      <c r="X390" s="507"/>
      <c r="Y390" s="507">
        <v>961.72217875395404</v>
      </c>
      <c r="Z390" s="507"/>
      <c r="AA390" s="507">
        <v>5047.8873718437544</v>
      </c>
      <c r="AB390" s="507"/>
      <c r="AC390" s="507"/>
      <c r="AD390" s="507"/>
      <c r="AE390" s="507"/>
      <c r="AF390" s="507"/>
      <c r="AG390" s="507"/>
      <c r="AH390" s="507"/>
      <c r="AI390" s="507">
        <v>0</v>
      </c>
      <c r="AJ390" s="507"/>
      <c r="AK390" s="507"/>
      <c r="AL390" s="507"/>
      <c r="AM390" s="507"/>
      <c r="AN390" s="507"/>
      <c r="AO390" s="507"/>
    </row>
    <row r="391" spans="1:41">
      <c r="A391" s="2" t="s">
        <v>1059</v>
      </c>
      <c r="B391" s="2" t="s">
        <v>1060</v>
      </c>
      <c r="C391" s="2" t="s">
        <v>328</v>
      </c>
      <c r="D391" s="2" t="s">
        <v>18</v>
      </c>
      <c r="E391" s="2" t="s">
        <v>19</v>
      </c>
      <c r="F391" s="2" t="s">
        <v>20</v>
      </c>
      <c r="G391" s="2" t="s">
        <v>21</v>
      </c>
      <c r="H391">
        <v>1</v>
      </c>
      <c r="I391" s="2" t="s">
        <v>526</v>
      </c>
      <c r="J391" s="3">
        <v>1</v>
      </c>
      <c r="K391" s="3">
        <v>5.2488000000000001</v>
      </c>
      <c r="L391" s="507">
        <v>5574.2951406801967</v>
      </c>
      <c r="M391" s="507">
        <v>0</v>
      </c>
      <c r="N391" s="507">
        <v>5574.2951406801967</v>
      </c>
      <c r="O391" s="507">
        <v>124.64742673562745</v>
      </c>
      <c r="P391">
        <v>1</v>
      </c>
      <c r="Q391" s="2" t="s">
        <v>526</v>
      </c>
      <c r="R391" s="3">
        <v>1</v>
      </c>
      <c r="S391" s="3">
        <v>5.2488000000000001</v>
      </c>
      <c r="T391" s="507">
        <v>5574.2951406801967</v>
      </c>
      <c r="U391" s="507">
        <v>0</v>
      </c>
      <c r="V391" s="507">
        <v>5574.2951406801967</v>
      </c>
      <c r="W391" s="507">
        <v>124.64742673562745</v>
      </c>
      <c r="X391" s="507">
        <v>5698.9425674158238</v>
      </c>
      <c r="Y391" s="507">
        <v>5698.9425674158238</v>
      </c>
      <c r="Z391" s="507">
        <v>29912.609747852177</v>
      </c>
      <c r="AA391" s="507">
        <v>29912.609747852177</v>
      </c>
      <c r="AB391" s="507">
        <v>29912.609747852177</v>
      </c>
      <c r="AC391" s="507">
        <v>0</v>
      </c>
      <c r="AD391" s="507">
        <v>0</v>
      </c>
      <c r="AE391" s="507">
        <v>0</v>
      </c>
      <c r="AF391" s="507"/>
      <c r="AG391" s="507"/>
      <c r="AH391" s="507">
        <v>0</v>
      </c>
      <c r="AI391" s="507">
        <v>0</v>
      </c>
      <c r="AJ391" s="507">
        <v>0</v>
      </c>
      <c r="AK391" s="507">
        <v>0</v>
      </c>
      <c r="AL391" s="507">
        <v>0</v>
      </c>
      <c r="AM391" s="507">
        <v>0</v>
      </c>
      <c r="AN391" s="507"/>
      <c r="AO391" s="507"/>
    </row>
    <row r="392" spans="1:41">
      <c r="A392" s="2" t="s">
        <v>1061</v>
      </c>
      <c r="B392" s="2" t="s">
        <v>1060</v>
      </c>
      <c r="C392" s="2" t="s">
        <v>328</v>
      </c>
      <c r="D392" s="2" t="s">
        <v>18</v>
      </c>
      <c r="E392" s="2" t="s">
        <v>19</v>
      </c>
      <c r="F392" s="2" t="s">
        <v>20</v>
      </c>
      <c r="G392" s="2" t="s">
        <v>21</v>
      </c>
      <c r="H392">
        <v>1</v>
      </c>
      <c r="I392" s="2" t="s">
        <v>526</v>
      </c>
      <c r="J392" s="3">
        <v>1</v>
      </c>
      <c r="K392" s="3">
        <v>5.2488000000000001</v>
      </c>
      <c r="L392" s="507">
        <v>13799.968442966574</v>
      </c>
      <c r="M392" s="507">
        <v>0</v>
      </c>
      <c r="N392" s="507">
        <v>13799.968442966574</v>
      </c>
      <c r="O392" s="507">
        <v>260.66607058936859</v>
      </c>
      <c r="P392">
        <v>1</v>
      </c>
      <c r="Q392" s="2" t="s">
        <v>526</v>
      </c>
      <c r="R392" s="3">
        <v>1</v>
      </c>
      <c r="S392" s="3">
        <v>5.2488000000000001</v>
      </c>
      <c r="T392" s="507">
        <v>13799.968442966574</v>
      </c>
      <c r="U392" s="507">
        <v>0</v>
      </c>
      <c r="V392" s="507">
        <v>13799.968442966574</v>
      </c>
      <c r="W392" s="507">
        <v>260.66607058936859</v>
      </c>
      <c r="X392" s="507">
        <v>14060.634513555942</v>
      </c>
      <c r="Y392" s="507">
        <v>14060.634513555942</v>
      </c>
      <c r="Z392" s="507">
        <v>73801.458434752436</v>
      </c>
      <c r="AA392" s="507">
        <v>73801.458434752436</v>
      </c>
      <c r="AB392" s="507">
        <v>73801.458434752436</v>
      </c>
      <c r="AC392" s="507">
        <v>0</v>
      </c>
      <c r="AD392" s="507">
        <v>0</v>
      </c>
      <c r="AE392" s="507">
        <v>0</v>
      </c>
      <c r="AF392" s="507"/>
      <c r="AG392" s="507"/>
      <c r="AH392" s="507">
        <v>0</v>
      </c>
      <c r="AI392" s="507">
        <v>0</v>
      </c>
      <c r="AJ392" s="507">
        <v>0</v>
      </c>
      <c r="AK392" s="507">
        <v>0</v>
      </c>
      <c r="AL392" s="507">
        <v>0</v>
      </c>
      <c r="AM392" s="507">
        <v>0</v>
      </c>
      <c r="AN392" s="507"/>
      <c r="AO392" s="507"/>
    </row>
    <row r="393" spans="1:41">
      <c r="A393" s="2" t="s">
        <v>1062</v>
      </c>
      <c r="B393" s="2" t="s">
        <v>1060</v>
      </c>
      <c r="C393" s="2" t="s">
        <v>328</v>
      </c>
      <c r="D393" s="2" t="s">
        <v>18</v>
      </c>
      <c r="E393" s="2" t="s">
        <v>19</v>
      </c>
      <c r="F393" s="2" t="s">
        <v>20</v>
      </c>
      <c r="G393" s="2" t="s">
        <v>21</v>
      </c>
      <c r="H393">
        <v>1</v>
      </c>
      <c r="I393" s="2" t="s">
        <v>526</v>
      </c>
      <c r="J393" s="3">
        <v>1</v>
      </c>
      <c r="K393" s="3">
        <v>5.2488000000000001</v>
      </c>
      <c r="L393" s="507">
        <v>19837.997530965346</v>
      </c>
      <c r="M393" s="507">
        <v>0</v>
      </c>
      <c r="N393" s="507">
        <v>19837.997530965346</v>
      </c>
      <c r="O393" s="507">
        <v>234.19856138524904</v>
      </c>
      <c r="P393">
        <v>1</v>
      </c>
      <c r="Q393" s="2" t="s">
        <v>526</v>
      </c>
      <c r="R393" s="3">
        <v>1</v>
      </c>
      <c r="S393" s="3">
        <v>5.2488000000000001</v>
      </c>
      <c r="T393" s="507">
        <v>19837.997530965346</v>
      </c>
      <c r="U393" s="507">
        <v>0</v>
      </c>
      <c r="V393" s="507">
        <v>19837.997530965346</v>
      </c>
      <c r="W393" s="507">
        <v>234.19856138524904</v>
      </c>
      <c r="X393" s="507">
        <v>20072.196092350594</v>
      </c>
      <c r="Y393" s="507">
        <v>20072.196092350594</v>
      </c>
      <c r="Z393" s="507">
        <v>105354.94284952981</v>
      </c>
      <c r="AA393" s="507">
        <v>105354.94284952981</v>
      </c>
      <c r="AB393" s="507">
        <v>105354.94284952981</v>
      </c>
      <c r="AC393" s="507">
        <v>0</v>
      </c>
      <c r="AD393" s="507">
        <v>0</v>
      </c>
      <c r="AE393" s="507">
        <v>0</v>
      </c>
      <c r="AF393" s="507"/>
      <c r="AG393" s="507"/>
      <c r="AH393" s="507">
        <v>0</v>
      </c>
      <c r="AI393" s="507">
        <v>0</v>
      </c>
      <c r="AJ393" s="507">
        <v>0</v>
      </c>
      <c r="AK393" s="507">
        <v>0</v>
      </c>
      <c r="AL393" s="507">
        <v>0</v>
      </c>
      <c r="AM393" s="507">
        <v>0</v>
      </c>
      <c r="AN393" s="507"/>
      <c r="AO393" s="507"/>
    </row>
    <row r="394" spans="1:41">
      <c r="A394" s="2" t="s">
        <v>1063</v>
      </c>
      <c r="B394" s="2" t="s">
        <v>1049</v>
      </c>
      <c r="C394" s="2" t="s">
        <v>328</v>
      </c>
      <c r="D394" s="2" t="s">
        <v>18</v>
      </c>
      <c r="E394" s="2" t="s">
        <v>19</v>
      </c>
      <c r="F394" s="2" t="s">
        <v>20</v>
      </c>
      <c r="G394" s="2" t="s">
        <v>21</v>
      </c>
      <c r="H394">
        <v>1</v>
      </c>
      <c r="I394" s="2" t="s">
        <v>526</v>
      </c>
      <c r="J394" s="3">
        <v>1</v>
      </c>
      <c r="K394" s="3">
        <v>5.2488000000000001</v>
      </c>
      <c r="L394" s="507">
        <v>5106.0510677454986</v>
      </c>
      <c r="M394" s="507">
        <v>0</v>
      </c>
      <c r="N394" s="507">
        <v>5106.0510677454986</v>
      </c>
      <c r="O394" s="507">
        <v>62.407269923836665</v>
      </c>
      <c r="P394">
        <v>1</v>
      </c>
      <c r="Q394" s="2" t="s">
        <v>526</v>
      </c>
      <c r="R394" s="3">
        <v>1</v>
      </c>
      <c r="S394" s="3">
        <v>5.2488000000000001</v>
      </c>
      <c r="T394" s="507">
        <v>5106.0510677454986</v>
      </c>
      <c r="U394" s="507">
        <v>0</v>
      </c>
      <c r="V394" s="507">
        <v>5106.0510677454986</v>
      </c>
      <c r="W394" s="507">
        <v>62.407269923836665</v>
      </c>
      <c r="X394" s="507">
        <v>5168.4583376693354</v>
      </c>
      <c r="Y394" s="507">
        <v>5168.4583376693354</v>
      </c>
      <c r="Z394" s="507">
        <v>27128.204122758809</v>
      </c>
      <c r="AA394" s="507">
        <v>27128.204122758809</v>
      </c>
      <c r="AB394" s="507">
        <v>27128.204122758809</v>
      </c>
      <c r="AC394" s="507">
        <v>0</v>
      </c>
      <c r="AD394" s="507">
        <v>0</v>
      </c>
      <c r="AE394" s="507">
        <v>0</v>
      </c>
      <c r="AF394" s="507"/>
      <c r="AG394" s="507"/>
      <c r="AH394" s="507">
        <v>0</v>
      </c>
      <c r="AI394" s="507">
        <v>0</v>
      </c>
      <c r="AJ394" s="507">
        <v>0</v>
      </c>
      <c r="AK394" s="507">
        <v>0</v>
      </c>
      <c r="AL394" s="507">
        <v>0</v>
      </c>
      <c r="AM394" s="507">
        <v>0</v>
      </c>
      <c r="AN394" s="507"/>
      <c r="AO394" s="507"/>
    </row>
    <row r="395" spans="1:41">
      <c r="A395" s="2" t="s">
        <v>1068</v>
      </c>
      <c r="B395" s="2" t="s">
        <v>349</v>
      </c>
      <c r="C395" s="2" t="s">
        <v>328</v>
      </c>
      <c r="D395" s="2" t="s">
        <v>18</v>
      </c>
      <c r="E395" s="2" t="s">
        <v>19</v>
      </c>
      <c r="F395" s="2" t="s">
        <v>20</v>
      </c>
      <c r="G395" s="2" t="s">
        <v>21</v>
      </c>
      <c r="H395">
        <v>1</v>
      </c>
      <c r="I395" s="2" t="s">
        <v>526</v>
      </c>
      <c r="J395" s="3">
        <v>1</v>
      </c>
      <c r="K395" s="3">
        <v>5.2488000000000001</v>
      </c>
      <c r="L395" s="507">
        <v>57976.699365669971</v>
      </c>
      <c r="M395" s="507">
        <v>0</v>
      </c>
      <c r="N395" s="507">
        <v>57976.699365669971</v>
      </c>
      <c r="O395" s="507">
        <v>1136.3433179066074</v>
      </c>
      <c r="P395">
        <v>1</v>
      </c>
      <c r="Q395" s="2" t="s">
        <v>526</v>
      </c>
      <c r="R395" s="3">
        <v>1</v>
      </c>
      <c r="S395" s="3">
        <v>5.2488000000000001</v>
      </c>
      <c r="T395" s="507">
        <v>57976.699365669971</v>
      </c>
      <c r="U395" s="507">
        <v>0</v>
      </c>
      <c r="V395" s="507">
        <v>57976.699365669971</v>
      </c>
      <c r="W395" s="507">
        <v>1136.3433179066074</v>
      </c>
      <c r="X395" s="507">
        <v>59113.042683576576</v>
      </c>
      <c r="Y395" s="507">
        <v>59113.042683576576</v>
      </c>
      <c r="Z395" s="507">
        <v>310272.53843755677</v>
      </c>
      <c r="AA395" s="507">
        <v>310272.53843755677</v>
      </c>
      <c r="AB395" s="507">
        <v>310272.53843755677</v>
      </c>
      <c r="AC395" s="507">
        <v>0</v>
      </c>
      <c r="AD395" s="507">
        <v>0</v>
      </c>
      <c r="AE395" s="507">
        <v>0</v>
      </c>
      <c r="AF395" s="507"/>
      <c r="AG395" s="507"/>
      <c r="AH395" s="507">
        <v>0</v>
      </c>
      <c r="AI395" s="507">
        <v>0</v>
      </c>
      <c r="AJ395" s="507">
        <v>0</v>
      </c>
      <c r="AK395" s="507">
        <v>0</v>
      </c>
      <c r="AL395" s="507">
        <v>0</v>
      </c>
      <c r="AM395" s="507">
        <v>0</v>
      </c>
      <c r="AN395" s="507"/>
      <c r="AO395" s="507"/>
    </row>
    <row r="396" spans="1:41">
      <c r="A396" s="2" t="s">
        <v>1069</v>
      </c>
      <c r="B396" s="2" t="s">
        <v>1070</v>
      </c>
      <c r="C396" s="2" t="s">
        <v>328</v>
      </c>
      <c r="D396" s="2" t="s">
        <v>18</v>
      </c>
      <c r="E396" s="2" t="s">
        <v>19</v>
      </c>
      <c r="F396" s="2" t="s">
        <v>20</v>
      </c>
      <c r="G396" s="2" t="s">
        <v>21</v>
      </c>
      <c r="H396">
        <v>1</v>
      </c>
      <c r="I396" s="2" t="s">
        <v>526</v>
      </c>
      <c r="J396" s="3">
        <v>1</v>
      </c>
      <c r="K396" s="3">
        <v>5.2488000000000001</v>
      </c>
      <c r="L396" s="507">
        <v>90951.644536788648</v>
      </c>
      <c r="M396" s="507">
        <v>0</v>
      </c>
      <c r="N396" s="507">
        <v>90951.644536788648</v>
      </c>
      <c r="O396" s="507">
        <v>1734.1446842445432</v>
      </c>
      <c r="P396">
        <v>1</v>
      </c>
      <c r="Q396" s="2" t="s">
        <v>526</v>
      </c>
      <c r="R396" s="3">
        <v>1</v>
      </c>
      <c r="S396" s="3">
        <v>5.2488000000000001</v>
      </c>
      <c r="T396" s="507">
        <v>90951.644536788648</v>
      </c>
      <c r="U396" s="507">
        <v>0</v>
      </c>
      <c r="V396" s="507">
        <v>90951.644536788648</v>
      </c>
      <c r="W396" s="507">
        <v>1734.1446842445432</v>
      </c>
      <c r="X396" s="507">
        <v>92685.789221033192</v>
      </c>
      <c r="Y396" s="507">
        <v>92685.789221033192</v>
      </c>
      <c r="Z396" s="507">
        <v>486489.17046335904</v>
      </c>
      <c r="AA396" s="507">
        <v>486489.17046335904</v>
      </c>
      <c r="AB396" s="507">
        <v>486489.17046335904</v>
      </c>
      <c r="AC396" s="507">
        <v>0</v>
      </c>
      <c r="AD396" s="507">
        <v>0</v>
      </c>
      <c r="AE396" s="507">
        <v>0</v>
      </c>
      <c r="AF396" s="507"/>
      <c r="AG396" s="507"/>
      <c r="AH396" s="507">
        <v>0</v>
      </c>
      <c r="AI396" s="507">
        <v>0</v>
      </c>
      <c r="AJ396" s="507">
        <v>0</v>
      </c>
      <c r="AK396" s="507">
        <v>0</v>
      </c>
      <c r="AL396" s="507">
        <v>0</v>
      </c>
      <c r="AM396" s="507">
        <v>0</v>
      </c>
      <c r="AN396" s="507"/>
      <c r="AO396" s="507"/>
    </row>
    <row r="397" spans="1:41">
      <c r="A397" s="2" t="s">
        <v>1071</v>
      </c>
      <c r="B397" s="2" t="s">
        <v>1072</v>
      </c>
      <c r="C397" s="2" t="s">
        <v>328</v>
      </c>
      <c r="D397" s="2" t="s">
        <v>18</v>
      </c>
      <c r="E397" s="2" t="s">
        <v>19</v>
      </c>
      <c r="F397" s="2" t="s">
        <v>20</v>
      </c>
      <c r="G397" s="2" t="s">
        <v>21</v>
      </c>
      <c r="H397">
        <v>1</v>
      </c>
      <c r="I397" s="2" t="s">
        <v>526</v>
      </c>
      <c r="J397" s="3">
        <v>1</v>
      </c>
      <c r="K397" s="3">
        <v>5.2488000000000001</v>
      </c>
      <c r="L397" s="507">
        <v>92316.750794131629</v>
      </c>
      <c r="M397" s="507">
        <v>0</v>
      </c>
      <c r="N397" s="507">
        <v>92316.750794131629</v>
      </c>
      <c r="O397" s="507">
        <v>1760.1726535969424</v>
      </c>
      <c r="P397">
        <v>1</v>
      </c>
      <c r="Q397" s="2" t="s">
        <v>526</v>
      </c>
      <c r="R397" s="3">
        <v>1</v>
      </c>
      <c r="S397" s="3">
        <v>5.2488000000000001</v>
      </c>
      <c r="T397" s="507">
        <v>92316.750794131629</v>
      </c>
      <c r="U397" s="507">
        <v>0</v>
      </c>
      <c r="V397" s="507">
        <v>92316.750794131629</v>
      </c>
      <c r="W397" s="507">
        <v>1760.1726535969424</v>
      </c>
      <c r="X397" s="507">
        <v>94076.923447728564</v>
      </c>
      <c r="Y397" s="507">
        <v>94076.923447728564</v>
      </c>
      <c r="Z397" s="507">
        <v>493790.95579243771</v>
      </c>
      <c r="AA397" s="507">
        <v>493790.95579243771</v>
      </c>
      <c r="AB397" s="507">
        <v>493790.95579243771</v>
      </c>
      <c r="AC397" s="507">
        <v>0</v>
      </c>
      <c r="AD397" s="507">
        <v>0</v>
      </c>
      <c r="AE397" s="507">
        <v>0</v>
      </c>
      <c r="AF397" s="507"/>
      <c r="AG397" s="507"/>
      <c r="AH397" s="507">
        <v>0</v>
      </c>
      <c r="AI397" s="507">
        <v>0</v>
      </c>
      <c r="AJ397" s="507">
        <v>0</v>
      </c>
      <c r="AK397" s="507">
        <v>0</v>
      </c>
      <c r="AL397" s="507">
        <v>0</v>
      </c>
      <c r="AM397" s="507">
        <v>0</v>
      </c>
      <c r="AN397" s="507"/>
      <c r="AO397" s="507"/>
    </row>
    <row r="398" spans="1:41">
      <c r="A398" s="2" t="s">
        <v>1073</v>
      </c>
      <c r="B398" s="2" t="s">
        <v>1070</v>
      </c>
      <c r="C398" s="2" t="s">
        <v>328</v>
      </c>
      <c r="D398" s="2" t="s">
        <v>18</v>
      </c>
      <c r="E398" s="2" t="s">
        <v>19</v>
      </c>
      <c r="F398" s="2" t="s">
        <v>20</v>
      </c>
      <c r="G398" s="2" t="s">
        <v>21</v>
      </c>
      <c r="H398">
        <v>1</v>
      </c>
      <c r="I398" s="2" t="s">
        <v>526</v>
      </c>
      <c r="J398" s="3">
        <v>1</v>
      </c>
      <c r="K398" s="3">
        <v>5.2488000000000001</v>
      </c>
      <c r="L398" s="507">
        <v>92316.750794131629</v>
      </c>
      <c r="M398" s="507">
        <v>0</v>
      </c>
      <c r="N398" s="507">
        <v>92316.750794131629</v>
      </c>
      <c r="O398" s="507">
        <v>1760.1726535969424</v>
      </c>
      <c r="P398">
        <v>1</v>
      </c>
      <c r="Q398" s="2" t="s">
        <v>526</v>
      </c>
      <c r="R398" s="3">
        <v>1</v>
      </c>
      <c r="S398" s="3">
        <v>5.2488000000000001</v>
      </c>
      <c r="T398" s="507">
        <v>92316.750794131629</v>
      </c>
      <c r="U398" s="507">
        <v>0</v>
      </c>
      <c r="V398" s="507">
        <v>92316.750794131629</v>
      </c>
      <c r="W398" s="507">
        <v>1760.1726535969424</v>
      </c>
      <c r="X398" s="507">
        <v>94076.923447728564</v>
      </c>
      <c r="Y398" s="507">
        <v>94076.923447728564</v>
      </c>
      <c r="Z398" s="507">
        <v>493790.95579243771</v>
      </c>
      <c r="AA398" s="507">
        <v>493790.95579243771</v>
      </c>
      <c r="AB398" s="507">
        <v>493790.95579243771</v>
      </c>
      <c r="AC398" s="507">
        <v>0</v>
      </c>
      <c r="AD398" s="507">
        <v>0</v>
      </c>
      <c r="AE398" s="507">
        <v>0</v>
      </c>
      <c r="AF398" s="507"/>
      <c r="AG398" s="507"/>
      <c r="AH398" s="507">
        <v>0</v>
      </c>
      <c r="AI398" s="507">
        <v>0</v>
      </c>
      <c r="AJ398" s="507">
        <v>0</v>
      </c>
      <c r="AK398" s="507">
        <v>0</v>
      </c>
      <c r="AL398" s="507">
        <v>0</v>
      </c>
      <c r="AM398" s="507">
        <v>0</v>
      </c>
      <c r="AN398" s="507"/>
      <c r="AO398" s="507"/>
    </row>
    <row r="399" spans="1:41">
      <c r="A399" s="2" t="s">
        <v>1074</v>
      </c>
      <c r="B399" s="2" t="s">
        <v>1072</v>
      </c>
      <c r="C399" s="2" t="s">
        <v>328</v>
      </c>
      <c r="D399" s="2" t="s">
        <v>18</v>
      </c>
      <c r="E399" s="2" t="s">
        <v>19</v>
      </c>
      <c r="F399" s="2" t="s">
        <v>20</v>
      </c>
      <c r="G399" s="2" t="s">
        <v>21</v>
      </c>
      <c r="H399">
        <v>1</v>
      </c>
      <c r="I399" s="2" t="s">
        <v>526</v>
      </c>
      <c r="J399" s="3">
        <v>1</v>
      </c>
      <c r="K399" s="3">
        <v>5.2488000000000001</v>
      </c>
      <c r="L399" s="507">
        <v>36969.830703623673</v>
      </c>
      <c r="M399" s="507">
        <v>0</v>
      </c>
      <c r="N399" s="507">
        <v>36969.830703623673</v>
      </c>
      <c r="O399" s="507">
        <v>704.89138212815078</v>
      </c>
      <c r="P399">
        <v>1</v>
      </c>
      <c r="Q399" s="2" t="s">
        <v>526</v>
      </c>
      <c r="R399" s="3">
        <v>1</v>
      </c>
      <c r="S399" s="3">
        <v>5.2488000000000001</v>
      </c>
      <c r="T399" s="507">
        <v>36969.830703623673</v>
      </c>
      <c r="U399" s="507">
        <v>0</v>
      </c>
      <c r="V399" s="507">
        <v>36969.830703623673</v>
      </c>
      <c r="W399" s="507">
        <v>704.89138212815078</v>
      </c>
      <c r="X399" s="507">
        <v>37674.722085751826</v>
      </c>
      <c r="Y399" s="507">
        <v>37674.722085751826</v>
      </c>
      <c r="Z399" s="507">
        <v>197747.08128369419</v>
      </c>
      <c r="AA399" s="507">
        <v>197747.08128369419</v>
      </c>
      <c r="AB399" s="507">
        <v>197747.08128369419</v>
      </c>
      <c r="AC399" s="507">
        <v>0</v>
      </c>
      <c r="AD399" s="507">
        <v>0</v>
      </c>
      <c r="AE399" s="507">
        <v>0</v>
      </c>
      <c r="AF399" s="507"/>
      <c r="AG399" s="507"/>
      <c r="AH399" s="507">
        <v>0</v>
      </c>
      <c r="AI399" s="507">
        <v>0</v>
      </c>
      <c r="AJ399" s="507">
        <v>0</v>
      </c>
      <c r="AK399" s="507">
        <v>0</v>
      </c>
      <c r="AL399" s="507">
        <v>0</v>
      </c>
      <c r="AM399" s="507">
        <v>0</v>
      </c>
      <c r="AN399" s="507"/>
      <c r="AO399" s="507"/>
    </row>
    <row r="400" spans="1:41">
      <c r="A400" s="2"/>
      <c r="B400" s="2"/>
      <c r="C400" s="2"/>
      <c r="D400" s="2"/>
      <c r="E400" s="2"/>
      <c r="F400" s="2"/>
      <c r="G400" s="2"/>
      <c r="I400" s="2"/>
      <c r="J400" s="3"/>
      <c r="K400" s="3"/>
      <c r="L400" s="507"/>
      <c r="M400" s="507"/>
      <c r="N400" s="507"/>
      <c r="O400" s="507"/>
      <c r="P400">
        <v>1</v>
      </c>
      <c r="Q400" s="2" t="s">
        <v>526</v>
      </c>
      <c r="R400" s="3">
        <v>1</v>
      </c>
      <c r="S400" s="3">
        <v>5.2488000000000001</v>
      </c>
      <c r="T400" s="507">
        <v>5790.8714762419477</v>
      </c>
      <c r="U400" s="507">
        <v>0</v>
      </c>
      <c r="V400" s="507">
        <v>5790.8714762419477</v>
      </c>
      <c r="W400" s="507">
        <v>131.09889592047742</v>
      </c>
      <c r="X400" s="507"/>
      <c r="Y400" s="507">
        <v>5921.9703721624255</v>
      </c>
      <c r="Z400" s="507"/>
      <c r="AA400" s="507">
        <v>31083.238089406139</v>
      </c>
      <c r="AB400" s="507"/>
      <c r="AC400" s="507"/>
      <c r="AD400" s="507"/>
      <c r="AE400" s="507"/>
      <c r="AF400" s="507"/>
      <c r="AG400" s="507"/>
      <c r="AH400" s="507"/>
      <c r="AI400" s="507">
        <v>0</v>
      </c>
      <c r="AJ400" s="507"/>
      <c r="AK400" s="507"/>
      <c r="AL400" s="507"/>
      <c r="AM400" s="507"/>
      <c r="AN400" s="507"/>
      <c r="AO400" s="507"/>
    </row>
    <row r="401" spans="1:41">
      <c r="A401" s="2" t="s">
        <v>1075</v>
      </c>
      <c r="B401" s="2" t="s">
        <v>1076</v>
      </c>
      <c r="C401" s="2" t="s">
        <v>328</v>
      </c>
      <c r="D401" s="2" t="s">
        <v>18</v>
      </c>
      <c r="E401" s="2" t="s">
        <v>19</v>
      </c>
      <c r="F401" s="2" t="s">
        <v>20</v>
      </c>
      <c r="G401" s="2" t="s">
        <v>21</v>
      </c>
      <c r="H401">
        <v>1</v>
      </c>
      <c r="I401" s="2" t="s">
        <v>526</v>
      </c>
      <c r="J401" s="3">
        <v>1</v>
      </c>
      <c r="K401" s="3">
        <v>5.2488000000000001</v>
      </c>
      <c r="L401" s="507">
        <v>92316.750794131629</v>
      </c>
      <c r="M401" s="507">
        <v>0</v>
      </c>
      <c r="N401" s="507">
        <v>92316.750794131629</v>
      </c>
      <c r="O401" s="507">
        <v>1735.5549149296746</v>
      </c>
      <c r="P401">
        <v>1</v>
      </c>
      <c r="Q401" s="2" t="s">
        <v>526</v>
      </c>
      <c r="R401" s="3">
        <v>1</v>
      </c>
      <c r="S401" s="3">
        <v>5.2488000000000001</v>
      </c>
      <c r="T401" s="507">
        <v>92316.750794131629</v>
      </c>
      <c r="U401" s="507">
        <v>0</v>
      </c>
      <c r="V401" s="507">
        <v>92316.750794131629</v>
      </c>
      <c r="W401" s="507">
        <v>1735.5549149296746</v>
      </c>
      <c r="X401" s="507">
        <v>94052.3057090613</v>
      </c>
      <c r="Y401" s="507">
        <v>94052.3057090613</v>
      </c>
      <c r="Z401" s="507">
        <v>493661.74220572098</v>
      </c>
      <c r="AA401" s="507">
        <v>493661.74220572098</v>
      </c>
      <c r="AB401" s="507">
        <v>493661.74220572098</v>
      </c>
      <c r="AC401" s="507">
        <v>0</v>
      </c>
      <c r="AD401" s="507">
        <v>0</v>
      </c>
      <c r="AE401" s="507">
        <v>0</v>
      </c>
      <c r="AF401" s="507"/>
      <c r="AG401" s="507"/>
      <c r="AH401" s="507">
        <v>0</v>
      </c>
      <c r="AI401" s="507">
        <v>0</v>
      </c>
      <c r="AJ401" s="507">
        <v>0</v>
      </c>
      <c r="AK401" s="507">
        <v>0</v>
      </c>
      <c r="AL401" s="507">
        <v>0</v>
      </c>
      <c r="AM401" s="507">
        <v>0</v>
      </c>
      <c r="AN401" s="507"/>
      <c r="AO401" s="507"/>
    </row>
    <row r="402" spans="1:41">
      <c r="A402" s="2" t="s">
        <v>1077</v>
      </c>
      <c r="B402" s="2" t="s">
        <v>1076</v>
      </c>
      <c r="C402" s="2" t="s">
        <v>328</v>
      </c>
      <c r="D402" s="2" t="s">
        <v>18</v>
      </c>
      <c r="E402" s="2" t="s">
        <v>19</v>
      </c>
      <c r="F402" s="2" t="s">
        <v>20</v>
      </c>
      <c r="G402" s="2" t="s">
        <v>21</v>
      </c>
      <c r="H402">
        <v>1</v>
      </c>
      <c r="I402" s="2" t="s">
        <v>526</v>
      </c>
      <c r="J402" s="3">
        <v>1</v>
      </c>
      <c r="K402" s="3">
        <v>5.2488000000000001</v>
      </c>
      <c r="L402" s="507">
        <v>92278.347025801268</v>
      </c>
      <c r="M402" s="507">
        <v>0</v>
      </c>
      <c r="N402" s="507">
        <v>92278.347025801268</v>
      </c>
      <c r="O402" s="507">
        <v>1734.8329979384644</v>
      </c>
      <c r="P402">
        <v>1</v>
      </c>
      <c r="Q402" s="2" t="s">
        <v>526</v>
      </c>
      <c r="R402" s="3">
        <v>1</v>
      </c>
      <c r="S402" s="3">
        <v>5.2488000000000001</v>
      </c>
      <c r="T402" s="507">
        <v>92278.347025801268</v>
      </c>
      <c r="U402" s="507">
        <v>0</v>
      </c>
      <c r="V402" s="507">
        <v>92278.347025801268</v>
      </c>
      <c r="W402" s="507">
        <v>1734.8329979384644</v>
      </c>
      <c r="X402" s="507">
        <v>94013.180023739726</v>
      </c>
      <c r="Y402" s="507">
        <v>94013.180023739726</v>
      </c>
      <c r="Z402" s="507">
        <v>493456.3793086051</v>
      </c>
      <c r="AA402" s="507">
        <v>493456.3793086051</v>
      </c>
      <c r="AB402" s="507">
        <v>493456.3793086051</v>
      </c>
      <c r="AC402" s="507">
        <v>0</v>
      </c>
      <c r="AD402" s="507">
        <v>0</v>
      </c>
      <c r="AE402" s="507">
        <v>0</v>
      </c>
      <c r="AF402" s="507"/>
      <c r="AG402" s="507"/>
      <c r="AH402" s="507">
        <v>0</v>
      </c>
      <c r="AI402" s="507">
        <v>0</v>
      </c>
      <c r="AJ402" s="507">
        <v>0</v>
      </c>
      <c r="AK402" s="507">
        <v>0</v>
      </c>
      <c r="AL402" s="507">
        <v>0</v>
      </c>
      <c r="AM402" s="507">
        <v>0</v>
      </c>
      <c r="AN402" s="507"/>
      <c r="AO402" s="507"/>
    </row>
    <row r="403" spans="1:41">
      <c r="A403" s="2" t="s">
        <v>1078</v>
      </c>
      <c r="B403" s="2" t="s">
        <v>365</v>
      </c>
      <c r="C403" s="2" t="s">
        <v>328</v>
      </c>
      <c r="D403" s="2" t="s">
        <v>18</v>
      </c>
      <c r="E403" s="2" t="s">
        <v>19</v>
      </c>
      <c r="F403" s="2" t="s">
        <v>20</v>
      </c>
      <c r="G403" s="2" t="s">
        <v>21</v>
      </c>
      <c r="H403">
        <v>1</v>
      </c>
      <c r="I403" s="2" t="s">
        <v>526</v>
      </c>
      <c r="J403" s="3">
        <v>1</v>
      </c>
      <c r="K403" s="3">
        <v>5.2488000000000001</v>
      </c>
      <c r="L403" s="507">
        <v>2896.6494615251986</v>
      </c>
      <c r="M403" s="507">
        <v>0</v>
      </c>
      <c r="N403" s="507">
        <v>2896.6494615251986</v>
      </c>
      <c r="O403" s="507">
        <v>46.917588355596749</v>
      </c>
      <c r="P403">
        <v>1</v>
      </c>
      <c r="Q403" s="2" t="s">
        <v>526</v>
      </c>
      <c r="R403" s="3">
        <v>1</v>
      </c>
      <c r="S403" s="3">
        <v>5.2488000000000001</v>
      </c>
      <c r="T403" s="507">
        <v>2896.6494615251986</v>
      </c>
      <c r="U403" s="507">
        <v>0</v>
      </c>
      <c r="V403" s="507">
        <v>2896.6494615251986</v>
      </c>
      <c r="W403" s="507">
        <v>46.917588355596749</v>
      </c>
      <c r="X403" s="507">
        <v>2943.5670498807954</v>
      </c>
      <c r="Y403" s="507">
        <v>2943.5670498807954</v>
      </c>
      <c r="Z403" s="507">
        <v>15450.19473141432</v>
      </c>
      <c r="AA403" s="507">
        <v>15450.19473141432</v>
      </c>
      <c r="AB403" s="507">
        <v>15450.19473141432</v>
      </c>
      <c r="AC403" s="507">
        <v>0</v>
      </c>
      <c r="AD403" s="507">
        <v>0</v>
      </c>
      <c r="AE403" s="507">
        <v>0</v>
      </c>
      <c r="AF403" s="507"/>
      <c r="AG403" s="507"/>
      <c r="AH403" s="507">
        <v>0</v>
      </c>
      <c r="AI403" s="507">
        <v>0</v>
      </c>
      <c r="AJ403" s="507">
        <v>0</v>
      </c>
      <c r="AK403" s="507">
        <v>0</v>
      </c>
      <c r="AL403" s="507">
        <v>0</v>
      </c>
      <c r="AM403" s="507">
        <v>0</v>
      </c>
      <c r="AN403" s="507"/>
      <c r="AO403" s="507"/>
    </row>
    <row r="404" spans="1:41">
      <c r="A404" s="2" t="s">
        <v>1079</v>
      </c>
      <c r="B404" s="2" t="s">
        <v>1080</v>
      </c>
      <c r="C404" s="2" t="s">
        <v>328</v>
      </c>
      <c r="D404" s="2" t="s">
        <v>18</v>
      </c>
      <c r="E404" s="2" t="s">
        <v>19</v>
      </c>
      <c r="F404" s="2" t="s">
        <v>20</v>
      </c>
      <c r="G404" s="2" t="s">
        <v>21</v>
      </c>
      <c r="H404">
        <v>1</v>
      </c>
      <c r="I404" s="2" t="s">
        <v>526</v>
      </c>
      <c r="J404" s="3">
        <v>1</v>
      </c>
      <c r="K404" s="3">
        <v>5.2488000000000001</v>
      </c>
      <c r="L404" s="507">
        <v>92316.750794131629</v>
      </c>
      <c r="M404" s="507">
        <v>0</v>
      </c>
      <c r="N404" s="507">
        <v>92316.750794131629</v>
      </c>
      <c r="O404" s="507">
        <v>2700.2649607283497</v>
      </c>
      <c r="P404">
        <v>1</v>
      </c>
      <c r="Q404" s="2" t="s">
        <v>526</v>
      </c>
      <c r="R404" s="3">
        <v>1</v>
      </c>
      <c r="S404" s="3">
        <v>5.2488000000000001</v>
      </c>
      <c r="T404" s="507">
        <v>92316.750794131629</v>
      </c>
      <c r="U404" s="507">
        <v>0</v>
      </c>
      <c r="V404" s="507">
        <v>92316.750794131629</v>
      </c>
      <c r="W404" s="507">
        <v>2700.2649607283497</v>
      </c>
      <c r="X404" s="507">
        <v>95017.015754859982</v>
      </c>
      <c r="Y404" s="507">
        <v>95017.015754859982</v>
      </c>
      <c r="Z404" s="507">
        <v>498725.31229410908</v>
      </c>
      <c r="AA404" s="507">
        <v>498725.31229410908</v>
      </c>
      <c r="AB404" s="507">
        <v>498725.31229410908</v>
      </c>
      <c r="AC404" s="507">
        <v>0</v>
      </c>
      <c r="AD404" s="507">
        <v>0</v>
      </c>
      <c r="AE404" s="507">
        <v>0</v>
      </c>
      <c r="AF404" s="507"/>
      <c r="AG404" s="507"/>
      <c r="AH404" s="507">
        <v>0</v>
      </c>
      <c r="AI404" s="507">
        <v>0</v>
      </c>
      <c r="AJ404" s="507">
        <v>0</v>
      </c>
      <c r="AK404" s="507">
        <v>0</v>
      </c>
      <c r="AL404" s="507">
        <v>0</v>
      </c>
      <c r="AM404" s="507">
        <v>0</v>
      </c>
      <c r="AN404" s="507"/>
      <c r="AO404" s="507"/>
    </row>
    <row r="405" spans="1:41">
      <c r="A405" s="2" t="s">
        <v>1081</v>
      </c>
      <c r="B405" s="2" t="s">
        <v>1082</v>
      </c>
      <c r="C405" s="2" t="s">
        <v>328</v>
      </c>
      <c r="D405" s="2" t="s">
        <v>18</v>
      </c>
      <c r="E405" s="2" t="s">
        <v>19</v>
      </c>
      <c r="F405" s="2" t="s">
        <v>20</v>
      </c>
      <c r="G405" s="2" t="s">
        <v>21</v>
      </c>
      <c r="H405">
        <v>1</v>
      </c>
      <c r="I405" s="2" t="s">
        <v>526</v>
      </c>
      <c r="J405" s="3">
        <v>1</v>
      </c>
      <c r="K405" s="3">
        <v>5.2488000000000001</v>
      </c>
      <c r="L405" s="507">
        <v>92316.750794131629</v>
      </c>
      <c r="M405" s="507">
        <v>0</v>
      </c>
      <c r="N405" s="507">
        <v>92316.750794131629</v>
      </c>
      <c r="O405" s="507">
        <v>2700.2649607283497</v>
      </c>
      <c r="P405">
        <v>1</v>
      </c>
      <c r="Q405" s="2" t="s">
        <v>526</v>
      </c>
      <c r="R405" s="3">
        <v>1</v>
      </c>
      <c r="S405" s="3">
        <v>5.2488000000000001</v>
      </c>
      <c r="T405" s="507">
        <v>92316.750794131629</v>
      </c>
      <c r="U405" s="507">
        <v>0</v>
      </c>
      <c r="V405" s="507">
        <v>92316.750794131629</v>
      </c>
      <c r="W405" s="507">
        <v>2700.2649607283497</v>
      </c>
      <c r="X405" s="507">
        <v>95017.015754859982</v>
      </c>
      <c r="Y405" s="507">
        <v>95017.015754859982</v>
      </c>
      <c r="Z405" s="507">
        <v>498725.31229410908</v>
      </c>
      <c r="AA405" s="507">
        <v>498725.31229410908</v>
      </c>
      <c r="AB405" s="507">
        <v>498725.31229410908</v>
      </c>
      <c r="AC405" s="507">
        <v>0</v>
      </c>
      <c r="AD405" s="507">
        <v>0</v>
      </c>
      <c r="AE405" s="507">
        <v>0</v>
      </c>
      <c r="AF405" s="507"/>
      <c r="AG405" s="507"/>
      <c r="AH405" s="507">
        <v>0</v>
      </c>
      <c r="AI405" s="507">
        <v>0</v>
      </c>
      <c r="AJ405" s="507">
        <v>0</v>
      </c>
      <c r="AK405" s="507">
        <v>0</v>
      </c>
      <c r="AL405" s="507">
        <v>0</v>
      </c>
      <c r="AM405" s="507">
        <v>0</v>
      </c>
      <c r="AN405" s="507"/>
      <c r="AO405" s="507"/>
    </row>
    <row r="406" spans="1:41">
      <c r="A406" s="2" t="s">
        <v>1083</v>
      </c>
      <c r="B406" s="2" t="s">
        <v>1084</v>
      </c>
      <c r="C406" s="2" t="s">
        <v>328</v>
      </c>
      <c r="D406" s="2" t="s">
        <v>18</v>
      </c>
      <c r="E406" s="2" t="s">
        <v>19</v>
      </c>
      <c r="F406" s="2" t="s">
        <v>20</v>
      </c>
      <c r="G406" s="2" t="s">
        <v>21</v>
      </c>
      <c r="H406">
        <v>1</v>
      </c>
      <c r="I406" s="2" t="s">
        <v>526</v>
      </c>
      <c r="J406" s="3">
        <v>1</v>
      </c>
      <c r="K406" s="3">
        <v>5.2488000000000001</v>
      </c>
      <c r="L406" s="507">
        <v>92316.750794131629</v>
      </c>
      <c r="M406" s="507">
        <v>0</v>
      </c>
      <c r="N406" s="507">
        <v>92316.750794131629</v>
      </c>
      <c r="O406" s="507">
        <v>2700.2649607283497</v>
      </c>
      <c r="P406">
        <v>1</v>
      </c>
      <c r="Q406" s="2" t="s">
        <v>526</v>
      </c>
      <c r="R406" s="3">
        <v>1</v>
      </c>
      <c r="S406" s="3">
        <v>5.2488000000000001</v>
      </c>
      <c r="T406" s="507">
        <v>92316.750794131629</v>
      </c>
      <c r="U406" s="507">
        <v>0</v>
      </c>
      <c r="V406" s="507">
        <v>92316.750794131629</v>
      </c>
      <c r="W406" s="507">
        <v>2700.2649607283497</v>
      </c>
      <c r="X406" s="507">
        <v>95017.015754859982</v>
      </c>
      <c r="Y406" s="507">
        <v>95017.015754859982</v>
      </c>
      <c r="Z406" s="507">
        <v>498725.31229410908</v>
      </c>
      <c r="AA406" s="507">
        <v>498725.31229410908</v>
      </c>
      <c r="AB406" s="507">
        <v>498725.31229410908</v>
      </c>
      <c r="AC406" s="507">
        <v>0</v>
      </c>
      <c r="AD406" s="507">
        <v>0</v>
      </c>
      <c r="AE406" s="507">
        <v>0</v>
      </c>
      <c r="AF406" s="507"/>
      <c r="AG406" s="507"/>
      <c r="AH406" s="507">
        <v>0</v>
      </c>
      <c r="AI406" s="507">
        <v>0</v>
      </c>
      <c r="AJ406" s="507">
        <v>0</v>
      </c>
      <c r="AK406" s="507">
        <v>0</v>
      </c>
      <c r="AL406" s="507">
        <v>0</v>
      </c>
      <c r="AM406" s="507">
        <v>0</v>
      </c>
      <c r="AN406" s="507"/>
      <c r="AO406" s="507"/>
    </row>
    <row r="407" spans="1:41">
      <c r="A407" s="2" t="s">
        <v>1085</v>
      </c>
      <c r="B407" s="2" t="s">
        <v>1086</v>
      </c>
      <c r="C407" s="2" t="s">
        <v>328</v>
      </c>
      <c r="D407" s="2" t="s">
        <v>18</v>
      </c>
      <c r="E407" s="2" t="s">
        <v>19</v>
      </c>
      <c r="F407" s="2" t="s">
        <v>20</v>
      </c>
      <c r="G407" s="2" t="s">
        <v>21</v>
      </c>
      <c r="H407">
        <v>1</v>
      </c>
      <c r="I407" s="2" t="s">
        <v>526</v>
      </c>
      <c r="J407" s="3">
        <v>1</v>
      </c>
      <c r="K407" s="3">
        <v>5.2488000000000001</v>
      </c>
      <c r="L407" s="507">
        <v>83085.075714718463</v>
      </c>
      <c r="M407" s="507">
        <v>0</v>
      </c>
      <c r="N407" s="507">
        <v>83085.075714718463</v>
      </c>
      <c r="O407" s="507">
        <v>2430.2384646555147</v>
      </c>
      <c r="P407">
        <v>1</v>
      </c>
      <c r="Q407" s="2" t="s">
        <v>526</v>
      </c>
      <c r="R407" s="3">
        <v>1</v>
      </c>
      <c r="S407" s="3">
        <v>5.2488000000000001</v>
      </c>
      <c r="T407" s="507">
        <v>83085.075714718463</v>
      </c>
      <c r="U407" s="507">
        <v>0</v>
      </c>
      <c r="V407" s="507">
        <v>83085.075714718463</v>
      </c>
      <c r="W407" s="507">
        <v>2430.2384646555147</v>
      </c>
      <c r="X407" s="507">
        <v>85515.314179373978</v>
      </c>
      <c r="Y407" s="507">
        <v>85515.314179373978</v>
      </c>
      <c r="Z407" s="507">
        <v>448852.78106469812</v>
      </c>
      <c r="AA407" s="507">
        <v>448852.78106469812</v>
      </c>
      <c r="AB407" s="507">
        <v>448852.78106469812</v>
      </c>
      <c r="AC407" s="507">
        <v>0</v>
      </c>
      <c r="AD407" s="507">
        <v>0</v>
      </c>
      <c r="AE407" s="507">
        <v>0</v>
      </c>
      <c r="AF407" s="507"/>
      <c r="AG407" s="507"/>
      <c r="AH407" s="507">
        <v>0</v>
      </c>
      <c r="AI407" s="507">
        <v>0</v>
      </c>
      <c r="AJ407" s="507">
        <v>0</v>
      </c>
      <c r="AK407" s="507">
        <v>0</v>
      </c>
      <c r="AL407" s="507">
        <v>0</v>
      </c>
      <c r="AM407" s="507">
        <v>0</v>
      </c>
      <c r="AN407" s="507"/>
      <c r="AO407" s="507"/>
    </row>
    <row r="408" spans="1:41">
      <c r="A408" s="2" t="s">
        <v>1087</v>
      </c>
      <c r="B408" s="2" t="s">
        <v>361</v>
      </c>
      <c r="C408" s="2" t="s">
        <v>328</v>
      </c>
      <c r="D408" s="2" t="s">
        <v>18</v>
      </c>
      <c r="E408" s="2" t="s">
        <v>19</v>
      </c>
      <c r="F408" s="2" t="s">
        <v>20</v>
      </c>
      <c r="G408" s="2" t="s">
        <v>21</v>
      </c>
      <c r="H408">
        <v>1</v>
      </c>
      <c r="I408" s="2" t="s">
        <v>526</v>
      </c>
      <c r="J408" s="3">
        <v>1</v>
      </c>
      <c r="K408" s="3">
        <v>5.2488000000000001</v>
      </c>
      <c r="L408" s="507">
        <v>6069.7646971246231</v>
      </c>
      <c r="M408" s="507">
        <v>0</v>
      </c>
      <c r="N408" s="507">
        <v>6069.7646971246231</v>
      </c>
      <c r="O408" s="507">
        <v>96.660992453001867</v>
      </c>
      <c r="P408">
        <v>1</v>
      </c>
      <c r="Q408" s="2" t="s">
        <v>526</v>
      </c>
      <c r="R408" s="3">
        <v>1</v>
      </c>
      <c r="S408" s="3">
        <v>5.2488000000000001</v>
      </c>
      <c r="T408" s="507">
        <v>6069.7646971246231</v>
      </c>
      <c r="U408" s="507">
        <v>0</v>
      </c>
      <c r="V408" s="507">
        <v>6069.7646971246231</v>
      </c>
      <c r="W408" s="507">
        <v>96.660992453001867</v>
      </c>
      <c r="X408" s="507">
        <v>6166.4256895776252</v>
      </c>
      <c r="Y408" s="507">
        <v>6166.4256895776252</v>
      </c>
      <c r="Z408" s="507">
        <v>32366.33515945504</v>
      </c>
      <c r="AA408" s="507">
        <v>32366.33515945504</v>
      </c>
      <c r="AB408" s="507">
        <v>32366.33515945504</v>
      </c>
      <c r="AC408" s="507">
        <v>0</v>
      </c>
      <c r="AD408" s="507">
        <v>0</v>
      </c>
      <c r="AE408" s="507">
        <v>0</v>
      </c>
      <c r="AF408" s="507"/>
      <c r="AG408" s="507"/>
      <c r="AH408" s="507">
        <v>0</v>
      </c>
      <c r="AI408" s="507">
        <v>0</v>
      </c>
      <c r="AJ408" s="507">
        <v>0</v>
      </c>
      <c r="AK408" s="507">
        <v>0</v>
      </c>
      <c r="AL408" s="507">
        <v>0</v>
      </c>
      <c r="AM408" s="507">
        <v>0</v>
      </c>
      <c r="AN408" s="507"/>
      <c r="AO408" s="507"/>
    </row>
    <row r="409" spans="1:41">
      <c r="A409" s="2" t="s">
        <v>1088</v>
      </c>
      <c r="B409" s="2" t="s">
        <v>372</v>
      </c>
      <c r="C409" s="2" t="s">
        <v>328</v>
      </c>
      <c r="D409" s="2" t="s">
        <v>18</v>
      </c>
      <c r="E409" s="2" t="s">
        <v>19</v>
      </c>
      <c r="F409" s="2" t="s">
        <v>20</v>
      </c>
      <c r="G409" s="2" t="s">
        <v>21</v>
      </c>
      <c r="H409">
        <v>1</v>
      </c>
      <c r="I409" s="2" t="s">
        <v>526</v>
      </c>
      <c r="J409" s="3">
        <v>1</v>
      </c>
      <c r="K409" s="3">
        <v>5.2488000000000001</v>
      </c>
      <c r="L409" s="507">
        <v>2076.5098477056536</v>
      </c>
      <c r="M409" s="507">
        <v>0</v>
      </c>
      <c r="N409" s="507">
        <v>2076.5098477056536</v>
      </c>
      <c r="O409" s="507">
        <v>33.068414034962707</v>
      </c>
      <c r="P409">
        <v>1</v>
      </c>
      <c r="Q409" s="2" t="s">
        <v>526</v>
      </c>
      <c r="R409" s="3">
        <v>1</v>
      </c>
      <c r="S409" s="3">
        <v>5.2488000000000001</v>
      </c>
      <c r="T409" s="507">
        <v>2076.5098477056536</v>
      </c>
      <c r="U409" s="507">
        <v>0</v>
      </c>
      <c r="V409" s="507">
        <v>2076.5098477056536</v>
      </c>
      <c r="W409" s="507">
        <v>33.068414034962707</v>
      </c>
      <c r="X409" s="507">
        <v>2109.5782617406162</v>
      </c>
      <c r="Y409" s="507">
        <v>2109.5782617406162</v>
      </c>
      <c r="Z409" s="507">
        <v>11072.754380224147</v>
      </c>
      <c r="AA409" s="507">
        <v>11072.754380224147</v>
      </c>
      <c r="AB409" s="507">
        <v>11072.754380224147</v>
      </c>
      <c r="AC409" s="507">
        <v>0</v>
      </c>
      <c r="AD409" s="507">
        <v>0</v>
      </c>
      <c r="AE409" s="507">
        <v>0</v>
      </c>
      <c r="AF409" s="507"/>
      <c r="AG409" s="507"/>
      <c r="AH409" s="507">
        <v>0</v>
      </c>
      <c r="AI409" s="507">
        <v>0</v>
      </c>
      <c r="AJ409" s="507">
        <v>0</v>
      </c>
      <c r="AK409" s="507">
        <v>0</v>
      </c>
      <c r="AL409" s="507">
        <v>0</v>
      </c>
      <c r="AM409" s="507">
        <v>0</v>
      </c>
      <c r="AN409" s="507"/>
      <c r="AO409" s="507"/>
    </row>
    <row r="410" spans="1:41">
      <c r="A410" s="2"/>
      <c r="B410" s="2"/>
      <c r="C410" s="2"/>
      <c r="D410" s="2"/>
      <c r="E410" s="2"/>
      <c r="F410" s="2"/>
      <c r="G410" s="2"/>
      <c r="I410" s="2"/>
      <c r="J410" s="3"/>
      <c r="K410" s="3"/>
      <c r="L410" s="507"/>
      <c r="M410" s="507"/>
      <c r="N410" s="507"/>
      <c r="O410" s="507"/>
      <c r="P410">
        <v>1</v>
      </c>
      <c r="Q410" s="2" t="s">
        <v>526</v>
      </c>
      <c r="R410" s="3">
        <v>1</v>
      </c>
      <c r="S410" s="3">
        <v>5.2488000000000001</v>
      </c>
      <c r="T410" s="507">
        <v>92316.750794131629</v>
      </c>
      <c r="U410" s="507">
        <v>0</v>
      </c>
      <c r="V410" s="507">
        <v>92316.750794131629</v>
      </c>
      <c r="W410" s="507">
        <v>2000.9655734628027</v>
      </c>
      <c r="X410" s="507"/>
      <c r="Y410" s="507">
        <v>94317.716367594432</v>
      </c>
      <c r="Z410" s="507"/>
      <c r="AA410" s="507">
        <v>495054.82967022969</v>
      </c>
      <c r="AB410" s="507"/>
      <c r="AC410" s="507"/>
      <c r="AD410" s="507"/>
      <c r="AE410" s="507"/>
      <c r="AF410" s="507"/>
      <c r="AG410" s="507"/>
      <c r="AH410" s="507"/>
      <c r="AI410" s="507">
        <v>0</v>
      </c>
      <c r="AJ410" s="507"/>
      <c r="AK410" s="507"/>
      <c r="AL410" s="507"/>
      <c r="AM410" s="507"/>
      <c r="AN410" s="507"/>
      <c r="AO410" s="507"/>
    </row>
    <row r="411" spans="1:41">
      <c r="A411" s="2" t="s">
        <v>1089</v>
      </c>
      <c r="B411" s="2" t="s">
        <v>368</v>
      </c>
      <c r="C411" s="2" t="s">
        <v>328</v>
      </c>
      <c r="D411" s="2" t="s">
        <v>18</v>
      </c>
      <c r="E411" s="2" t="s">
        <v>19</v>
      </c>
      <c r="F411" s="2" t="s">
        <v>20</v>
      </c>
      <c r="G411" s="2" t="s">
        <v>21</v>
      </c>
      <c r="H411">
        <v>1</v>
      </c>
      <c r="I411" s="2" t="s">
        <v>526</v>
      </c>
      <c r="J411" s="3">
        <v>1</v>
      </c>
      <c r="K411" s="3">
        <v>5.2488000000000001</v>
      </c>
      <c r="L411" s="507">
        <v>1623.4644700159445</v>
      </c>
      <c r="M411" s="507">
        <v>0</v>
      </c>
      <c r="N411" s="507">
        <v>1623.4644700159445</v>
      </c>
      <c r="O411" s="507">
        <v>25.85367532689974</v>
      </c>
      <c r="P411">
        <v>1</v>
      </c>
      <c r="Q411" s="2" t="s">
        <v>526</v>
      </c>
      <c r="R411" s="3">
        <v>1</v>
      </c>
      <c r="S411" s="3">
        <v>5.2488000000000001</v>
      </c>
      <c r="T411" s="507">
        <v>1623.4644700159445</v>
      </c>
      <c r="U411" s="507">
        <v>0</v>
      </c>
      <c r="V411" s="507">
        <v>1623.4644700159445</v>
      </c>
      <c r="W411" s="507">
        <v>25.85367532689974</v>
      </c>
      <c r="X411" s="507">
        <v>1649.3181453428442</v>
      </c>
      <c r="Y411" s="507">
        <v>1649.3181453428442</v>
      </c>
      <c r="Z411" s="507">
        <v>8656.9410812755214</v>
      </c>
      <c r="AA411" s="507">
        <v>8656.9410812755214</v>
      </c>
      <c r="AB411" s="507">
        <v>8656.9410812755214</v>
      </c>
      <c r="AC411" s="507">
        <v>0</v>
      </c>
      <c r="AD411" s="507">
        <v>0</v>
      </c>
      <c r="AE411" s="507">
        <v>0</v>
      </c>
      <c r="AF411" s="507"/>
      <c r="AG411" s="507"/>
      <c r="AH411" s="507">
        <v>0</v>
      </c>
      <c r="AI411" s="507">
        <v>0</v>
      </c>
      <c r="AJ411" s="507">
        <v>0</v>
      </c>
      <c r="AK411" s="507">
        <v>0</v>
      </c>
      <c r="AL411" s="507">
        <v>0</v>
      </c>
      <c r="AM411" s="507">
        <v>0</v>
      </c>
      <c r="AN411" s="507"/>
      <c r="AO411" s="507"/>
    </row>
    <row r="412" spans="1:41">
      <c r="A412" s="2"/>
      <c r="B412" s="2"/>
      <c r="C412" s="2"/>
      <c r="D412" s="2"/>
      <c r="E412" s="2"/>
      <c r="F412" s="2"/>
      <c r="G412" s="2"/>
      <c r="I412" s="2"/>
      <c r="J412" s="3"/>
      <c r="K412" s="3"/>
      <c r="L412" s="507"/>
      <c r="M412" s="507"/>
      <c r="N412" s="507"/>
      <c r="O412" s="507"/>
      <c r="P412">
        <v>1</v>
      </c>
      <c r="Q412" s="2" t="s">
        <v>526</v>
      </c>
      <c r="R412" s="3">
        <v>1</v>
      </c>
      <c r="S412" s="3">
        <v>5.2488000000000001</v>
      </c>
      <c r="T412" s="507">
        <v>6606.1652693418746</v>
      </c>
      <c r="U412" s="507">
        <v>0</v>
      </c>
      <c r="V412" s="507">
        <v>6606.1652693418746</v>
      </c>
      <c r="W412" s="507">
        <v>103.40491573201479</v>
      </c>
      <c r="X412" s="507"/>
      <c r="Y412" s="507">
        <v>6709.5701850738897</v>
      </c>
      <c r="Z412" s="507"/>
      <c r="AA412" s="507">
        <v>35217.191987415834</v>
      </c>
      <c r="AB412" s="507"/>
      <c r="AC412" s="507"/>
      <c r="AD412" s="507"/>
      <c r="AE412" s="507"/>
      <c r="AF412" s="507"/>
      <c r="AG412" s="507"/>
      <c r="AH412" s="507"/>
      <c r="AI412" s="507">
        <v>0</v>
      </c>
      <c r="AJ412" s="507"/>
      <c r="AK412" s="507"/>
      <c r="AL412" s="507"/>
      <c r="AM412" s="507"/>
      <c r="AN412" s="507"/>
      <c r="AO412" s="507"/>
    </row>
    <row r="413" spans="1:41">
      <c r="A413" s="2" t="s">
        <v>1090</v>
      </c>
      <c r="B413" s="2" t="s">
        <v>1091</v>
      </c>
      <c r="C413" s="2" t="s">
        <v>328</v>
      </c>
      <c r="D413" s="2" t="s">
        <v>18</v>
      </c>
      <c r="E413" s="2" t="s">
        <v>19</v>
      </c>
      <c r="F413" s="2" t="s">
        <v>20</v>
      </c>
      <c r="G413" s="2" t="s">
        <v>21</v>
      </c>
      <c r="H413">
        <v>1</v>
      </c>
      <c r="I413" s="2" t="s">
        <v>526</v>
      </c>
      <c r="J413" s="3">
        <v>1</v>
      </c>
      <c r="K413" s="3">
        <v>5.2488000000000001</v>
      </c>
      <c r="L413" s="507">
        <v>235.13556474369457</v>
      </c>
      <c r="M413" s="507">
        <v>0</v>
      </c>
      <c r="N413" s="507">
        <v>235.13556474369457</v>
      </c>
      <c r="O413" s="507">
        <v>3.7445520457115666</v>
      </c>
      <c r="P413">
        <v>1</v>
      </c>
      <c r="Q413" s="2" t="s">
        <v>526</v>
      </c>
      <c r="R413" s="3">
        <v>1</v>
      </c>
      <c r="S413" s="3">
        <v>5.2488000000000001</v>
      </c>
      <c r="T413" s="507">
        <v>235.13556474369457</v>
      </c>
      <c r="U413" s="507">
        <v>0</v>
      </c>
      <c r="V413" s="507">
        <v>235.13556474369457</v>
      </c>
      <c r="W413" s="507">
        <v>3.7445520457115666</v>
      </c>
      <c r="X413" s="507">
        <v>238.88011678940615</v>
      </c>
      <c r="Y413" s="507">
        <v>238.88011678940615</v>
      </c>
      <c r="Z413" s="507">
        <v>1253.8339570042351</v>
      </c>
      <c r="AA413" s="507">
        <v>1253.8339570042351</v>
      </c>
      <c r="AB413" s="507">
        <v>1253.8339570042351</v>
      </c>
      <c r="AC413" s="507">
        <v>0</v>
      </c>
      <c r="AD413" s="507">
        <v>0</v>
      </c>
      <c r="AE413" s="507">
        <v>0</v>
      </c>
      <c r="AF413" s="507"/>
      <c r="AG413" s="507"/>
      <c r="AH413" s="507">
        <v>0</v>
      </c>
      <c r="AI413" s="507">
        <v>0</v>
      </c>
      <c r="AJ413" s="507">
        <v>0</v>
      </c>
      <c r="AK413" s="507">
        <v>0</v>
      </c>
      <c r="AL413" s="507">
        <v>0</v>
      </c>
      <c r="AM413" s="507">
        <v>0</v>
      </c>
      <c r="AN413" s="507"/>
      <c r="AO413" s="507"/>
    </row>
    <row r="414" spans="1:41">
      <c r="A414" s="2"/>
      <c r="B414" s="2"/>
      <c r="C414" s="2"/>
      <c r="D414" s="2"/>
      <c r="E414" s="2"/>
      <c r="F414" s="2"/>
      <c r="G414" s="2"/>
      <c r="I414" s="2"/>
      <c r="J414" s="3"/>
      <c r="K414" s="3"/>
      <c r="L414" s="507"/>
      <c r="M414" s="507"/>
      <c r="N414" s="507"/>
      <c r="O414" s="507"/>
      <c r="P414">
        <v>1</v>
      </c>
      <c r="Q414" s="2" t="s">
        <v>526</v>
      </c>
      <c r="R414" s="3">
        <v>1</v>
      </c>
      <c r="S414" s="3">
        <v>5.2488000000000001</v>
      </c>
      <c r="T414" s="507">
        <v>92316.750794131629</v>
      </c>
      <c r="U414" s="507">
        <v>0</v>
      </c>
      <c r="V414" s="507">
        <v>92316.750794131629</v>
      </c>
      <c r="W414" s="507">
        <v>1432.4481882777752</v>
      </c>
      <c r="X414" s="507"/>
      <c r="Y414" s="507">
        <v>93749.198982409405</v>
      </c>
      <c r="Z414" s="507"/>
      <c r="AA414" s="507">
        <v>492070.79561887047</v>
      </c>
      <c r="AB414" s="507"/>
      <c r="AC414" s="507"/>
      <c r="AD414" s="507"/>
      <c r="AE414" s="507"/>
      <c r="AF414" s="507"/>
      <c r="AG414" s="507"/>
      <c r="AH414" s="507"/>
      <c r="AI414" s="507">
        <v>0</v>
      </c>
      <c r="AJ414" s="507"/>
      <c r="AK414" s="507"/>
      <c r="AL414" s="507"/>
      <c r="AM414" s="507"/>
      <c r="AN414" s="507"/>
      <c r="AO414" s="507"/>
    </row>
    <row r="415" spans="1:41">
      <c r="A415" s="2" t="s">
        <v>1092</v>
      </c>
      <c r="B415" s="2" t="s">
        <v>1093</v>
      </c>
      <c r="C415" s="2" t="s">
        <v>328</v>
      </c>
      <c r="D415" s="2" t="s">
        <v>18</v>
      </c>
      <c r="E415" s="2" t="s">
        <v>19</v>
      </c>
      <c r="F415" s="2" t="s">
        <v>20</v>
      </c>
      <c r="G415" s="2" t="s">
        <v>21</v>
      </c>
      <c r="H415">
        <v>1</v>
      </c>
      <c r="I415" s="2" t="s">
        <v>526</v>
      </c>
      <c r="J415" s="3">
        <v>1</v>
      </c>
      <c r="K415" s="3">
        <v>5.2488000000000001</v>
      </c>
      <c r="L415" s="507">
        <v>2867.7055752822162</v>
      </c>
      <c r="M415" s="507">
        <v>0</v>
      </c>
      <c r="N415" s="507">
        <v>2867.7055752822162</v>
      </c>
      <c r="O415" s="507">
        <v>43.71659733856103</v>
      </c>
      <c r="P415">
        <v>1</v>
      </c>
      <c r="Q415" s="2" t="s">
        <v>526</v>
      </c>
      <c r="R415" s="3">
        <v>1</v>
      </c>
      <c r="S415" s="3">
        <v>5.2488000000000001</v>
      </c>
      <c r="T415" s="507">
        <v>2867.7055752822162</v>
      </c>
      <c r="U415" s="507">
        <v>0</v>
      </c>
      <c r="V415" s="507">
        <v>2867.7055752822162</v>
      </c>
      <c r="W415" s="507">
        <v>43.71659733856103</v>
      </c>
      <c r="X415" s="507">
        <v>2911.422172620777</v>
      </c>
      <c r="Y415" s="507">
        <v>2911.422172620777</v>
      </c>
      <c r="Z415" s="507">
        <v>15281.472699651935</v>
      </c>
      <c r="AA415" s="507">
        <v>15281.472699651935</v>
      </c>
      <c r="AB415" s="507">
        <v>15281.472699651935</v>
      </c>
      <c r="AC415" s="507">
        <v>0</v>
      </c>
      <c r="AD415" s="507">
        <v>0</v>
      </c>
      <c r="AE415" s="507">
        <v>0</v>
      </c>
      <c r="AF415" s="507"/>
      <c r="AG415" s="507"/>
      <c r="AH415" s="507">
        <v>0</v>
      </c>
      <c r="AI415" s="507">
        <v>0</v>
      </c>
      <c r="AJ415" s="507">
        <v>0</v>
      </c>
      <c r="AK415" s="507">
        <v>0</v>
      </c>
      <c r="AL415" s="507">
        <v>0</v>
      </c>
      <c r="AM415" s="507">
        <v>0</v>
      </c>
      <c r="AN415" s="507"/>
      <c r="AO415" s="507"/>
    </row>
    <row r="416" spans="1:41">
      <c r="A416" s="2"/>
      <c r="B416" s="2"/>
      <c r="C416" s="2"/>
      <c r="D416" s="2"/>
      <c r="E416" s="2"/>
      <c r="F416" s="2"/>
      <c r="G416" s="2"/>
      <c r="I416" s="2"/>
      <c r="J416" s="3"/>
      <c r="K416" s="3"/>
      <c r="L416" s="507"/>
      <c r="M416" s="507"/>
      <c r="N416" s="507"/>
      <c r="O416" s="507"/>
      <c r="P416">
        <v>1</v>
      </c>
      <c r="Q416" s="2" t="s">
        <v>526</v>
      </c>
      <c r="R416" s="3">
        <v>1</v>
      </c>
      <c r="S416" s="3">
        <v>5.2488000000000001</v>
      </c>
      <c r="T416" s="507">
        <v>92316.750794131629</v>
      </c>
      <c r="U416" s="507">
        <v>0</v>
      </c>
      <c r="V416" s="507">
        <v>92316.750794131629</v>
      </c>
      <c r="W416" s="507">
        <v>1432.4481882777752</v>
      </c>
      <c r="X416" s="507"/>
      <c r="Y416" s="507">
        <v>93749.198982409405</v>
      </c>
      <c r="Z416" s="507"/>
      <c r="AA416" s="507">
        <v>492070.79561887047</v>
      </c>
      <c r="AB416" s="507"/>
      <c r="AC416" s="507"/>
      <c r="AD416" s="507"/>
      <c r="AE416" s="507"/>
      <c r="AF416" s="507"/>
      <c r="AG416" s="507"/>
      <c r="AH416" s="507"/>
      <c r="AI416" s="507">
        <v>0</v>
      </c>
      <c r="AJ416" s="507"/>
      <c r="AK416" s="507"/>
      <c r="AL416" s="507"/>
      <c r="AM416" s="507"/>
      <c r="AN416" s="507"/>
      <c r="AO416" s="507"/>
    </row>
    <row r="417" spans="1:41">
      <c r="A417" s="2" t="s">
        <v>1094</v>
      </c>
      <c r="B417" s="2" t="s">
        <v>1093</v>
      </c>
      <c r="C417" s="2" t="s">
        <v>328</v>
      </c>
      <c r="D417" s="2" t="s">
        <v>18</v>
      </c>
      <c r="E417" s="2" t="s">
        <v>19</v>
      </c>
      <c r="F417" s="2" t="s">
        <v>20</v>
      </c>
      <c r="G417" s="2" t="s">
        <v>21</v>
      </c>
      <c r="H417">
        <v>1</v>
      </c>
      <c r="I417" s="2" t="s">
        <v>526</v>
      </c>
      <c r="J417" s="3">
        <v>1</v>
      </c>
      <c r="K417" s="3">
        <v>5.2488000000000001</v>
      </c>
      <c r="L417" s="507">
        <v>390.91694293926463</v>
      </c>
      <c r="M417" s="507">
        <v>0</v>
      </c>
      <c r="N417" s="507">
        <v>390.91694293926463</v>
      </c>
      <c r="O417" s="507">
        <v>5.9592308972627848</v>
      </c>
      <c r="P417">
        <v>1</v>
      </c>
      <c r="Q417" s="2" t="s">
        <v>526</v>
      </c>
      <c r="R417" s="3">
        <v>1</v>
      </c>
      <c r="S417" s="3">
        <v>5.2488000000000001</v>
      </c>
      <c r="T417" s="507">
        <v>390.91694293926463</v>
      </c>
      <c r="U417" s="507">
        <v>0</v>
      </c>
      <c r="V417" s="507">
        <v>390.91694293926463</v>
      </c>
      <c r="W417" s="507">
        <v>5.9592308972627848</v>
      </c>
      <c r="X417" s="507">
        <v>396.87617383652741</v>
      </c>
      <c r="Y417" s="507">
        <v>396.87617383652741</v>
      </c>
      <c r="Z417" s="507">
        <v>2083.123661233165</v>
      </c>
      <c r="AA417" s="507">
        <v>2083.123661233165</v>
      </c>
      <c r="AB417" s="507">
        <v>2083.123661233165</v>
      </c>
      <c r="AC417" s="507">
        <v>0</v>
      </c>
      <c r="AD417" s="507">
        <v>0</v>
      </c>
      <c r="AE417" s="507">
        <v>0</v>
      </c>
      <c r="AF417" s="507"/>
      <c r="AG417" s="507"/>
      <c r="AH417" s="507">
        <v>0</v>
      </c>
      <c r="AI417" s="507">
        <v>0</v>
      </c>
      <c r="AJ417" s="507">
        <v>0</v>
      </c>
      <c r="AK417" s="507">
        <v>0</v>
      </c>
      <c r="AL417" s="507">
        <v>0</v>
      </c>
      <c r="AM417" s="507">
        <v>0</v>
      </c>
      <c r="AN417" s="507"/>
      <c r="AO417" s="507"/>
    </row>
    <row r="418" spans="1:41">
      <c r="A418" s="2" t="s">
        <v>1095</v>
      </c>
      <c r="B418" s="2" t="s">
        <v>1096</v>
      </c>
      <c r="C418" s="2" t="s">
        <v>328</v>
      </c>
      <c r="D418" s="2" t="s">
        <v>18</v>
      </c>
      <c r="E418" s="2" t="s">
        <v>19</v>
      </c>
      <c r="F418" s="2" t="s">
        <v>20</v>
      </c>
      <c r="G418" s="2" t="s">
        <v>21</v>
      </c>
      <c r="H418">
        <v>1</v>
      </c>
      <c r="I418" s="2" t="s">
        <v>526</v>
      </c>
      <c r="J418" s="3">
        <v>1</v>
      </c>
      <c r="K418" s="3">
        <v>5.2488000000000001</v>
      </c>
      <c r="L418" s="507">
        <v>4567.8684635594391</v>
      </c>
      <c r="M418" s="507">
        <v>0</v>
      </c>
      <c r="N418" s="507">
        <v>4567.8684635594391</v>
      </c>
      <c r="O418" s="507">
        <v>70.878031757210437</v>
      </c>
      <c r="P418">
        <v>1</v>
      </c>
      <c r="Q418" s="2" t="s">
        <v>526</v>
      </c>
      <c r="R418" s="3">
        <v>1</v>
      </c>
      <c r="S418" s="3">
        <v>5.2488000000000001</v>
      </c>
      <c r="T418" s="507">
        <v>4567.8684635594391</v>
      </c>
      <c r="U418" s="507">
        <v>0</v>
      </c>
      <c r="V418" s="507">
        <v>4567.8684635594391</v>
      </c>
      <c r="W418" s="507">
        <v>70.878031757210437</v>
      </c>
      <c r="X418" s="507">
        <v>4638.7464953166491</v>
      </c>
      <c r="Y418" s="507">
        <v>4638.7464953166491</v>
      </c>
      <c r="Z418" s="507">
        <v>24347.852604618027</v>
      </c>
      <c r="AA418" s="507">
        <v>24347.852604618027</v>
      </c>
      <c r="AB418" s="507">
        <v>24347.852604618027</v>
      </c>
      <c r="AC418" s="507">
        <v>0</v>
      </c>
      <c r="AD418" s="507">
        <v>0</v>
      </c>
      <c r="AE418" s="507">
        <v>0</v>
      </c>
      <c r="AF418" s="507"/>
      <c r="AG418" s="507"/>
      <c r="AH418" s="507">
        <v>0</v>
      </c>
      <c r="AI418" s="507">
        <v>0</v>
      </c>
      <c r="AJ418" s="507">
        <v>0</v>
      </c>
      <c r="AK418" s="507">
        <v>0</v>
      </c>
      <c r="AL418" s="507">
        <v>0</v>
      </c>
      <c r="AM418" s="507">
        <v>0</v>
      </c>
      <c r="AN418" s="507"/>
      <c r="AO418" s="507"/>
    </row>
    <row r="419" spans="1:41">
      <c r="A419" s="2" t="s">
        <v>1097</v>
      </c>
      <c r="B419" s="2" t="s">
        <v>364</v>
      </c>
      <c r="C419" s="2" t="s">
        <v>328</v>
      </c>
      <c r="D419" s="2" t="s">
        <v>18</v>
      </c>
      <c r="E419" s="2" t="s">
        <v>19</v>
      </c>
      <c r="F419" s="2" t="s">
        <v>20</v>
      </c>
      <c r="G419" s="2" t="s">
        <v>21</v>
      </c>
      <c r="H419">
        <v>1</v>
      </c>
      <c r="I419" s="2" t="s">
        <v>526</v>
      </c>
      <c r="J419" s="3">
        <v>1</v>
      </c>
      <c r="K419" s="3">
        <v>5.2488000000000001</v>
      </c>
      <c r="L419" s="507">
        <v>460.19586393921918</v>
      </c>
      <c r="M419" s="507">
        <v>0</v>
      </c>
      <c r="N419" s="507">
        <v>460.19586393921918</v>
      </c>
      <c r="O419" s="507">
        <v>7.140700673926081</v>
      </c>
      <c r="P419">
        <v>1</v>
      </c>
      <c r="Q419" s="2" t="s">
        <v>526</v>
      </c>
      <c r="R419" s="3">
        <v>1</v>
      </c>
      <c r="S419" s="3">
        <v>5.2488000000000001</v>
      </c>
      <c r="T419" s="507">
        <v>460.19586393921918</v>
      </c>
      <c r="U419" s="507">
        <v>0</v>
      </c>
      <c r="V419" s="507">
        <v>460.19586393921918</v>
      </c>
      <c r="W419" s="507">
        <v>7.140700673926081</v>
      </c>
      <c r="X419" s="507">
        <v>467.33656461314524</v>
      </c>
      <c r="Y419" s="507">
        <v>467.33656461314524</v>
      </c>
      <c r="Z419" s="507">
        <v>2452.9561603414768</v>
      </c>
      <c r="AA419" s="507">
        <v>2452.9561603414768</v>
      </c>
      <c r="AB419" s="507">
        <v>2452.9561603414768</v>
      </c>
      <c r="AC419" s="507">
        <v>0</v>
      </c>
      <c r="AD419" s="507">
        <v>0</v>
      </c>
      <c r="AE419" s="507">
        <v>0</v>
      </c>
      <c r="AF419" s="507"/>
      <c r="AG419" s="507"/>
      <c r="AH419" s="507">
        <v>0</v>
      </c>
      <c r="AI419" s="507">
        <v>0</v>
      </c>
      <c r="AJ419" s="507">
        <v>0</v>
      </c>
      <c r="AK419" s="507">
        <v>0</v>
      </c>
      <c r="AL419" s="507">
        <v>0</v>
      </c>
      <c r="AM419" s="507">
        <v>0</v>
      </c>
      <c r="AN419" s="507"/>
      <c r="AO419" s="507"/>
    </row>
    <row r="420" spans="1:41">
      <c r="A420" s="2" t="s">
        <v>1098</v>
      </c>
      <c r="B420" s="2" t="s">
        <v>1099</v>
      </c>
      <c r="C420" s="2" t="s">
        <v>328</v>
      </c>
      <c r="D420" s="2" t="s">
        <v>18</v>
      </c>
      <c r="E420" s="2" t="s">
        <v>19</v>
      </c>
      <c r="F420" s="2" t="s">
        <v>20</v>
      </c>
      <c r="G420" s="2" t="s">
        <v>21</v>
      </c>
      <c r="H420">
        <v>1</v>
      </c>
      <c r="I420" s="2" t="s">
        <v>526</v>
      </c>
      <c r="J420" s="3">
        <v>1</v>
      </c>
      <c r="K420" s="3">
        <v>5.2488000000000001</v>
      </c>
      <c r="L420" s="507">
        <v>276.82303989980062</v>
      </c>
      <c r="M420" s="507">
        <v>0</v>
      </c>
      <c r="N420" s="507">
        <v>276.82303989980062</v>
      </c>
      <c r="O420" s="507">
        <v>4.2953137809493569</v>
      </c>
      <c r="P420">
        <v>1</v>
      </c>
      <c r="Q420" s="2" t="s">
        <v>526</v>
      </c>
      <c r="R420" s="3">
        <v>1</v>
      </c>
      <c r="S420" s="3">
        <v>5.2488000000000001</v>
      </c>
      <c r="T420" s="507">
        <v>276.82303989980062</v>
      </c>
      <c r="U420" s="507">
        <v>0</v>
      </c>
      <c r="V420" s="507">
        <v>276.82303989980062</v>
      </c>
      <c r="W420" s="507">
        <v>4.2953137809493569</v>
      </c>
      <c r="X420" s="507">
        <v>281.11835368074998</v>
      </c>
      <c r="Y420" s="507">
        <v>281.11835368074998</v>
      </c>
      <c r="Z420" s="507">
        <v>1475.5340147995205</v>
      </c>
      <c r="AA420" s="507">
        <v>1475.5340147995205</v>
      </c>
      <c r="AB420" s="507">
        <v>1475.5340147995205</v>
      </c>
      <c r="AC420" s="507">
        <v>0</v>
      </c>
      <c r="AD420" s="507">
        <v>0</v>
      </c>
      <c r="AE420" s="507">
        <v>0</v>
      </c>
      <c r="AF420" s="507"/>
      <c r="AG420" s="507"/>
      <c r="AH420" s="507">
        <v>0</v>
      </c>
      <c r="AI420" s="507">
        <v>0</v>
      </c>
      <c r="AJ420" s="507">
        <v>0</v>
      </c>
      <c r="AK420" s="507">
        <v>0</v>
      </c>
      <c r="AL420" s="507">
        <v>0</v>
      </c>
      <c r="AM420" s="507">
        <v>0</v>
      </c>
      <c r="AN420" s="507"/>
      <c r="AO420" s="507"/>
    </row>
    <row r="421" spans="1:41">
      <c r="A421" s="2" t="s">
        <v>1100</v>
      </c>
      <c r="B421" s="2" t="s">
        <v>361</v>
      </c>
      <c r="C421" s="2" t="s">
        <v>328</v>
      </c>
      <c r="D421" s="2" t="s">
        <v>18</v>
      </c>
      <c r="E421" s="2" t="s">
        <v>19</v>
      </c>
      <c r="F421" s="2" t="s">
        <v>20</v>
      </c>
      <c r="G421" s="2" t="s">
        <v>21</v>
      </c>
      <c r="H421">
        <v>1</v>
      </c>
      <c r="I421" s="2" t="s">
        <v>526</v>
      </c>
      <c r="J421" s="3">
        <v>1</v>
      </c>
      <c r="K421" s="3">
        <v>5.2488000000000001</v>
      </c>
      <c r="L421" s="507">
        <v>17799.979712435845</v>
      </c>
      <c r="M421" s="507">
        <v>0</v>
      </c>
      <c r="N421" s="507">
        <v>17799.979712435845</v>
      </c>
      <c r="O421" s="507">
        <v>276.19639379540996</v>
      </c>
      <c r="P421">
        <v>1</v>
      </c>
      <c r="Q421" s="2" t="s">
        <v>526</v>
      </c>
      <c r="R421" s="3">
        <v>1</v>
      </c>
      <c r="S421" s="3">
        <v>5.2488000000000001</v>
      </c>
      <c r="T421" s="507">
        <v>17799.979712435845</v>
      </c>
      <c r="U421" s="507">
        <v>0</v>
      </c>
      <c r="V421" s="507">
        <v>17799.979712435845</v>
      </c>
      <c r="W421" s="507">
        <v>276.19639379540996</v>
      </c>
      <c r="X421" s="507">
        <v>18076.176106231254</v>
      </c>
      <c r="Y421" s="507">
        <v>18076.176106231254</v>
      </c>
      <c r="Z421" s="507">
        <v>94878.233146386614</v>
      </c>
      <c r="AA421" s="507">
        <v>94878.233146386614</v>
      </c>
      <c r="AB421" s="507">
        <v>94878.233146386614</v>
      </c>
      <c r="AC421" s="507">
        <v>0</v>
      </c>
      <c r="AD421" s="507">
        <v>0</v>
      </c>
      <c r="AE421" s="507">
        <v>0</v>
      </c>
      <c r="AF421" s="507"/>
      <c r="AG421" s="507"/>
      <c r="AH421" s="507">
        <v>0</v>
      </c>
      <c r="AI421" s="507">
        <v>0</v>
      </c>
      <c r="AJ421" s="507">
        <v>0</v>
      </c>
      <c r="AK421" s="507">
        <v>0</v>
      </c>
      <c r="AL421" s="507">
        <v>0</v>
      </c>
      <c r="AM421" s="507">
        <v>0</v>
      </c>
      <c r="AN421" s="507"/>
      <c r="AO421" s="507"/>
    </row>
    <row r="422" spans="1:41">
      <c r="A422" s="2" t="s">
        <v>1101</v>
      </c>
      <c r="B422" s="2" t="s">
        <v>361</v>
      </c>
      <c r="C422" s="2" t="s">
        <v>328</v>
      </c>
      <c r="D422" s="2" t="s">
        <v>18</v>
      </c>
      <c r="E422" s="2" t="s">
        <v>19</v>
      </c>
      <c r="F422" s="2" t="s">
        <v>20</v>
      </c>
      <c r="G422" s="2" t="s">
        <v>21</v>
      </c>
      <c r="H422">
        <v>1</v>
      </c>
      <c r="I422" s="2" t="s">
        <v>526</v>
      </c>
      <c r="J422" s="3">
        <v>1</v>
      </c>
      <c r="K422" s="3">
        <v>5.2488000000000001</v>
      </c>
      <c r="L422" s="507">
        <v>5751.9674212853533</v>
      </c>
      <c r="M422" s="507">
        <v>0</v>
      </c>
      <c r="N422" s="507">
        <v>5751.9674212853533</v>
      </c>
      <c r="O422" s="507">
        <v>89.251280767261704</v>
      </c>
      <c r="P422">
        <v>1</v>
      </c>
      <c r="Q422" s="2" t="s">
        <v>526</v>
      </c>
      <c r="R422" s="3">
        <v>1</v>
      </c>
      <c r="S422" s="3">
        <v>5.2488000000000001</v>
      </c>
      <c r="T422" s="507">
        <v>5751.9674212853533</v>
      </c>
      <c r="U422" s="507">
        <v>0</v>
      </c>
      <c r="V422" s="507">
        <v>5751.9674212853533</v>
      </c>
      <c r="W422" s="507">
        <v>89.251280767261704</v>
      </c>
      <c r="X422" s="507">
        <v>5841.2187020526153</v>
      </c>
      <c r="Y422" s="507">
        <v>5841.2187020526153</v>
      </c>
      <c r="Z422" s="507">
        <v>30659.388723333766</v>
      </c>
      <c r="AA422" s="507">
        <v>30659.388723333766</v>
      </c>
      <c r="AB422" s="507">
        <v>30659.388723333766</v>
      </c>
      <c r="AC422" s="507">
        <v>0</v>
      </c>
      <c r="AD422" s="507">
        <v>0</v>
      </c>
      <c r="AE422" s="507">
        <v>0</v>
      </c>
      <c r="AF422" s="507"/>
      <c r="AG422" s="507"/>
      <c r="AH422" s="507">
        <v>0</v>
      </c>
      <c r="AI422" s="507">
        <v>0</v>
      </c>
      <c r="AJ422" s="507">
        <v>0</v>
      </c>
      <c r="AK422" s="507">
        <v>0</v>
      </c>
      <c r="AL422" s="507">
        <v>0</v>
      </c>
      <c r="AM422" s="507">
        <v>0</v>
      </c>
      <c r="AN422" s="507"/>
      <c r="AO422" s="507"/>
    </row>
    <row r="423" spans="1:41">
      <c r="A423" s="2" t="s">
        <v>1102</v>
      </c>
      <c r="B423" s="2" t="s">
        <v>347</v>
      </c>
      <c r="C423" s="2" t="s">
        <v>328</v>
      </c>
      <c r="D423" s="2" t="s">
        <v>348</v>
      </c>
      <c r="E423" s="2" t="s">
        <v>19</v>
      </c>
      <c r="F423" s="2" t="s">
        <v>20</v>
      </c>
      <c r="G423" s="2" t="s">
        <v>21</v>
      </c>
      <c r="H423">
        <v>1</v>
      </c>
      <c r="I423" s="2" t="s">
        <v>526</v>
      </c>
      <c r="J423" s="3">
        <v>1</v>
      </c>
      <c r="K423" s="3">
        <v>5.2488000000000001</v>
      </c>
      <c r="L423" s="507">
        <v>10606.226263529894</v>
      </c>
      <c r="M423" s="507">
        <v>0</v>
      </c>
      <c r="N423" s="507">
        <v>10606.226263529894</v>
      </c>
      <c r="O423" s="507">
        <v>164.57325627420002</v>
      </c>
      <c r="P423">
        <v>1</v>
      </c>
      <c r="Q423" s="2" t="s">
        <v>526</v>
      </c>
      <c r="R423" s="3">
        <v>1</v>
      </c>
      <c r="S423" s="3">
        <v>5.2488000000000001</v>
      </c>
      <c r="T423" s="507">
        <v>10606.226263529894</v>
      </c>
      <c r="U423" s="507">
        <v>0</v>
      </c>
      <c r="V423" s="507">
        <v>10606.226263529894</v>
      </c>
      <c r="W423" s="507">
        <v>164.57325627420002</v>
      </c>
      <c r="X423" s="507">
        <v>10770.799519804094</v>
      </c>
      <c r="Y423" s="507">
        <v>10770.799519804094</v>
      </c>
      <c r="Z423" s="507">
        <v>56533.772519547725</v>
      </c>
      <c r="AA423" s="507">
        <v>56533.772519547725</v>
      </c>
      <c r="AB423" s="507">
        <v>56533.772519547725</v>
      </c>
      <c r="AC423" s="507">
        <v>0</v>
      </c>
      <c r="AD423" s="507">
        <v>0</v>
      </c>
      <c r="AE423" s="507">
        <v>0</v>
      </c>
      <c r="AF423" s="507"/>
      <c r="AG423" s="507"/>
      <c r="AH423" s="507">
        <v>0</v>
      </c>
      <c r="AI423" s="507">
        <v>0</v>
      </c>
      <c r="AJ423" s="507">
        <v>0</v>
      </c>
      <c r="AK423" s="507">
        <v>0</v>
      </c>
      <c r="AL423" s="507">
        <v>0</v>
      </c>
      <c r="AM423" s="507">
        <v>0</v>
      </c>
      <c r="AN423" s="507"/>
      <c r="AO423" s="507"/>
    </row>
    <row r="424" spans="1:41">
      <c r="A424" s="2" t="s">
        <v>1103</v>
      </c>
      <c r="B424" s="2" t="s">
        <v>365</v>
      </c>
      <c r="C424" s="2" t="s">
        <v>328</v>
      </c>
      <c r="D424" s="2" t="s">
        <v>18</v>
      </c>
      <c r="E424" s="2" t="s">
        <v>19</v>
      </c>
      <c r="F424" s="2" t="s">
        <v>20</v>
      </c>
      <c r="G424" s="2" t="s">
        <v>21</v>
      </c>
      <c r="H424">
        <v>1</v>
      </c>
      <c r="I424" s="2" t="s">
        <v>526</v>
      </c>
      <c r="J424" s="3">
        <v>1</v>
      </c>
      <c r="K424" s="3">
        <v>5.2488000000000001</v>
      </c>
      <c r="L424" s="507">
        <v>2459.710033446037</v>
      </c>
      <c r="M424" s="507">
        <v>0</v>
      </c>
      <c r="N424" s="507">
        <v>2459.710033446037</v>
      </c>
      <c r="O424" s="507">
        <v>38.166514280817843</v>
      </c>
      <c r="P424">
        <v>1</v>
      </c>
      <c r="Q424" s="2" t="s">
        <v>526</v>
      </c>
      <c r="R424" s="3">
        <v>1</v>
      </c>
      <c r="S424" s="3">
        <v>5.2488000000000001</v>
      </c>
      <c r="T424" s="507">
        <v>2459.710033446037</v>
      </c>
      <c r="U424" s="507">
        <v>0</v>
      </c>
      <c r="V424" s="507">
        <v>2459.710033446037</v>
      </c>
      <c r="W424" s="507">
        <v>38.166514280817843</v>
      </c>
      <c r="X424" s="507">
        <v>2497.8765477268548</v>
      </c>
      <c r="Y424" s="507">
        <v>2497.8765477268548</v>
      </c>
      <c r="Z424" s="507">
        <v>13110.854423708715</v>
      </c>
      <c r="AA424" s="507">
        <v>13110.854423708715</v>
      </c>
      <c r="AB424" s="507">
        <v>13110.854423708715</v>
      </c>
      <c r="AC424" s="507">
        <v>0</v>
      </c>
      <c r="AD424" s="507">
        <v>0</v>
      </c>
      <c r="AE424" s="507">
        <v>0</v>
      </c>
      <c r="AF424" s="507"/>
      <c r="AG424" s="507"/>
      <c r="AH424" s="507">
        <v>0</v>
      </c>
      <c r="AI424" s="507">
        <v>0</v>
      </c>
      <c r="AJ424" s="507">
        <v>0</v>
      </c>
      <c r="AK424" s="507">
        <v>0</v>
      </c>
      <c r="AL424" s="507">
        <v>0</v>
      </c>
      <c r="AM424" s="507">
        <v>0</v>
      </c>
      <c r="AN424" s="507"/>
      <c r="AO424" s="507"/>
    </row>
    <row r="425" spans="1:41">
      <c r="A425" s="2"/>
      <c r="B425" s="2"/>
      <c r="C425" s="2"/>
      <c r="D425" s="2"/>
      <c r="E425" s="2"/>
      <c r="F425" s="2"/>
      <c r="G425" s="2"/>
      <c r="I425" s="2"/>
      <c r="J425" s="3"/>
      <c r="K425" s="3"/>
      <c r="L425" s="507"/>
      <c r="M425" s="507"/>
      <c r="N425" s="507"/>
      <c r="O425" s="507"/>
      <c r="P425">
        <v>1</v>
      </c>
      <c r="Q425" s="2" t="s">
        <v>526</v>
      </c>
      <c r="R425" s="3">
        <v>1</v>
      </c>
      <c r="S425" s="3">
        <v>5.2488000000000001</v>
      </c>
      <c r="T425" s="507">
        <v>331.28899970083029</v>
      </c>
      <c r="U425" s="507">
        <v>0</v>
      </c>
      <c r="V425" s="507">
        <v>331.28899970083029</v>
      </c>
      <c r="W425" s="507">
        <v>5.0502801689437646</v>
      </c>
      <c r="X425" s="507"/>
      <c r="Y425" s="507">
        <v>336.33927986977403</v>
      </c>
      <c r="Z425" s="507"/>
      <c r="AA425" s="507">
        <v>1765.3776121804699</v>
      </c>
      <c r="AB425" s="507"/>
      <c r="AC425" s="507"/>
      <c r="AD425" s="507"/>
      <c r="AE425" s="507"/>
      <c r="AF425" s="507"/>
      <c r="AG425" s="507"/>
      <c r="AH425" s="507"/>
      <c r="AI425" s="507">
        <v>0</v>
      </c>
      <c r="AJ425" s="507"/>
      <c r="AK425" s="507"/>
      <c r="AL425" s="507"/>
      <c r="AM425" s="507"/>
      <c r="AN425" s="507"/>
      <c r="AO425" s="507"/>
    </row>
    <row r="426" spans="1:41">
      <c r="A426" s="2" t="s">
        <v>1104</v>
      </c>
      <c r="B426" s="2" t="s">
        <v>362</v>
      </c>
      <c r="C426" s="2" t="s">
        <v>328</v>
      </c>
      <c r="D426" s="2" t="s">
        <v>18</v>
      </c>
      <c r="E426" s="2" t="s">
        <v>19</v>
      </c>
      <c r="F426" s="2" t="s">
        <v>20</v>
      </c>
      <c r="G426" s="2" t="s">
        <v>21</v>
      </c>
      <c r="H426">
        <v>1</v>
      </c>
      <c r="I426" s="2" t="s">
        <v>526</v>
      </c>
      <c r="J426" s="3">
        <v>1</v>
      </c>
      <c r="K426" s="3">
        <v>5.2488000000000001</v>
      </c>
      <c r="L426" s="507">
        <v>7093.2932528907713</v>
      </c>
      <c r="M426" s="507">
        <v>0</v>
      </c>
      <c r="N426" s="507">
        <v>7093.2932528907713</v>
      </c>
      <c r="O426" s="507">
        <v>110.06427686730025</v>
      </c>
      <c r="P426">
        <v>1</v>
      </c>
      <c r="Q426" s="2" t="s">
        <v>526</v>
      </c>
      <c r="R426" s="3">
        <v>1</v>
      </c>
      <c r="S426" s="3">
        <v>5.2488000000000001</v>
      </c>
      <c r="T426" s="507">
        <v>7093.2932528907713</v>
      </c>
      <c r="U426" s="507">
        <v>0</v>
      </c>
      <c r="V426" s="507">
        <v>7093.2932528907713</v>
      </c>
      <c r="W426" s="507">
        <v>110.06427686730025</v>
      </c>
      <c r="X426" s="507">
        <v>7203.3575297580719</v>
      </c>
      <c r="Y426" s="507">
        <v>7203.3575297580719</v>
      </c>
      <c r="Z426" s="507">
        <v>37808.983002194167</v>
      </c>
      <c r="AA426" s="507">
        <v>37808.983002194167</v>
      </c>
      <c r="AB426" s="507">
        <v>37808.983002194167</v>
      </c>
      <c r="AC426" s="507">
        <v>0</v>
      </c>
      <c r="AD426" s="507">
        <v>0</v>
      </c>
      <c r="AE426" s="507">
        <v>0</v>
      </c>
      <c r="AF426" s="507"/>
      <c r="AG426" s="507"/>
      <c r="AH426" s="507">
        <v>0</v>
      </c>
      <c r="AI426" s="507">
        <v>0</v>
      </c>
      <c r="AJ426" s="507">
        <v>0</v>
      </c>
      <c r="AK426" s="507">
        <v>0</v>
      </c>
      <c r="AL426" s="507">
        <v>0</v>
      </c>
      <c r="AM426" s="507">
        <v>0</v>
      </c>
      <c r="AN426" s="507"/>
      <c r="AO426" s="507"/>
    </row>
    <row r="427" spans="1:41">
      <c r="A427" s="2"/>
      <c r="B427" s="2"/>
      <c r="C427" s="2"/>
      <c r="D427" s="2"/>
      <c r="E427" s="2"/>
      <c r="F427" s="2"/>
      <c r="G427" s="2"/>
      <c r="I427" s="2"/>
      <c r="J427" s="3"/>
      <c r="K427" s="3"/>
      <c r="L427" s="507"/>
      <c r="M427" s="507"/>
      <c r="N427" s="507"/>
      <c r="O427" s="507"/>
      <c r="P427">
        <v>1</v>
      </c>
      <c r="Q427" s="2" t="s">
        <v>526</v>
      </c>
      <c r="R427" s="3">
        <v>1</v>
      </c>
      <c r="S427" s="3">
        <v>5.2488000000000001</v>
      </c>
      <c r="T427" s="507">
        <v>2352.107844322416</v>
      </c>
      <c r="U427" s="507">
        <v>0</v>
      </c>
      <c r="V427" s="507">
        <v>2352.107844322416</v>
      </c>
      <c r="W427" s="507">
        <v>35.856564542447074</v>
      </c>
      <c r="X427" s="507"/>
      <c r="Y427" s="507">
        <v>2387.9644088648629</v>
      </c>
      <c r="Z427" s="507"/>
      <c r="AA427" s="507">
        <v>12533.947589249892</v>
      </c>
      <c r="AB427" s="507"/>
      <c r="AC427" s="507"/>
      <c r="AD427" s="507"/>
      <c r="AE427" s="507"/>
      <c r="AF427" s="507"/>
      <c r="AG427" s="507"/>
      <c r="AH427" s="507"/>
      <c r="AI427" s="507">
        <v>0</v>
      </c>
      <c r="AJ427" s="507"/>
      <c r="AK427" s="507"/>
      <c r="AL427" s="507"/>
      <c r="AM427" s="507"/>
      <c r="AN427" s="507"/>
      <c r="AO427" s="507"/>
    </row>
    <row r="428" spans="1:41">
      <c r="A428" s="2" t="s">
        <v>1105</v>
      </c>
      <c r="B428" s="2" t="s">
        <v>362</v>
      </c>
      <c r="C428" s="2" t="s">
        <v>328</v>
      </c>
      <c r="D428" s="2" t="s">
        <v>18</v>
      </c>
      <c r="E428" s="2" t="s">
        <v>19</v>
      </c>
      <c r="F428" s="2" t="s">
        <v>20</v>
      </c>
      <c r="G428" s="2" t="s">
        <v>21</v>
      </c>
      <c r="H428">
        <v>1</v>
      </c>
      <c r="I428" s="2" t="s">
        <v>526</v>
      </c>
      <c r="J428" s="3">
        <v>1</v>
      </c>
      <c r="K428" s="3">
        <v>5.2488000000000001</v>
      </c>
      <c r="L428" s="507">
        <v>2364.1837984937961</v>
      </c>
      <c r="M428" s="507">
        <v>0</v>
      </c>
      <c r="N428" s="507">
        <v>2364.1837984937961</v>
      </c>
      <c r="O428" s="507">
        <v>36.684276530067265</v>
      </c>
      <c r="P428">
        <v>1</v>
      </c>
      <c r="Q428" s="2" t="s">
        <v>526</v>
      </c>
      <c r="R428" s="3">
        <v>1</v>
      </c>
      <c r="S428" s="3">
        <v>5.2488000000000001</v>
      </c>
      <c r="T428" s="507">
        <v>2364.1837984937961</v>
      </c>
      <c r="U428" s="507">
        <v>0</v>
      </c>
      <c r="V428" s="507">
        <v>2364.1837984937961</v>
      </c>
      <c r="W428" s="507">
        <v>36.684276530067265</v>
      </c>
      <c r="X428" s="507">
        <v>2400.8680750238632</v>
      </c>
      <c r="Y428" s="507">
        <v>2400.8680750238632</v>
      </c>
      <c r="Z428" s="507">
        <v>12601.676352185254</v>
      </c>
      <c r="AA428" s="507">
        <v>12601.676352185254</v>
      </c>
      <c r="AB428" s="507">
        <v>12601.676352185254</v>
      </c>
      <c r="AC428" s="507">
        <v>0</v>
      </c>
      <c r="AD428" s="507">
        <v>0</v>
      </c>
      <c r="AE428" s="507">
        <v>0</v>
      </c>
      <c r="AF428" s="507"/>
      <c r="AG428" s="507"/>
      <c r="AH428" s="507">
        <v>0</v>
      </c>
      <c r="AI428" s="507">
        <v>0</v>
      </c>
      <c r="AJ428" s="507">
        <v>0</v>
      </c>
      <c r="AK428" s="507">
        <v>0</v>
      </c>
      <c r="AL428" s="507">
        <v>0</v>
      </c>
      <c r="AM428" s="507">
        <v>0</v>
      </c>
      <c r="AN428" s="507"/>
      <c r="AO428" s="507"/>
    </row>
    <row r="429" spans="1:41">
      <c r="A429" s="2"/>
      <c r="B429" s="2"/>
      <c r="C429" s="2"/>
      <c r="D429" s="2"/>
      <c r="E429" s="2"/>
      <c r="F429" s="2"/>
      <c r="G429" s="2"/>
      <c r="I429" s="2"/>
      <c r="J429" s="3"/>
      <c r="K429" s="3"/>
      <c r="L429" s="507"/>
      <c r="M429" s="507"/>
      <c r="N429" s="507"/>
      <c r="O429" s="507"/>
      <c r="P429">
        <v>1</v>
      </c>
      <c r="Q429" s="2" t="s">
        <v>526</v>
      </c>
      <c r="R429" s="3">
        <v>1</v>
      </c>
      <c r="S429" s="3">
        <v>5.2488000000000001</v>
      </c>
      <c r="T429" s="507">
        <v>794.15521797352039</v>
      </c>
      <c r="U429" s="507">
        <v>0</v>
      </c>
      <c r="V429" s="507">
        <v>794.15521797352039</v>
      </c>
      <c r="W429" s="507">
        <v>12.10641869914242</v>
      </c>
      <c r="X429" s="507"/>
      <c r="Y429" s="507">
        <v>806.2616366726628</v>
      </c>
      <c r="Z429" s="507"/>
      <c r="AA429" s="507">
        <v>4231.9060785674728</v>
      </c>
      <c r="AB429" s="507"/>
      <c r="AC429" s="507"/>
      <c r="AD429" s="507"/>
      <c r="AE429" s="507"/>
      <c r="AF429" s="507"/>
      <c r="AG429" s="507"/>
      <c r="AH429" s="507"/>
      <c r="AI429" s="507">
        <v>0</v>
      </c>
      <c r="AJ429" s="507"/>
      <c r="AK429" s="507"/>
      <c r="AL429" s="507"/>
      <c r="AM429" s="507"/>
      <c r="AN429" s="507"/>
      <c r="AO429" s="507"/>
    </row>
    <row r="430" spans="1:41">
      <c r="A430" s="2" t="s">
        <v>1106</v>
      </c>
      <c r="B430" s="2" t="s">
        <v>337</v>
      </c>
      <c r="C430" s="2" t="s">
        <v>328</v>
      </c>
      <c r="D430" s="2" t="s">
        <v>18</v>
      </c>
      <c r="E430" s="2" t="s">
        <v>19</v>
      </c>
      <c r="F430" s="2" t="s">
        <v>20</v>
      </c>
      <c r="G430" s="2" t="s">
        <v>21</v>
      </c>
      <c r="H430">
        <v>1</v>
      </c>
      <c r="I430" s="2" t="s">
        <v>526</v>
      </c>
      <c r="J430" s="3">
        <v>1</v>
      </c>
      <c r="K430" s="3">
        <v>5.2488000000000001</v>
      </c>
      <c r="L430" s="507">
        <v>78939.201520452116</v>
      </c>
      <c r="M430" s="507">
        <v>0</v>
      </c>
      <c r="N430" s="507">
        <v>78939.201520452116</v>
      </c>
      <c r="O430" s="507">
        <v>1203.3842962338108</v>
      </c>
      <c r="P430">
        <v>1</v>
      </c>
      <c r="Q430" s="2" t="s">
        <v>526</v>
      </c>
      <c r="R430" s="3">
        <v>1</v>
      </c>
      <c r="S430" s="3">
        <v>5.2488000000000001</v>
      </c>
      <c r="T430" s="507">
        <v>78939.201520452116</v>
      </c>
      <c r="U430" s="507">
        <v>0</v>
      </c>
      <c r="V430" s="507">
        <v>78939.201520452116</v>
      </c>
      <c r="W430" s="507">
        <v>1203.3842962338108</v>
      </c>
      <c r="X430" s="507">
        <v>80142.585816685925</v>
      </c>
      <c r="Y430" s="507">
        <v>80142.585816685925</v>
      </c>
      <c r="Z430" s="507">
        <v>420652.4044346211</v>
      </c>
      <c r="AA430" s="507">
        <v>420652.4044346211</v>
      </c>
      <c r="AB430" s="507">
        <v>420652.4044346211</v>
      </c>
      <c r="AC430" s="507">
        <v>0</v>
      </c>
      <c r="AD430" s="507">
        <v>0</v>
      </c>
      <c r="AE430" s="507">
        <v>0</v>
      </c>
      <c r="AF430" s="507"/>
      <c r="AG430" s="507"/>
      <c r="AH430" s="507">
        <v>0</v>
      </c>
      <c r="AI430" s="507">
        <v>0</v>
      </c>
      <c r="AJ430" s="507">
        <v>0</v>
      </c>
      <c r="AK430" s="507">
        <v>0</v>
      </c>
      <c r="AL430" s="507">
        <v>0</v>
      </c>
      <c r="AM430" s="507">
        <v>0</v>
      </c>
      <c r="AN430" s="507"/>
      <c r="AO430" s="507"/>
    </row>
    <row r="431" spans="1:41">
      <c r="A431" s="2"/>
      <c r="B431" s="2"/>
      <c r="C431" s="2"/>
      <c r="D431" s="2"/>
      <c r="E431" s="2"/>
      <c r="F431" s="2"/>
      <c r="G431" s="2"/>
      <c r="I431" s="2"/>
      <c r="J431" s="3"/>
      <c r="K431" s="3"/>
      <c r="L431" s="507"/>
      <c r="M431" s="507"/>
      <c r="N431" s="507"/>
      <c r="O431" s="507"/>
      <c r="P431">
        <v>1</v>
      </c>
      <c r="Q431" s="2" t="s">
        <v>526</v>
      </c>
      <c r="R431" s="3">
        <v>1</v>
      </c>
      <c r="S431" s="3">
        <v>5.2488000000000001</v>
      </c>
      <c r="T431" s="507">
        <v>775.1844949523296</v>
      </c>
      <c r="U431" s="507">
        <v>0</v>
      </c>
      <c r="V431" s="507">
        <v>775.1844949523296</v>
      </c>
      <c r="W431" s="507">
        <v>11.8172826356552</v>
      </c>
      <c r="X431" s="507"/>
      <c r="Y431" s="507">
        <v>787.00177758798475</v>
      </c>
      <c r="Z431" s="507"/>
      <c r="AA431" s="507">
        <v>4130.8149302038146</v>
      </c>
      <c r="AB431" s="507"/>
      <c r="AC431" s="507"/>
      <c r="AD431" s="507"/>
      <c r="AE431" s="507"/>
      <c r="AF431" s="507"/>
      <c r="AG431" s="507"/>
      <c r="AH431" s="507"/>
      <c r="AI431" s="507">
        <v>0</v>
      </c>
      <c r="AJ431" s="507"/>
      <c r="AK431" s="507"/>
      <c r="AL431" s="507"/>
      <c r="AM431" s="507"/>
      <c r="AN431" s="507"/>
      <c r="AO431" s="507"/>
    </row>
    <row r="432" spans="1:41">
      <c r="A432" s="2" t="s">
        <v>1107</v>
      </c>
      <c r="B432" s="2" t="s">
        <v>337</v>
      </c>
      <c r="C432" s="2" t="s">
        <v>328</v>
      </c>
      <c r="D432" s="2" t="s">
        <v>18</v>
      </c>
      <c r="E432" s="2" t="s">
        <v>19</v>
      </c>
      <c r="F432" s="2" t="s">
        <v>20</v>
      </c>
      <c r="G432" s="2" t="s">
        <v>21</v>
      </c>
      <c r="H432">
        <v>1</v>
      </c>
      <c r="I432" s="2" t="s">
        <v>526</v>
      </c>
      <c r="J432" s="3">
        <v>1</v>
      </c>
      <c r="K432" s="3">
        <v>5.2488000000000001</v>
      </c>
      <c r="L432" s="507">
        <v>29180.585468851143</v>
      </c>
      <c r="M432" s="507">
        <v>0</v>
      </c>
      <c r="N432" s="507">
        <v>29180.585468851143</v>
      </c>
      <c r="O432" s="507">
        <v>444.84174194713921</v>
      </c>
      <c r="P432">
        <v>1</v>
      </c>
      <c r="Q432" s="2" t="s">
        <v>526</v>
      </c>
      <c r="R432" s="3">
        <v>1</v>
      </c>
      <c r="S432" s="3">
        <v>5.2488000000000001</v>
      </c>
      <c r="T432" s="507">
        <v>29180.585468851143</v>
      </c>
      <c r="U432" s="507">
        <v>0</v>
      </c>
      <c r="V432" s="507">
        <v>29180.585468851143</v>
      </c>
      <c r="W432" s="507">
        <v>444.84174194713921</v>
      </c>
      <c r="X432" s="507">
        <v>29625.427210798283</v>
      </c>
      <c r="Y432" s="507">
        <v>29625.427210798283</v>
      </c>
      <c r="Z432" s="507">
        <v>155497.94234403802</v>
      </c>
      <c r="AA432" s="507">
        <v>155497.94234403802</v>
      </c>
      <c r="AB432" s="507">
        <v>155497.94234403802</v>
      </c>
      <c r="AC432" s="507">
        <v>0</v>
      </c>
      <c r="AD432" s="507">
        <v>0</v>
      </c>
      <c r="AE432" s="507">
        <v>0</v>
      </c>
      <c r="AF432" s="507"/>
      <c r="AG432" s="507"/>
      <c r="AH432" s="507">
        <v>0</v>
      </c>
      <c r="AI432" s="507">
        <v>0</v>
      </c>
      <c r="AJ432" s="507">
        <v>0</v>
      </c>
      <c r="AK432" s="507">
        <v>0</v>
      </c>
      <c r="AL432" s="507">
        <v>0</v>
      </c>
      <c r="AM432" s="507">
        <v>0</v>
      </c>
      <c r="AN432" s="507"/>
      <c r="AO432" s="507"/>
    </row>
    <row r="433" spans="1:41">
      <c r="A433" s="2"/>
      <c r="B433" s="2"/>
      <c r="C433" s="2"/>
      <c r="D433" s="2"/>
      <c r="E433" s="2"/>
      <c r="F433" s="2"/>
      <c r="G433" s="2"/>
      <c r="I433" s="2"/>
      <c r="J433" s="3"/>
      <c r="K433" s="3"/>
      <c r="L433" s="507"/>
      <c r="M433" s="507"/>
      <c r="N433" s="507"/>
      <c r="O433" s="507"/>
      <c r="P433">
        <v>1</v>
      </c>
      <c r="Q433" s="2" t="s">
        <v>526</v>
      </c>
      <c r="R433" s="3">
        <v>1</v>
      </c>
      <c r="S433" s="3">
        <v>5.2488000000000001</v>
      </c>
      <c r="T433" s="507">
        <v>6709.4402030887704</v>
      </c>
      <c r="U433" s="507">
        <v>0</v>
      </c>
      <c r="V433" s="507">
        <v>6709.4402030887704</v>
      </c>
      <c r="W433" s="507">
        <v>101.36840820949624</v>
      </c>
      <c r="X433" s="507"/>
      <c r="Y433" s="507">
        <v>6810.8086112982664</v>
      </c>
      <c r="Z433" s="507"/>
      <c r="AA433" s="507">
        <v>35748.572238982342</v>
      </c>
      <c r="AB433" s="507"/>
      <c r="AC433" s="507"/>
      <c r="AD433" s="507"/>
      <c r="AE433" s="507"/>
      <c r="AF433" s="507"/>
      <c r="AG433" s="507"/>
      <c r="AH433" s="507"/>
      <c r="AI433" s="507">
        <v>0</v>
      </c>
      <c r="AJ433" s="507"/>
      <c r="AK433" s="507"/>
      <c r="AL433" s="507"/>
      <c r="AM433" s="507"/>
      <c r="AN433" s="507"/>
      <c r="AO433" s="507"/>
    </row>
    <row r="434" spans="1:41">
      <c r="A434" s="2" t="s">
        <v>1108</v>
      </c>
      <c r="B434" s="2" t="s">
        <v>337</v>
      </c>
      <c r="C434" s="2" t="s">
        <v>328</v>
      </c>
      <c r="D434" s="2" t="s">
        <v>18</v>
      </c>
      <c r="E434" s="2" t="s">
        <v>19</v>
      </c>
      <c r="F434" s="2" t="s">
        <v>20</v>
      </c>
      <c r="G434" s="2" t="s">
        <v>21</v>
      </c>
      <c r="H434">
        <v>1</v>
      </c>
      <c r="I434" s="2" t="s">
        <v>526</v>
      </c>
      <c r="J434" s="3">
        <v>1</v>
      </c>
      <c r="K434" s="3">
        <v>5.2488000000000001</v>
      </c>
      <c r="L434" s="507">
        <v>26119.845567658394</v>
      </c>
      <c r="M434" s="507">
        <v>0</v>
      </c>
      <c r="N434" s="507">
        <v>26119.845567658394</v>
      </c>
      <c r="O434" s="507">
        <v>398.18245586026444</v>
      </c>
      <c r="P434">
        <v>1</v>
      </c>
      <c r="Q434" s="2" t="s">
        <v>526</v>
      </c>
      <c r="R434" s="3">
        <v>1</v>
      </c>
      <c r="S434" s="3">
        <v>5.2488000000000001</v>
      </c>
      <c r="T434" s="507">
        <v>26119.845567658394</v>
      </c>
      <c r="U434" s="507">
        <v>0</v>
      </c>
      <c r="V434" s="507">
        <v>26119.845567658394</v>
      </c>
      <c r="W434" s="507">
        <v>398.18245586026444</v>
      </c>
      <c r="X434" s="507">
        <v>26518.028023518658</v>
      </c>
      <c r="Y434" s="507">
        <v>26518.028023518658</v>
      </c>
      <c r="Z434" s="507">
        <v>139187.82548984475</v>
      </c>
      <c r="AA434" s="507">
        <v>139187.82548984475</v>
      </c>
      <c r="AB434" s="507">
        <v>139187.82548984475</v>
      </c>
      <c r="AC434" s="507">
        <v>0</v>
      </c>
      <c r="AD434" s="507">
        <v>0</v>
      </c>
      <c r="AE434" s="507">
        <v>0</v>
      </c>
      <c r="AF434" s="507"/>
      <c r="AG434" s="507"/>
      <c r="AH434" s="507">
        <v>0</v>
      </c>
      <c r="AI434" s="507">
        <v>0</v>
      </c>
      <c r="AJ434" s="507">
        <v>0</v>
      </c>
      <c r="AK434" s="507">
        <v>0</v>
      </c>
      <c r="AL434" s="507">
        <v>0</v>
      </c>
      <c r="AM434" s="507">
        <v>0</v>
      </c>
      <c r="AN434" s="507"/>
      <c r="AO434" s="507"/>
    </row>
    <row r="435" spans="1:41">
      <c r="A435" s="2"/>
      <c r="B435" s="2"/>
      <c r="C435" s="2"/>
      <c r="D435" s="2"/>
      <c r="E435" s="2"/>
      <c r="F435" s="2"/>
      <c r="G435" s="2"/>
      <c r="I435" s="2"/>
      <c r="J435" s="3"/>
      <c r="K435" s="3"/>
      <c r="L435" s="507"/>
      <c r="M435" s="507"/>
      <c r="N435" s="507"/>
      <c r="O435" s="507"/>
      <c r="P435">
        <v>1</v>
      </c>
      <c r="Q435" s="2" t="s">
        <v>526</v>
      </c>
      <c r="R435" s="3">
        <v>1</v>
      </c>
      <c r="S435" s="3">
        <v>5.2488000000000001</v>
      </c>
      <c r="T435" s="507">
        <v>3931.5763665118966</v>
      </c>
      <c r="U435" s="507">
        <v>0</v>
      </c>
      <c r="V435" s="507">
        <v>3931.5763665118966</v>
      </c>
      <c r="W435" s="507">
        <v>59.399551596969687</v>
      </c>
      <c r="X435" s="507"/>
      <c r="Y435" s="507">
        <v>3990.9759181088662</v>
      </c>
      <c r="Z435" s="507"/>
      <c r="AA435" s="507">
        <v>20947.834398969819</v>
      </c>
      <c r="AB435" s="507"/>
      <c r="AC435" s="507"/>
      <c r="AD435" s="507"/>
      <c r="AE435" s="507"/>
      <c r="AF435" s="507"/>
      <c r="AG435" s="507"/>
      <c r="AH435" s="507"/>
      <c r="AI435" s="507">
        <v>0</v>
      </c>
      <c r="AJ435" s="507"/>
      <c r="AK435" s="507"/>
      <c r="AL435" s="507"/>
      <c r="AM435" s="507"/>
      <c r="AN435" s="507"/>
      <c r="AO435" s="507"/>
    </row>
    <row r="436" spans="1:41">
      <c r="A436" s="2" t="s">
        <v>1109</v>
      </c>
      <c r="B436" s="2" t="s">
        <v>1110</v>
      </c>
      <c r="C436" s="2" t="s">
        <v>328</v>
      </c>
      <c r="D436" s="2" t="s">
        <v>18</v>
      </c>
      <c r="E436" s="2" t="s">
        <v>19</v>
      </c>
      <c r="F436" s="2" t="s">
        <v>20</v>
      </c>
      <c r="G436" s="2" t="s">
        <v>21</v>
      </c>
      <c r="H436">
        <v>1</v>
      </c>
      <c r="I436" s="2" t="s">
        <v>526</v>
      </c>
      <c r="J436" s="3">
        <v>1</v>
      </c>
      <c r="K436" s="3">
        <v>5.2488000000000001</v>
      </c>
      <c r="L436" s="507">
        <v>2235.4665528615387</v>
      </c>
      <c r="M436" s="507">
        <v>0</v>
      </c>
      <c r="N436" s="507">
        <v>2235.4665528615387</v>
      </c>
      <c r="O436" s="507">
        <v>34.07835928865051</v>
      </c>
      <c r="P436">
        <v>1</v>
      </c>
      <c r="Q436" s="2" t="s">
        <v>526</v>
      </c>
      <c r="R436" s="3">
        <v>1</v>
      </c>
      <c r="S436" s="3">
        <v>5.2488000000000001</v>
      </c>
      <c r="T436" s="507">
        <v>2235.4665528615387</v>
      </c>
      <c r="U436" s="507">
        <v>0</v>
      </c>
      <c r="V436" s="507">
        <v>2235.4665528615387</v>
      </c>
      <c r="W436" s="507">
        <v>34.07835928865051</v>
      </c>
      <c r="X436" s="507">
        <v>2269.5449121501892</v>
      </c>
      <c r="Y436" s="507">
        <v>2269.5449121501892</v>
      </c>
      <c r="Z436" s="507">
        <v>11912.387334893914</v>
      </c>
      <c r="AA436" s="507">
        <v>11912.387334893914</v>
      </c>
      <c r="AB436" s="507">
        <v>11912.387334893914</v>
      </c>
      <c r="AC436" s="507">
        <v>0</v>
      </c>
      <c r="AD436" s="507">
        <v>0</v>
      </c>
      <c r="AE436" s="507">
        <v>0</v>
      </c>
      <c r="AF436" s="507"/>
      <c r="AG436" s="507"/>
      <c r="AH436" s="507">
        <v>0</v>
      </c>
      <c r="AI436" s="507">
        <v>0</v>
      </c>
      <c r="AJ436" s="507">
        <v>0</v>
      </c>
      <c r="AK436" s="507">
        <v>0</v>
      </c>
      <c r="AL436" s="507">
        <v>0</v>
      </c>
      <c r="AM436" s="507">
        <v>0</v>
      </c>
      <c r="AN436" s="507"/>
      <c r="AO436" s="507"/>
    </row>
    <row r="437" spans="1:41">
      <c r="A437" s="2"/>
      <c r="B437" s="2"/>
      <c r="C437" s="2"/>
      <c r="D437" s="2"/>
      <c r="E437" s="2"/>
      <c r="F437" s="2"/>
      <c r="G437" s="2"/>
      <c r="I437" s="2"/>
      <c r="J437" s="3"/>
      <c r="K437" s="3"/>
      <c r="L437" s="507"/>
      <c r="M437" s="507"/>
      <c r="N437" s="507"/>
      <c r="O437" s="507"/>
      <c r="P437">
        <v>1</v>
      </c>
      <c r="Q437" s="2" t="s">
        <v>526</v>
      </c>
      <c r="R437" s="3">
        <v>1</v>
      </c>
      <c r="S437" s="3">
        <v>5.2488000000000001</v>
      </c>
      <c r="T437" s="507">
        <v>2602.9863692125355</v>
      </c>
      <c r="U437" s="507">
        <v>0</v>
      </c>
      <c r="V437" s="507">
        <v>2602.9863692125355</v>
      </c>
      <c r="W437" s="507">
        <v>39.326751204798477</v>
      </c>
      <c r="X437" s="507"/>
      <c r="Y437" s="507">
        <v>2642.3131204173337</v>
      </c>
      <c r="Z437" s="507"/>
      <c r="AA437" s="507">
        <v>13868.973106446501</v>
      </c>
      <c r="AB437" s="507"/>
      <c r="AC437" s="507"/>
      <c r="AD437" s="507"/>
      <c r="AE437" s="507"/>
      <c r="AF437" s="507"/>
      <c r="AG437" s="507"/>
      <c r="AH437" s="507"/>
      <c r="AI437" s="507">
        <v>0</v>
      </c>
      <c r="AJ437" s="507"/>
      <c r="AK437" s="507"/>
      <c r="AL437" s="507"/>
      <c r="AM437" s="507"/>
      <c r="AN437" s="507"/>
      <c r="AO437" s="507"/>
    </row>
    <row r="438" spans="1:41">
      <c r="A438" s="2" t="s">
        <v>1111</v>
      </c>
      <c r="B438" s="2" t="s">
        <v>376</v>
      </c>
      <c r="C438" s="2" t="s">
        <v>328</v>
      </c>
      <c r="D438" s="2" t="s">
        <v>18</v>
      </c>
      <c r="E438" s="2" t="s">
        <v>19</v>
      </c>
      <c r="F438" s="2" t="s">
        <v>20</v>
      </c>
      <c r="G438" s="2" t="s">
        <v>21</v>
      </c>
      <c r="H438">
        <v>1</v>
      </c>
      <c r="I438" s="2" t="s">
        <v>526</v>
      </c>
      <c r="J438" s="3">
        <v>1</v>
      </c>
      <c r="K438" s="3">
        <v>5.2488000000000001</v>
      </c>
      <c r="L438" s="507">
        <v>2413.3463455952051</v>
      </c>
      <c r="M438" s="507">
        <v>0</v>
      </c>
      <c r="N438" s="507">
        <v>2413.3463455952051</v>
      </c>
      <c r="O438" s="507">
        <v>36.790071526477334</v>
      </c>
      <c r="P438">
        <v>1</v>
      </c>
      <c r="Q438" s="2" t="s">
        <v>526</v>
      </c>
      <c r="R438" s="3">
        <v>1</v>
      </c>
      <c r="S438" s="3">
        <v>5.2488000000000001</v>
      </c>
      <c r="T438" s="507">
        <v>2413.3463455952051</v>
      </c>
      <c r="U438" s="507">
        <v>0</v>
      </c>
      <c r="V438" s="507">
        <v>2413.3463455952051</v>
      </c>
      <c r="W438" s="507">
        <v>36.790071526477334</v>
      </c>
      <c r="X438" s="507">
        <v>2450.1364171216824</v>
      </c>
      <c r="Y438" s="507">
        <v>2450.1364171216824</v>
      </c>
      <c r="Z438" s="507">
        <v>12860.276026188287</v>
      </c>
      <c r="AA438" s="507">
        <v>12860.276026188287</v>
      </c>
      <c r="AB438" s="507">
        <v>12860.276026188287</v>
      </c>
      <c r="AC438" s="507">
        <v>0</v>
      </c>
      <c r="AD438" s="507">
        <v>0</v>
      </c>
      <c r="AE438" s="507">
        <v>0</v>
      </c>
      <c r="AF438" s="507"/>
      <c r="AG438" s="507"/>
      <c r="AH438" s="507">
        <v>0</v>
      </c>
      <c r="AI438" s="507">
        <v>0</v>
      </c>
      <c r="AJ438" s="507">
        <v>0</v>
      </c>
      <c r="AK438" s="507">
        <v>0</v>
      </c>
      <c r="AL438" s="507">
        <v>0</v>
      </c>
      <c r="AM438" s="507">
        <v>0</v>
      </c>
      <c r="AN438" s="507"/>
      <c r="AO438" s="507"/>
    </row>
    <row r="439" spans="1:41">
      <c r="A439" s="2"/>
      <c r="B439" s="2"/>
      <c r="C439" s="2"/>
      <c r="D439" s="2"/>
      <c r="E439" s="2"/>
      <c r="F439" s="2"/>
      <c r="G439" s="2"/>
      <c r="I439" s="2"/>
      <c r="J439" s="3"/>
      <c r="K439" s="3"/>
      <c r="L439" s="507"/>
      <c r="M439" s="507"/>
      <c r="N439" s="507"/>
      <c r="O439" s="507"/>
      <c r="P439">
        <v>1</v>
      </c>
      <c r="Q439" s="2" t="s">
        <v>526</v>
      </c>
      <c r="R439" s="3">
        <v>1</v>
      </c>
      <c r="S439" s="3">
        <v>5.2488000000000001</v>
      </c>
      <c r="T439" s="507">
        <v>7143.3086221360154</v>
      </c>
      <c r="U439" s="507">
        <v>0</v>
      </c>
      <c r="V439" s="507">
        <v>7143.3086221360154</v>
      </c>
      <c r="W439" s="507">
        <v>107.92345141638432</v>
      </c>
      <c r="X439" s="507"/>
      <c r="Y439" s="507">
        <v>7251.2320735523999</v>
      </c>
      <c r="Z439" s="507"/>
      <c r="AA439" s="507">
        <v>38060.26690766184</v>
      </c>
      <c r="AB439" s="507"/>
      <c r="AC439" s="507"/>
      <c r="AD439" s="507"/>
      <c r="AE439" s="507"/>
      <c r="AF439" s="507"/>
      <c r="AG439" s="507"/>
      <c r="AH439" s="507"/>
      <c r="AI439" s="507">
        <v>0</v>
      </c>
      <c r="AJ439" s="507"/>
      <c r="AK439" s="507"/>
      <c r="AL439" s="507"/>
      <c r="AM439" s="507"/>
      <c r="AN439" s="507"/>
      <c r="AO439" s="507"/>
    </row>
    <row r="440" spans="1:41">
      <c r="A440" s="2" t="s">
        <v>1112</v>
      </c>
      <c r="B440" s="2" t="s">
        <v>369</v>
      </c>
      <c r="C440" s="2" t="s">
        <v>328</v>
      </c>
      <c r="D440" s="2" t="s">
        <v>30</v>
      </c>
      <c r="E440" s="2" t="s">
        <v>19</v>
      </c>
      <c r="F440" s="2" t="s">
        <v>20</v>
      </c>
      <c r="G440" s="2" t="s">
        <v>21</v>
      </c>
      <c r="H440">
        <v>1</v>
      </c>
      <c r="I440" s="2" t="s">
        <v>526</v>
      </c>
      <c r="J440" s="3">
        <v>1</v>
      </c>
      <c r="K440" s="3">
        <v>5.2488000000000001</v>
      </c>
      <c r="L440" s="507">
        <v>2045.6513120512009</v>
      </c>
      <c r="M440" s="507">
        <v>0</v>
      </c>
      <c r="N440" s="507">
        <v>2045.6513120512009</v>
      </c>
      <c r="O440" s="507">
        <v>31.184783051759251</v>
      </c>
      <c r="P440">
        <v>1</v>
      </c>
      <c r="Q440" s="2" t="s">
        <v>526</v>
      </c>
      <c r="R440" s="3">
        <v>1</v>
      </c>
      <c r="S440" s="3">
        <v>5.2488000000000001</v>
      </c>
      <c r="T440" s="507">
        <v>2045.6513120512009</v>
      </c>
      <c r="U440" s="507">
        <v>0</v>
      </c>
      <c r="V440" s="507">
        <v>2045.6513120512009</v>
      </c>
      <c r="W440" s="507">
        <v>31.184783051759251</v>
      </c>
      <c r="X440" s="507">
        <v>2076.8360951029599</v>
      </c>
      <c r="Y440" s="507">
        <v>2076.8360951029599</v>
      </c>
      <c r="Z440" s="507">
        <v>10900.897295976416</v>
      </c>
      <c r="AA440" s="507">
        <v>10900.897295976416</v>
      </c>
      <c r="AB440" s="507">
        <v>10900.897295976416</v>
      </c>
      <c r="AC440" s="507">
        <v>0</v>
      </c>
      <c r="AD440" s="507">
        <v>0</v>
      </c>
      <c r="AE440" s="507">
        <v>0</v>
      </c>
      <c r="AF440" s="507"/>
      <c r="AG440" s="507"/>
      <c r="AH440" s="507">
        <v>0</v>
      </c>
      <c r="AI440" s="507">
        <v>0</v>
      </c>
      <c r="AJ440" s="507">
        <v>0</v>
      </c>
      <c r="AK440" s="507">
        <v>0</v>
      </c>
      <c r="AL440" s="507">
        <v>0</v>
      </c>
      <c r="AM440" s="507">
        <v>0</v>
      </c>
      <c r="AN440" s="507"/>
      <c r="AO440" s="507"/>
    </row>
    <row r="441" spans="1:41">
      <c r="A441" s="2"/>
      <c r="B441" s="2"/>
      <c r="C441" s="2"/>
      <c r="D441" s="2"/>
      <c r="E441" s="2"/>
      <c r="F441" s="2"/>
      <c r="G441" s="2"/>
      <c r="I441" s="2"/>
      <c r="J441" s="3"/>
      <c r="K441" s="3"/>
      <c r="L441" s="507"/>
      <c r="M441" s="507"/>
      <c r="N441" s="507"/>
      <c r="O441" s="507"/>
      <c r="P441">
        <v>1</v>
      </c>
      <c r="Q441" s="2" t="s">
        <v>526</v>
      </c>
      <c r="R441" s="3">
        <v>1</v>
      </c>
      <c r="S441" s="3">
        <v>5.2488000000000001</v>
      </c>
      <c r="T441" s="507">
        <v>14894.616103536187</v>
      </c>
      <c r="U441" s="507">
        <v>0</v>
      </c>
      <c r="V441" s="507">
        <v>14894.616103536187</v>
      </c>
      <c r="W441" s="507">
        <v>225.03278880378795</v>
      </c>
      <c r="X441" s="507"/>
      <c r="Y441" s="507">
        <v>15119.648892339976</v>
      </c>
      <c r="Z441" s="507"/>
      <c r="AA441" s="507">
        <v>79360.013106114071</v>
      </c>
      <c r="AB441" s="507"/>
      <c r="AC441" s="507"/>
      <c r="AD441" s="507"/>
      <c r="AE441" s="507"/>
      <c r="AF441" s="507"/>
      <c r="AG441" s="507"/>
      <c r="AH441" s="507"/>
      <c r="AI441" s="507">
        <v>0</v>
      </c>
      <c r="AJ441" s="507"/>
      <c r="AK441" s="507"/>
      <c r="AL441" s="507"/>
      <c r="AM441" s="507"/>
      <c r="AN441" s="507"/>
      <c r="AO441" s="507"/>
    </row>
    <row r="442" spans="1:41">
      <c r="A442" s="2" t="s">
        <v>1113</v>
      </c>
      <c r="B442" s="2" t="s">
        <v>367</v>
      </c>
      <c r="C442" s="2" t="s">
        <v>328</v>
      </c>
      <c r="D442" s="2" t="s">
        <v>18</v>
      </c>
      <c r="E442" s="2" t="s">
        <v>19</v>
      </c>
      <c r="F442" s="2" t="s">
        <v>20</v>
      </c>
      <c r="G442" s="2" t="s">
        <v>21</v>
      </c>
      <c r="H442">
        <v>1</v>
      </c>
      <c r="I442" s="2" t="s">
        <v>526</v>
      </c>
      <c r="J442" s="3">
        <v>1</v>
      </c>
      <c r="K442" s="3">
        <v>5.2488000000000001</v>
      </c>
      <c r="L442" s="507">
        <v>2108.7732596736914</v>
      </c>
      <c r="M442" s="507">
        <v>0</v>
      </c>
      <c r="N442" s="507">
        <v>2108.7732596736914</v>
      </c>
      <c r="O442" s="507">
        <v>32.147092862037283</v>
      </c>
      <c r="P442">
        <v>1</v>
      </c>
      <c r="Q442" s="2" t="s">
        <v>526</v>
      </c>
      <c r="R442" s="3">
        <v>1</v>
      </c>
      <c r="S442" s="3">
        <v>5.2488000000000001</v>
      </c>
      <c r="T442" s="507">
        <v>2108.7732596736914</v>
      </c>
      <c r="U442" s="507">
        <v>0</v>
      </c>
      <c r="V442" s="507">
        <v>2108.7732596736914</v>
      </c>
      <c r="W442" s="507">
        <v>32.147092862037283</v>
      </c>
      <c r="X442" s="507">
        <v>2140.9203525357289</v>
      </c>
      <c r="Y442" s="507">
        <v>2140.9203525357289</v>
      </c>
      <c r="Z442" s="507">
        <v>11237.262746389533</v>
      </c>
      <c r="AA442" s="507">
        <v>11237.262746389533</v>
      </c>
      <c r="AB442" s="507">
        <v>11237.262746389533</v>
      </c>
      <c r="AC442" s="507">
        <v>0</v>
      </c>
      <c r="AD442" s="507">
        <v>0</v>
      </c>
      <c r="AE442" s="507">
        <v>0</v>
      </c>
      <c r="AF442" s="507"/>
      <c r="AG442" s="507"/>
      <c r="AH442" s="507">
        <v>0</v>
      </c>
      <c r="AI442" s="507">
        <v>0</v>
      </c>
      <c r="AJ442" s="507">
        <v>0</v>
      </c>
      <c r="AK442" s="507">
        <v>0</v>
      </c>
      <c r="AL442" s="507">
        <v>0</v>
      </c>
      <c r="AM442" s="507">
        <v>0</v>
      </c>
      <c r="AN442" s="507"/>
      <c r="AO442" s="507"/>
    </row>
    <row r="443" spans="1:41">
      <c r="A443" s="2"/>
      <c r="B443" s="2"/>
      <c r="C443" s="2"/>
      <c r="D443" s="2"/>
      <c r="E443" s="2"/>
      <c r="F443" s="2"/>
      <c r="G443" s="2"/>
      <c r="I443" s="2"/>
      <c r="J443" s="3"/>
      <c r="K443" s="3"/>
      <c r="L443" s="507"/>
      <c r="M443" s="507"/>
      <c r="N443" s="507"/>
      <c r="O443" s="507"/>
      <c r="P443">
        <v>1</v>
      </c>
      <c r="Q443" s="2" t="s">
        <v>526</v>
      </c>
      <c r="R443" s="3">
        <v>1</v>
      </c>
      <c r="S443" s="3">
        <v>5.2488000000000001</v>
      </c>
      <c r="T443" s="507">
        <v>3411.5317376663438</v>
      </c>
      <c r="U443" s="507">
        <v>0</v>
      </c>
      <c r="V443" s="507">
        <v>3411.5317376663438</v>
      </c>
      <c r="W443" s="507">
        <v>51.542472936881154</v>
      </c>
      <c r="X443" s="507"/>
      <c r="Y443" s="507">
        <v>3463.0742106032249</v>
      </c>
      <c r="Z443" s="507"/>
      <c r="AA443" s="507">
        <v>18176.983916614208</v>
      </c>
      <c r="AB443" s="507"/>
      <c r="AC443" s="507"/>
      <c r="AD443" s="507"/>
      <c r="AE443" s="507"/>
      <c r="AF443" s="507"/>
      <c r="AG443" s="507"/>
      <c r="AH443" s="507"/>
      <c r="AI443" s="507">
        <v>0</v>
      </c>
      <c r="AJ443" s="507"/>
      <c r="AK443" s="507"/>
      <c r="AL443" s="507"/>
      <c r="AM443" s="507"/>
      <c r="AN443" s="507"/>
      <c r="AO443" s="507"/>
    </row>
    <row r="444" spans="1:41">
      <c r="A444" s="2" t="s">
        <v>1114</v>
      </c>
      <c r="B444" s="2" t="s">
        <v>1099</v>
      </c>
      <c r="C444" s="2" t="s">
        <v>328</v>
      </c>
      <c r="D444" s="2" t="s">
        <v>18</v>
      </c>
      <c r="E444" s="2" t="s">
        <v>19</v>
      </c>
      <c r="F444" s="2" t="s">
        <v>20</v>
      </c>
      <c r="G444" s="2" t="s">
        <v>21</v>
      </c>
      <c r="H444">
        <v>1</v>
      </c>
      <c r="I444" s="2" t="s">
        <v>526</v>
      </c>
      <c r="J444" s="3">
        <v>1</v>
      </c>
      <c r="K444" s="3">
        <v>5.2488000000000001</v>
      </c>
      <c r="L444" s="507">
        <v>514.42032312017136</v>
      </c>
      <c r="M444" s="507">
        <v>0</v>
      </c>
      <c r="N444" s="507">
        <v>514.42032312017136</v>
      </c>
      <c r="O444" s="507">
        <v>7.8421233464598927</v>
      </c>
      <c r="P444">
        <v>1</v>
      </c>
      <c r="Q444" s="2" t="s">
        <v>526</v>
      </c>
      <c r="R444" s="3">
        <v>1</v>
      </c>
      <c r="S444" s="3">
        <v>5.2488000000000001</v>
      </c>
      <c r="T444" s="507">
        <v>514.42032312017136</v>
      </c>
      <c r="U444" s="507">
        <v>0</v>
      </c>
      <c r="V444" s="507">
        <v>514.42032312017136</v>
      </c>
      <c r="W444" s="507">
        <v>7.8421233464598927</v>
      </c>
      <c r="X444" s="507">
        <v>522.26244646663122</v>
      </c>
      <c r="Y444" s="507">
        <v>522.26244646663122</v>
      </c>
      <c r="Z444" s="507">
        <v>2741.2511290140542</v>
      </c>
      <c r="AA444" s="507">
        <v>2741.2511290140542</v>
      </c>
      <c r="AB444" s="507">
        <v>2741.2511290140542</v>
      </c>
      <c r="AC444" s="507">
        <v>0</v>
      </c>
      <c r="AD444" s="507">
        <v>0</v>
      </c>
      <c r="AE444" s="507">
        <v>0</v>
      </c>
      <c r="AF444" s="507"/>
      <c r="AG444" s="507"/>
      <c r="AH444" s="507">
        <v>0</v>
      </c>
      <c r="AI444" s="507">
        <v>0</v>
      </c>
      <c r="AJ444" s="507">
        <v>0</v>
      </c>
      <c r="AK444" s="507">
        <v>0</v>
      </c>
      <c r="AL444" s="507">
        <v>0</v>
      </c>
      <c r="AM444" s="507">
        <v>0</v>
      </c>
      <c r="AN444" s="507"/>
      <c r="AO444" s="507"/>
    </row>
    <row r="445" spans="1:41">
      <c r="A445" s="2"/>
      <c r="B445" s="2"/>
      <c r="C445" s="2"/>
      <c r="D445" s="2"/>
      <c r="E445" s="2"/>
      <c r="F445" s="2"/>
      <c r="G445" s="2"/>
      <c r="I445" s="2"/>
      <c r="J445" s="3"/>
      <c r="K445" s="3"/>
      <c r="L445" s="507"/>
      <c r="M445" s="507"/>
      <c r="N445" s="507"/>
      <c r="O445" s="507"/>
      <c r="P445">
        <v>1</v>
      </c>
      <c r="Q445" s="2" t="s">
        <v>526</v>
      </c>
      <c r="R445" s="3">
        <v>1</v>
      </c>
      <c r="S445" s="3">
        <v>5.2488000000000001</v>
      </c>
      <c r="T445" s="507">
        <v>981.36768031196834</v>
      </c>
      <c r="U445" s="507">
        <v>0</v>
      </c>
      <c r="V445" s="507">
        <v>981.36768031196834</v>
      </c>
      <c r="W445" s="507">
        <v>14.826808711543894</v>
      </c>
      <c r="X445" s="507"/>
      <c r="Y445" s="507">
        <v>996.19448902351223</v>
      </c>
      <c r="Z445" s="507"/>
      <c r="AA445" s="507">
        <v>5228.8256339866111</v>
      </c>
      <c r="AB445" s="507"/>
      <c r="AC445" s="507"/>
      <c r="AD445" s="507"/>
      <c r="AE445" s="507"/>
      <c r="AF445" s="507"/>
      <c r="AG445" s="507"/>
      <c r="AH445" s="507"/>
      <c r="AI445" s="507">
        <v>0</v>
      </c>
      <c r="AJ445" s="507"/>
      <c r="AK445" s="507"/>
      <c r="AL445" s="507"/>
      <c r="AM445" s="507"/>
      <c r="AN445" s="507"/>
      <c r="AO445" s="507"/>
    </row>
    <row r="446" spans="1:41">
      <c r="A446" s="2" t="s">
        <v>1115</v>
      </c>
      <c r="B446" s="2" t="s">
        <v>360</v>
      </c>
      <c r="C446" s="2" t="s">
        <v>328</v>
      </c>
      <c r="D446" s="2" t="s">
        <v>18</v>
      </c>
      <c r="E446" s="2" t="s">
        <v>19</v>
      </c>
      <c r="F446" s="2" t="s">
        <v>20</v>
      </c>
      <c r="G446" s="2" t="s">
        <v>21</v>
      </c>
      <c r="H446">
        <v>1</v>
      </c>
      <c r="I446" s="2" t="s">
        <v>526</v>
      </c>
      <c r="J446" s="3">
        <v>1</v>
      </c>
      <c r="K446" s="3">
        <v>5.2488000000000001</v>
      </c>
      <c r="L446" s="507">
        <v>4577.5000548032931</v>
      </c>
      <c r="M446" s="507">
        <v>0</v>
      </c>
      <c r="N446" s="507">
        <v>4577.5000548032931</v>
      </c>
      <c r="O446" s="507">
        <v>69.781493391277749</v>
      </c>
      <c r="P446">
        <v>1</v>
      </c>
      <c r="Q446" s="2" t="s">
        <v>526</v>
      </c>
      <c r="R446" s="3">
        <v>1</v>
      </c>
      <c r="S446" s="3">
        <v>5.2488000000000001</v>
      </c>
      <c r="T446" s="507">
        <v>4577.5000548032931</v>
      </c>
      <c r="U446" s="507">
        <v>0</v>
      </c>
      <c r="V446" s="507">
        <v>4577.5000548032931</v>
      </c>
      <c r="W446" s="507">
        <v>69.781493391277749</v>
      </c>
      <c r="X446" s="507">
        <v>4647.2815481945709</v>
      </c>
      <c r="Y446" s="507">
        <v>4647.2815481945709</v>
      </c>
      <c r="Z446" s="507">
        <v>24392.651390163664</v>
      </c>
      <c r="AA446" s="507">
        <v>24392.651390163664</v>
      </c>
      <c r="AB446" s="507">
        <v>24392.651390163664</v>
      </c>
      <c r="AC446" s="507">
        <v>0</v>
      </c>
      <c r="AD446" s="507">
        <v>0</v>
      </c>
      <c r="AE446" s="507">
        <v>0</v>
      </c>
      <c r="AF446" s="507"/>
      <c r="AG446" s="507"/>
      <c r="AH446" s="507">
        <v>0</v>
      </c>
      <c r="AI446" s="507">
        <v>0</v>
      </c>
      <c r="AJ446" s="507">
        <v>0</v>
      </c>
      <c r="AK446" s="507">
        <v>0</v>
      </c>
      <c r="AL446" s="507">
        <v>0</v>
      </c>
      <c r="AM446" s="507">
        <v>0</v>
      </c>
      <c r="AN446" s="507"/>
      <c r="AO446" s="507"/>
    </row>
    <row r="447" spans="1:41">
      <c r="A447" s="2"/>
      <c r="B447" s="2"/>
      <c r="C447" s="2"/>
      <c r="D447" s="2"/>
      <c r="E447" s="2"/>
      <c r="F447" s="2"/>
      <c r="G447" s="2"/>
      <c r="I447" s="2"/>
      <c r="J447" s="3"/>
      <c r="K447" s="3"/>
      <c r="L447" s="507"/>
      <c r="M447" s="507"/>
      <c r="N447" s="507"/>
      <c r="O447" s="507"/>
      <c r="P447">
        <v>1</v>
      </c>
      <c r="Q447" s="2" t="s">
        <v>526</v>
      </c>
      <c r="R447" s="3">
        <v>1</v>
      </c>
      <c r="S447" s="3">
        <v>5.2488000000000001</v>
      </c>
      <c r="T447" s="507">
        <v>3353.4270208160124</v>
      </c>
      <c r="U447" s="507">
        <v>0</v>
      </c>
      <c r="V447" s="507">
        <v>3353.4270208160124</v>
      </c>
      <c r="W447" s="507">
        <v>50.664725270330557</v>
      </c>
      <c r="X447" s="507"/>
      <c r="Y447" s="507">
        <v>3404.0917460863429</v>
      </c>
      <c r="Z447" s="507"/>
      <c r="AA447" s="507">
        <v>17867.396756857997</v>
      </c>
      <c r="AB447" s="507"/>
      <c r="AC447" s="507"/>
      <c r="AD447" s="507"/>
      <c r="AE447" s="507"/>
      <c r="AF447" s="507"/>
      <c r="AG447" s="507"/>
      <c r="AH447" s="507"/>
      <c r="AI447" s="507">
        <v>0</v>
      </c>
      <c r="AJ447" s="507"/>
      <c r="AK447" s="507"/>
      <c r="AL447" s="507"/>
      <c r="AM447" s="507"/>
      <c r="AN447" s="507"/>
      <c r="AO447" s="507"/>
    </row>
    <row r="448" spans="1:41">
      <c r="A448" s="2" t="s">
        <v>1116</v>
      </c>
      <c r="B448" s="2" t="s">
        <v>1117</v>
      </c>
      <c r="C448" s="2" t="s">
        <v>328</v>
      </c>
      <c r="D448" s="2" t="s">
        <v>18</v>
      </c>
      <c r="E448" s="2" t="s">
        <v>19</v>
      </c>
      <c r="F448" s="2" t="s">
        <v>20</v>
      </c>
      <c r="G448" s="2" t="s">
        <v>21</v>
      </c>
      <c r="H448">
        <v>1</v>
      </c>
      <c r="I448" s="2" t="s">
        <v>526</v>
      </c>
      <c r="J448" s="3">
        <v>1</v>
      </c>
      <c r="K448" s="3">
        <v>5.2488000000000001</v>
      </c>
      <c r="L448" s="507">
        <v>2218.8726169062929</v>
      </c>
      <c r="M448" s="507">
        <v>0</v>
      </c>
      <c r="N448" s="507">
        <v>2218.8726169062929</v>
      </c>
      <c r="O448" s="507">
        <v>33.825411391474596</v>
      </c>
      <c r="P448">
        <v>1</v>
      </c>
      <c r="Q448" s="2" t="s">
        <v>526</v>
      </c>
      <c r="R448" s="3">
        <v>1</v>
      </c>
      <c r="S448" s="3">
        <v>5.2488000000000001</v>
      </c>
      <c r="T448" s="507">
        <v>2218.8726169062929</v>
      </c>
      <c r="U448" s="507">
        <v>0</v>
      </c>
      <c r="V448" s="507">
        <v>2218.8726169062929</v>
      </c>
      <c r="W448" s="507">
        <v>33.825411391474596</v>
      </c>
      <c r="X448" s="507">
        <v>2252.6980282977675</v>
      </c>
      <c r="Y448" s="507">
        <v>2252.6980282977675</v>
      </c>
      <c r="Z448" s="507">
        <v>11823.961410929322</v>
      </c>
      <c r="AA448" s="507">
        <v>11823.961410929322</v>
      </c>
      <c r="AB448" s="507">
        <v>11823.961410929322</v>
      </c>
      <c r="AC448" s="507">
        <v>0</v>
      </c>
      <c r="AD448" s="507">
        <v>0</v>
      </c>
      <c r="AE448" s="507">
        <v>0</v>
      </c>
      <c r="AF448" s="507"/>
      <c r="AG448" s="507"/>
      <c r="AH448" s="507">
        <v>0</v>
      </c>
      <c r="AI448" s="507">
        <v>0</v>
      </c>
      <c r="AJ448" s="507">
        <v>0</v>
      </c>
      <c r="AK448" s="507">
        <v>0</v>
      </c>
      <c r="AL448" s="507">
        <v>0</v>
      </c>
      <c r="AM448" s="507">
        <v>0</v>
      </c>
      <c r="AN448" s="507"/>
      <c r="AO448" s="507"/>
    </row>
    <row r="449" spans="1:41">
      <c r="A449" s="2"/>
      <c r="B449" s="2"/>
      <c r="C449" s="2"/>
      <c r="D449" s="2"/>
      <c r="E449" s="2"/>
      <c r="F449" s="2"/>
      <c r="G449" s="2"/>
      <c r="I449" s="2"/>
      <c r="J449" s="3"/>
      <c r="K449" s="3"/>
      <c r="L449" s="507"/>
      <c r="M449" s="507"/>
      <c r="N449" s="507"/>
      <c r="O449" s="507"/>
      <c r="P449">
        <v>1</v>
      </c>
      <c r="Q449" s="2" t="s">
        <v>526</v>
      </c>
      <c r="R449" s="3">
        <v>1</v>
      </c>
      <c r="S449" s="3">
        <v>5.2488000000000001</v>
      </c>
      <c r="T449" s="507">
        <v>4357.2723528783399</v>
      </c>
      <c r="U449" s="507">
        <v>0</v>
      </c>
      <c r="V449" s="507">
        <v>4357.2723528783399</v>
      </c>
      <c r="W449" s="507">
        <v>65.831074991295267</v>
      </c>
      <c r="X449" s="507"/>
      <c r="Y449" s="507">
        <v>4423.1034278696352</v>
      </c>
      <c r="Z449" s="507"/>
      <c r="AA449" s="507">
        <v>23215.985272202142</v>
      </c>
      <c r="AB449" s="507"/>
      <c r="AC449" s="507"/>
      <c r="AD449" s="507"/>
      <c r="AE449" s="507"/>
      <c r="AF449" s="507"/>
      <c r="AG449" s="507"/>
      <c r="AH449" s="507"/>
      <c r="AI449" s="507">
        <v>0</v>
      </c>
      <c r="AJ449" s="507"/>
      <c r="AK449" s="507"/>
      <c r="AL449" s="507"/>
      <c r="AM449" s="507"/>
      <c r="AN449" s="507"/>
      <c r="AO449" s="507"/>
    </row>
    <row r="450" spans="1:41">
      <c r="A450" s="2" t="s">
        <v>1118</v>
      </c>
      <c r="B450" s="2" t="s">
        <v>1119</v>
      </c>
      <c r="C450" s="2" t="s">
        <v>328</v>
      </c>
      <c r="D450" s="2" t="s">
        <v>18</v>
      </c>
      <c r="E450" s="2" t="s">
        <v>19</v>
      </c>
      <c r="F450" s="2" t="s">
        <v>20</v>
      </c>
      <c r="G450" s="2" t="s">
        <v>21</v>
      </c>
      <c r="H450">
        <v>1</v>
      </c>
      <c r="I450" s="2" t="s">
        <v>526</v>
      </c>
      <c r="J450" s="3">
        <v>1</v>
      </c>
      <c r="K450" s="3">
        <v>5.2488000000000001</v>
      </c>
      <c r="L450" s="507">
        <v>2537.390517302264</v>
      </c>
      <c r="M450" s="507">
        <v>0</v>
      </c>
      <c r="N450" s="507">
        <v>2537.390517302264</v>
      </c>
      <c r="O450" s="507">
        <v>35.918232131977561</v>
      </c>
      <c r="P450">
        <v>1</v>
      </c>
      <c r="Q450" s="2" t="s">
        <v>526</v>
      </c>
      <c r="R450" s="3">
        <v>1</v>
      </c>
      <c r="S450" s="3">
        <v>5.2488000000000001</v>
      </c>
      <c r="T450" s="507">
        <v>2537.390517302264</v>
      </c>
      <c r="U450" s="507">
        <v>0</v>
      </c>
      <c r="V450" s="507">
        <v>2537.390517302264</v>
      </c>
      <c r="W450" s="507">
        <v>35.918232131977561</v>
      </c>
      <c r="X450" s="507">
        <v>2573.3087494342417</v>
      </c>
      <c r="Y450" s="507">
        <v>2573.3087494342417</v>
      </c>
      <c r="Z450" s="507">
        <v>13506.782964030448</v>
      </c>
      <c r="AA450" s="507">
        <v>13506.782964030448</v>
      </c>
      <c r="AB450" s="507">
        <v>13506.782964030448</v>
      </c>
      <c r="AC450" s="507">
        <v>0</v>
      </c>
      <c r="AD450" s="507">
        <v>0</v>
      </c>
      <c r="AE450" s="507">
        <v>0</v>
      </c>
      <c r="AF450" s="507"/>
      <c r="AG450" s="507"/>
      <c r="AH450" s="507">
        <v>0</v>
      </c>
      <c r="AI450" s="507">
        <v>0</v>
      </c>
      <c r="AJ450" s="507">
        <v>0</v>
      </c>
      <c r="AK450" s="507">
        <v>0</v>
      </c>
      <c r="AL450" s="507">
        <v>0</v>
      </c>
      <c r="AM450" s="507">
        <v>0</v>
      </c>
      <c r="AN450" s="507"/>
      <c r="AO450" s="507"/>
    </row>
    <row r="451" spans="1:41">
      <c r="A451" s="2"/>
      <c r="B451" s="2"/>
      <c r="C451" s="2"/>
      <c r="D451" s="2"/>
      <c r="E451" s="2"/>
      <c r="F451" s="2"/>
      <c r="G451" s="2"/>
      <c r="I451" s="2"/>
      <c r="J451" s="3"/>
      <c r="K451" s="3"/>
      <c r="L451" s="507"/>
      <c r="M451" s="507"/>
      <c r="N451" s="507"/>
      <c r="O451" s="507"/>
      <c r="P451">
        <v>1</v>
      </c>
      <c r="Q451" s="2" t="s">
        <v>526</v>
      </c>
      <c r="R451" s="3">
        <v>1</v>
      </c>
      <c r="S451" s="3">
        <v>5.2488000000000001</v>
      </c>
      <c r="T451" s="507">
        <v>6313.3705083871819</v>
      </c>
      <c r="U451" s="507">
        <v>0</v>
      </c>
      <c r="V451" s="507">
        <v>6313.3705083871819</v>
      </c>
      <c r="W451" s="507">
        <v>95.384436423020603</v>
      </c>
      <c r="X451" s="507"/>
      <c r="Y451" s="507">
        <v>6408.7549448102027</v>
      </c>
      <c r="Z451" s="507"/>
      <c r="AA451" s="507">
        <v>33638.272954319793</v>
      </c>
      <c r="AB451" s="507"/>
      <c r="AC451" s="507"/>
      <c r="AD451" s="507"/>
      <c r="AE451" s="507"/>
      <c r="AF451" s="507"/>
      <c r="AG451" s="507"/>
      <c r="AH451" s="507"/>
      <c r="AI451" s="507">
        <v>0</v>
      </c>
      <c r="AJ451" s="507"/>
      <c r="AK451" s="507"/>
      <c r="AL451" s="507"/>
      <c r="AM451" s="507"/>
      <c r="AN451" s="507"/>
      <c r="AO451" s="507"/>
    </row>
    <row r="452" spans="1:41">
      <c r="A452" s="2" t="s">
        <v>1120</v>
      </c>
      <c r="B452" s="2" t="s">
        <v>374</v>
      </c>
      <c r="C452" s="2" t="s">
        <v>328</v>
      </c>
      <c r="D452" s="2" t="s">
        <v>18</v>
      </c>
      <c r="E452" s="2" t="s">
        <v>19</v>
      </c>
      <c r="F452" s="2" t="s">
        <v>20</v>
      </c>
      <c r="G452" s="2" t="s">
        <v>21</v>
      </c>
      <c r="H452">
        <v>1</v>
      </c>
      <c r="I452" s="2" t="s">
        <v>526</v>
      </c>
      <c r="J452" s="3">
        <v>1</v>
      </c>
      <c r="K452" s="3">
        <v>5.2488000000000001</v>
      </c>
      <c r="L452" s="507">
        <v>3447.6569439536015</v>
      </c>
      <c r="M452" s="507">
        <v>0</v>
      </c>
      <c r="N452" s="507">
        <v>3447.6569439536015</v>
      </c>
      <c r="O452" s="507">
        <v>47.395789124710348</v>
      </c>
      <c r="P452">
        <v>1</v>
      </c>
      <c r="Q452" s="2" t="s">
        <v>526</v>
      </c>
      <c r="R452" s="3">
        <v>1</v>
      </c>
      <c r="S452" s="3">
        <v>5.2488000000000001</v>
      </c>
      <c r="T452" s="507">
        <v>3447.6569439536015</v>
      </c>
      <c r="U452" s="507">
        <v>0</v>
      </c>
      <c r="V452" s="507">
        <v>3447.6569439536015</v>
      </c>
      <c r="W452" s="507">
        <v>47.395789124710348</v>
      </c>
      <c r="X452" s="507">
        <v>3495.052733078312</v>
      </c>
      <c r="Y452" s="507">
        <v>3495.052733078312</v>
      </c>
      <c r="Z452" s="507">
        <v>18344.832785381444</v>
      </c>
      <c r="AA452" s="507">
        <v>18344.832785381444</v>
      </c>
      <c r="AB452" s="507">
        <v>18344.832785381444</v>
      </c>
      <c r="AC452" s="507">
        <v>0</v>
      </c>
      <c r="AD452" s="507">
        <v>0</v>
      </c>
      <c r="AE452" s="507">
        <v>0</v>
      </c>
      <c r="AF452" s="507"/>
      <c r="AG452" s="507"/>
      <c r="AH452" s="507">
        <v>0</v>
      </c>
      <c r="AI452" s="507">
        <v>0</v>
      </c>
      <c r="AJ452" s="507">
        <v>0</v>
      </c>
      <c r="AK452" s="507">
        <v>0</v>
      </c>
      <c r="AL452" s="507">
        <v>0</v>
      </c>
      <c r="AM452" s="507">
        <v>0</v>
      </c>
      <c r="AN452" s="507"/>
      <c r="AO452" s="507"/>
    </row>
    <row r="453" spans="1:41">
      <c r="A453" s="2"/>
      <c r="B453" s="2"/>
      <c r="C453" s="2"/>
      <c r="D453" s="2"/>
      <c r="E453" s="2"/>
      <c r="F453" s="2"/>
      <c r="G453" s="2"/>
      <c r="I453" s="2"/>
      <c r="J453" s="3"/>
      <c r="K453" s="3"/>
      <c r="L453" s="507"/>
      <c r="M453" s="507"/>
      <c r="N453" s="507"/>
      <c r="O453" s="507"/>
      <c r="P453">
        <v>1</v>
      </c>
      <c r="Q453" s="2" t="s">
        <v>526</v>
      </c>
      <c r="R453" s="3">
        <v>1</v>
      </c>
      <c r="S453" s="3">
        <v>5.2488000000000001</v>
      </c>
      <c r="T453" s="507">
        <v>200.2062296462237</v>
      </c>
      <c r="U453" s="507">
        <v>0</v>
      </c>
      <c r="V453" s="507">
        <v>200.2062296462237</v>
      </c>
      <c r="W453" s="507">
        <v>3.0248506565205169</v>
      </c>
      <c r="X453" s="507"/>
      <c r="Y453" s="507">
        <v>203.23108030274423</v>
      </c>
      <c r="Z453" s="507"/>
      <c r="AA453" s="507">
        <v>1066.719294293044</v>
      </c>
      <c r="AB453" s="507"/>
      <c r="AC453" s="507"/>
      <c r="AD453" s="507"/>
      <c r="AE453" s="507"/>
      <c r="AF453" s="507"/>
      <c r="AG453" s="507"/>
      <c r="AH453" s="507"/>
      <c r="AI453" s="507">
        <v>0</v>
      </c>
      <c r="AJ453" s="507"/>
      <c r="AK453" s="507"/>
      <c r="AL453" s="507"/>
      <c r="AM453" s="507"/>
      <c r="AN453" s="507"/>
      <c r="AO453" s="507"/>
    </row>
    <row r="454" spans="1:41">
      <c r="A454" s="2" t="s">
        <v>1121</v>
      </c>
      <c r="B454" s="2" t="s">
        <v>366</v>
      </c>
      <c r="C454" s="2" t="s">
        <v>328</v>
      </c>
      <c r="D454" s="2" t="s">
        <v>18</v>
      </c>
      <c r="E454" s="2" t="s">
        <v>19</v>
      </c>
      <c r="F454" s="2" t="s">
        <v>20</v>
      </c>
      <c r="G454" s="2" t="s">
        <v>21</v>
      </c>
      <c r="H454">
        <v>1</v>
      </c>
      <c r="I454" s="2" t="s">
        <v>526</v>
      </c>
      <c r="J454" s="3">
        <v>1</v>
      </c>
      <c r="K454" s="3">
        <v>5.2488000000000001</v>
      </c>
      <c r="L454" s="507">
        <v>5825.8459320768734</v>
      </c>
      <c r="M454" s="507">
        <v>0</v>
      </c>
      <c r="N454" s="507">
        <v>5825.8459320768734</v>
      </c>
      <c r="O454" s="507">
        <v>80.089212517947288</v>
      </c>
      <c r="P454">
        <v>1</v>
      </c>
      <c r="Q454" s="2" t="s">
        <v>526</v>
      </c>
      <c r="R454" s="3">
        <v>1</v>
      </c>
      <c r="S454" s="3">
        <v>5.2488000000000001</v>
      </c>
      <c r="T454" s="507">
        <v>5825.8459320768734</v>
      </c>
      <c r="U454" s="507">
        <v>0</v>
      </c>
      <c r="V454" s="507">
        <v>5825.8459320768734</v>
      </c>
      <c r="W454" s="507">
        <v>80.089212517947288</v>
      </c>
      <c r="X454" s="507">
        <v>5905.9351445948205</v>
      </c>
      <c r="Y454" s="507">
        <v>5905.9351445948205</v>
      </c>
      <c r="Z454" s="507">
        <v>30999.072386949294</v>
      </c>
      <c r="AA454" s="507">
        <v>30999.072386949294</v>
      </c>
      <c r="AB454" s="507">
        <v>30999.072386949294</v>
      </c>
      <c r="AC454" s="507">
        <v>0</v>
      </c>
      <c r="AD454" s="507">
        <v>0</v>
      </c>
      <c r="AE454" s="507">
        <v>0</v>
      </c>
      <c r="AF454" s="507"/>
      <c r="AG454" s="507"/>
      <c r="AH454" s="507">
        <v>0</v>
      </c>
      <c r="AI454" s="507">
        <v>0</v>
      </c>
      <c r="AJ454" s="507">
        <v>0</v>
      </c>
      <c r="AK454" s="507">
        <v>0</v>
      </c>
      <c r="AL454" s="507">
        <v>0</v>
      </c>
      <c r="AM454" s="507">
        <v>0</v>
      </c>
      <c r="AN454" s="507"/>
      <c r="AO454" s="507"/>
    </row>
    <row r="455" spans="1:41">
      <c r="A455" s="2"/>
      <c r="B455" s="2"/>
      <c r="C455" s="2"/>
      <c r="D455" s="2"/>
      <c r="E455" s="2"/>
      <c r="F455" s="2"/>
      <c r="G455" s="2"/>
      <c r="I455" s="2"/>
      <c r="J455" s="3"/>
      <c r="K455" s="3"/>
      <c r="L455" s="507"/>
      <c r="M455" s="507"/>
      <c r="N455" s="507"/>
      <c r="O455" s="507"/>
      <c r="P455">
        <v>1</v>
      </c>
      <c r="Q455" s="2" t="s">
        <v>526</v>
      </c>
      <c r="R455" s="3">
        <v>1</v>
      </c>
      <c r="S455" s="3">
        <v>5.2488000000000001</v>
      </c>
      <c r="T455" s="507">
        <v>1246.8638241563322</v>
      </c>
      <c r="U455" s="507">
        <v>0</v>
      </c>
      <c r="V455" s="507">
        <v>1246.8638241563322</v>
      </c>
      <c r="W455" s="507">
        <v>18.83797153354891</v>
      </c>
      <c r="X455" s="507"/>
      <c r="Y455" s="507">
        <v>1265.701795689881</v>
      </c>
      <c r="Z455" s="507"/>
      <c r="AA455" s="507">
        <v>6643.4155852170479</v>
      </c>
      <c r="AB455" s="507"/>
      <c r="AC455" s="507"/>
      <c r="AD455" s="507"/>
      <c r="AE455" s="507"/>
      <c r="AF455" s="507"/>
      <c r="AG455" s="507"/>
      <c r="AH455" s="507"/>
      <c r="AI455" s="507">
        <v>0</v>
      </c>
      <c r="AJ455" s="507"/>
      <c r="AK455" s="507"/>
      <c r="AL455" s="507"/>
      <c r="AM455" s="507"/>
      <c r="AN455" s="507"/>
      <c r="AO455" s="507"/>
    </row>
    <row r="456" spans="1:41">
      <c r="A456" s="2" t="s">
        <v>1122</v>
      </c>
      <c r="B456" s="2" t="s">
        <v>1123</v>
      </c>
      <c r="C456" s="2" t="s">
        <v>328</v>
      </c>
      <c r="D456" s="2" t="s">
        <v>18</v>
      </c>
      <c r="E456" s="2" t="s">
        <v>19</v>
      </c>
      <c r="F456" s="2" t="s">
        <v>20</v>
      </c>
      <c r="G456" s="2" t="s">
        <v>21</v>
      </c>
      <c r="H456">
        <v>1</v>
      </c>
      <c r="I456" s="2" t="s">
        <v>526</v>
      </c>
      <c r="J456" s="3">
        <v>1</v>
      </c>
      <c r="K456" s="3">
        <v>5.2488000000000001</v>
      </c>
      <c r="L456" s="507">
        <v>692.23530949478015</v>
      </c>
      <c r="M456" s="507">
        <v>0</v>
      </c>
      <c r="N456" s="507">
        <v>692.23530949478015</v>
      </c>
      <c r="O456" s="507">
        <v>9.3278691337406485</v>
      </c>
      <c r="P456">
        <v>1</v>
      </c>
      <c r="Q456" s="2" t="s">
        <v>526</v>
      </c>
      <c r="R456" s="3">
        <v>1</v>
      </c>
      <c r="S456" s="3">
        <v>5.2488000000000001</v>
      </c>
      <c r="T456" s="507">
        <v>692.23530949478015</v>
      </c>
      <c r="U456" s="507">
        <v>0</v>
      </c>
      <c r="V456" s="507">
        <v>692.23530949478015</v>
      </c>
      <c r="W456" s="507">
        <v>9.3278691337406485</v>
      </c>
      <c r="X456" s="507">
        <v>701.56317862852075</v>
      </c>
      <c r="Y456" s="507">
        <v>701.56317862852075</v>
      </c>
      <c r="Z456" s="507">
        <v>3682.3648119853797</v>
      </c>
      <c r="AA456" s="507">
        <v>3682.3648119853797</v>
      </c>
      <c r="AB456" s="507">
        <v>3682.3648119853797</v>
      </c>
      <c r="AC456" s="507">
        <v>0</v>
      </c>
      <c r="AD456" s="507">
        <v>0</v>
      </c>
      <c r="AE456" s="507">
        <v>0</v>
      </c>
      <c r="AF456" s="507"/>
      <c r="AG456" s="507"/>
      <c r="AH456" s="507">
        <v>0</v>
      </c>
      <c r="AI456" s="507">
        <v>0</v>
      </c>
      <c r="AJ456" s="507">
        <v>0</v>
      </c>
      <c r="AK456" s="507">
        <v>0</v>
      </c>
      <c r="AL456" s="507">
        <v>0</v>
      </c>
      <c r="AM456" s="507">
        <v>0</v>
      </c>
      <c r="AN456" s="507"/>
      <c r="AO456" s="507"/>
    </row>
    <row r="457" spans="1:41">
      <c r="A457" s="2"/>
      <c r="B457" s="2"/>
      <c r="C457" s="2"/>
      <c r="D457" s="2"/>
      <c r="E457" s="2"/>
      <c r="F457" s="2"/>
      <c r="G457" s="2"/>
      <c r="I457" s="2"/>
      <c r="J457" s="3"/>
      <c r="K457" s="3"/>
      <c r="L457" s="507"/>
      <c r="M457" s="507"/>
      <c r="N457" s="507"/>
      <c r="O457" s="507"/>
      <c r="P457">
        <v>1</v>
      </c>
      <c r="Q457" s="2" t="s">
        <v>526</v>
      </c>
      <c r="R457" s="3">
        <v>1</v>
      </c>
      <c r="S457" s="3">
        <v>5.2488000000000001</v>
      </c>
      <c r="T457" s="507">
        <v>1519.86661227477</v>
      </c>
      <c r="U457" s="507">
        <v>0</v>
      </c>
      <c r="V457" s="507">
        <v>1519.86661227477</v>
      </c>
      <c r="W457" s="507">
        <v>22.342130760192561</v>
      </c>
      <c r="X457" s="507"/>
      <c r="Y457" s="507">
        <v>1542.2087430349625</v>
      </c>
      <c r="Z457" s="507"/>
      <c r="AA457" s="507">
        <v>8094.7452504419116</v>
      </c>
      <c r="AB457" s="507"/>
      <c r="AC457" s="507"/>
      <c r="AD457" s="507"/>
      <c r="AE457" s="507"/>
      <c r="AF457" s="507"/>
      <c r="AG457" s="507"/>
      <c r="AH457" s="507"/>
      <c r="AI457" s="507">
        <v>0</v>
      </c>
      <c r="AJ457" s="507"/>
      <c r="AK457" s="507"/>
      <c r="AL457" s="507"/>
      <c r="AM457" s="507"/>
      <c r="AN457" s="507"/>
      <c r="AO457" s="507"/>
    </row>
    <row r="458" spans="1:41">
      <c r="A458" s="2" t="s">
        <v>1124</v>
      </c>
      <c r="B458" s="2" t="s">
        <v>1125</v>
      </c>
      <c r="C458" s="2" t="s">
        <v>328</v>
      </c>
      <c r="D458" s="2" t="s">
        <v>18</v>
      </c>
      <c r="E458" s="2" t="s">
        <v>19</v>
      </c>
      <c r="F458" s="2" t="s">
        <v>20</v>
      </c>
      <c r="G458" s="2" t="s">
        <v>21</v>
      </c>
      <c r="H458">
        <v>1</v>
      </c>
      <c r="I458" s="2" t="s">
        <v>526</v>
      </c>
      <c r="J458" s="3">
        <v>1</v>
      </c>
      <c r="K458" s="3">
        <v>5.2488000000000001</v>
      </c>
      <c r="L458" s="507">
        <v>5296.7210276232108</v>
      </c>
      <c r="M458" s="507">
        <v>0</v>
      </c>
      <c r="N458" s="507">
        <v>5296.7210276232108</v>
      </c>
      <c r="O458" s="507">
        <v>71.373403441971746</v>
      </c>
      <c r="P458">
        <v>1</v>
      </c>
      <c r="Q458" s="2" t="s">
        <v>526</v>
      </c>
      <c r="R458" s="3">
        <v>1</v>
      </c>
      <c r="S458" s="3">
        <v>5.2488000000000001</v>
      </c>
      <c r="T458" s="507">
        <v>5296.7210276232108</v>
      </c>
      <c r="U458" s="507">
        <v>0</v>
      </c>
      <c r="V458" s="507">
        <v>5296.7210276232108</v>
      </c>
      <c r="W458" s="507">
        <v>71.373403441971746</v>
      </c>
      <c r="X458" s="507">
        <v>5368.094431065183</v>
      </c>
      <c r="Y458" s="507">
        <v>5368.094431065183</v>
      </c>
      <c r="Z458" s="507">
        <v>28176.054049774932</v>
      </c>
      <c r="AA458" s="507">
        <v>28176.054049774932</v>
      </c>
      <c r="AB458" s="507">
        <v>28176.054049774932</v>
      </c>
      <c r="AC458" s="507">
        <v>0</v>
      </c>
      <c r="AD458" s="507">
        <v>0</v>
      </c>
      <c r="AE458" s="507">
        <v>0</v>
      </c>
      <c r="AF458" s="507"/>
      <c r="AG458" s="507"/>
      <c r="AH458" s="507">
        <v>0</v>
      </c>
      <c r="AI458" s="507">
        <v>0</v>
      </c>
      <c r="AJ458" s="507">
        <v>0</v>
      </c>
      <c r="AK458" s="507">
        <v>0</v>
      </c>
      <c r="AL458" s="507">
        <v>0</v>
      </c>
      <c r="AM458" s="507">
        <v>0</v>
      </c>
      <c r="AN458" s="507"/>
      <c r="AO458" s="507"/>
    </row>
    <row r="459" spans="1:41">
      <c r="A459" s="2"/>
      <c r="B459" s="2"/>
      <c r="C459" s="2"/>
      <c r="D459" s="2"/>
      <c r="E459" s="2"/>
      <c r="F459" s="2"/>
      <c r="G459" s="2"/>
      <c r="I459" s="2"/>
      <c r="J459" s="3"/>
      <c r="K459" s="3"/>
      <c r="L459" s="507"/>
      <c r="M459" s="507"/>
      <c r="N459" s="507"/>
      <c r="O459" s="507"/>
      <c r="P459">
        <v>1</v>
      </c>
      <c r="Q459" s="2" t="s">
        <v>526</v>
      </c>
      <c r="R459" s="3">
        <v>1</v>
      </c>
      <c r="S459" s="3">
        <v>5.2488000000000001</v>
      </c>
      <c r="T459" s="507">
        <v>52827.792349306859</v>
      </c>
      <c r="U459" s="507">
        <v>0</v>
      </c>
      <c r="V459" s="507">
        <v>52827.792349306859</v>
      </c>
      <c r="W459" s="507">
        <v>710.24031936290351</v>
      </c>
      <c r="X459" s="507"/>
      <c r="Y459" s="507">
        <v>53538.032668669766</v>
      </c>
      <c r="Z459" s="507"/>
      <c r="AA459" s="507">
        <v>281010.4258713139</v>
      </c>
      <c r="AB459" s="507"/>
      <c r="AC459" s="507"/>
      <c r="AD459" s="507"/>
      <c r="AE459" s="507"/>
      <c r="AF459" s="507"/>
      <c r="AG459" s="507"/>
      <c r="AH459" s="507"/>
      <c r="AI459" s="507">
        <v>0</v>
      </c>
      <c r="AJ459" s="507"/>
      <c r="AK459" s="507"/>
      <c r="AL459" s="507"/>
      <c r="AM459" s="507"/>
      <c r="AN459" s="507"/>
      <c r="AO459" s="507"/>
    </row>
    <row r="460" spans="1:41">
      <c r="A460" s="2" t="s">
        <v>1126</v>
      </c>
      <c r="B460" s="2" t="s">
        <v>370</v>
      </c>
      <c r="C460" s="2" t="s">
        <v>328</v>
      </c>
      <c r="D460" s="2" t="s">
        <v>18</v>
      </c>
      <c r="E460" s="2" t="s">
        <v>19</v>
      </c>
      <c r="F460" s="2" t="s">
        <v>20</v>
      </c>
      <c r="G460" s="2" t="s">
        <v>21</v>
      </c>
      <c r="H460">
        <v>1</v>
      </c>
      <c r="I460" s="2" t="s">
        <v>526</v>
      </c>
      <c r="J460" s="3">
        <v>1</v>
      </c>
      <c r="K460" s="3">
        <v>5.2488000000000001</v>
      </c>
      <c r="L460" s="507">
        <v>1880.493690744474</v>
      </c>
      <c r="M460" s="507">
        <v>0</v>
      </c>
      <c r="N460" s="507">
        <v>1880.493690744474</v>
      </c>
      <c r="O460" s="507">
        <v>25.083753625276678</v>
      </c>
      <c r="P460">
        <v>1</v>
      </c>
      <c r="Q460" s="2" t="s">
        <v>526</v>
      </c>
      <c r="R460" s="3">
        <v>1</v>
      </c>
      <c r="S460" s="3">
        <v>5.2488000000000001</v>
      </c>
      <c r="T460" s="507">
        <v>1880.493690744474</v>
      </c>
      <c r="U460" s="507">
        <v>0</v>
      </c>
      <c r="V460" s="507">
        <v>1880.493690744474</v>
      </c>
      <c r="W460" s="507">
        <v>25.083753625276678</v>
      </c>
      <c r="X460" s="507">
        <v>1905.5774443697505</v>
      </c>
      <c r="Y460" s="507">
        <v>1905.5774443697505</v>
      </c>
      <c r="Z460" s="507">
        <v>10001.994890007947</v>
      </c>
      <c r="AA460" s="507">
        <v>10001.994890007947</v>
      </c>
      <c r="AB460" s="507">
        <v>10001.994890007947</v>
      </c>
      <c r="AC460" s="507">
        <v>0</v>
      </c>
      <c r="AD460" s="507">
        <v>0</v>
      </c>
      <c r="AE460" s="507">
        <v>0</v>
      </c>
      <c r="AF460" s="507"/>
      <c r="AG460" s="507"/>
      <c r="AH460" s="507">
        <v>0</v>
      </c>
      <c r="AI460" s="507">
        <v>0</v>
      </c>
      <c r="AJ460" s="507">
        <v>0</v>
      </c>
      <c r="AK460" s="507">
        <v>0</v>
      </c>
      <c r="AL460" s="507">
        <v>0</v>
      </c>
      <c r="AM460" s="507">
        <v>0</v>
      </c>
      <c r="AN460" s="507"/>
      <c r="AO460" s="507"/>
    </row>
    <row r="461" spans="1:41">
      <c r="A461" s="2"/>
      <c r="B461" s="2"/>
      <c r="C461" s="2"/>
      <c r="D461" s="2"/>
      <c r="E461" s="2"/>
      <c r="F461" s="2"/>
      <c r="G461" s="2"/>
      <c r="I461" s="2"/>
      <c r="J461" s="3"/>
      <c r="K461" s="3"/>
      <c r="L461" s="507"/>
      <c r="M461" s="507"/>
      <c r="N461" s="507"/>
      <c r="O461" s="507"/>
      <c r="P461">
        <v>1</v>
      </c>
      <c r="Q461" s="2" t="s">
        <v>526</v>
      </c>
      <c r="R461" s="3">
        <v>1</v>
      </c>
      <c r="S461" s="3">
        <v>5.2488000000000001</v>
      </c>
      <c r="T461" s="507">
        <v>92316.750794131629</v>
      </c>
      <c r="U461" s="507">
        <v>0</v>
      </c>
      <c r="V461" s="507">
        <v>92316.750794131629</v>
      </c>
      <c r="W461" s="507">
        <v>1445.0136058618659</v>
      </c>
      <c r="X461" s="507"/>
      <c r="Y461" s="507">
        <v>93761.764399993495</v>
      </c>
      <c r="Z461" s="507"/>
      <c r="AA461" s="507">
        <v>492136.74898268585</v>
      </c>
      <c r="AB461" s="507"/>
      <c r="AC461" s="507"/>
      <c r="AD461" s="507"/>
      <c r="AE461" s="507"/>
      <c r="AF461" s="507"/>
      <c r="AG461" s="507"/>
      <c r="AH461" s="507"/>
      <c r="AI461" s="507">
        <v>0</v>
      </c>
      <c r="AJ461" s="507"/>
      <c r="AK461" s="507"/>
      <c r="AL461" s="507"/>
      <c r="AM461" s="507"/>
      <c r="AN461" s="507"/>
      <c r="AO461" s="507"/>
    </row>
    <row r="462" spans="1:41">
      <c r="A462" s="2" t="s">
        <v>1127</v>
      </c>
      <c r="B462" s="2" t="s">
        <v>368</v>
      </c>
      <c r="C462" s="2" t="s">
        <v>328</v>
      </c>
      <c r="D462" s="2" t="s">
        <v>18</v>
      </c>
      <c r="E462" s="2" t="s">
        <v>19</v>
      </c>
      <c r="F462" s="2" t="s">
        <v>20</v>
      </c>
      <c r="G462" s="2" t="s">
        <v>21</v>
      </c>
      <c r="H462">
        <v>1</v>
      </c>
      <c r="I462" s="2" t="s">
        <v>526</v>
      </c>
      <c r="J462" s="3">
        <v>1</v>
      </c>
      <c r="K462" s="3">
        <v>5.2488000000000001</v>
      </c>
      <c r="L462" s="507">
        <v>3418.5932305680881</v>
      </c>
      <c r="M462" s="507">
        <v>0</v>
      </c>
      <c r="N462" s="507">
        <v>3418.5932305680881</v>
      </c>
      <c r="O462" s="507">
        <v>45.134951897762065</v>
      </c>
      <c r="P462">
        <v>1</v>
      </c>
      <c r="Q462" s="2" t="s">
        <v>526</v>
      </c>
      <c r="R462" s="3">
        <v>1</v>
      </c>
      <c r="S462" s="3">
        <v>5.2488000000000001</v>
      </c>
      <c r="T462" s="507">
        <v>3418.5932305680881</v>
      </c>
      <c r="U462" s="507">
        <v>0</v>
      </c>
      <c r="V462" s="507">
        <v>3418.5932305680881</v>
      </c>
      <c r="W462" s="507">
        <v>45.134951897762065</v>
      </c>
      <c r="X462" s="507">
        <v>3463.7281824658503</v>
      </c>
      <c r="Y462" s="507">
        <v>3463.7281824658503</v>
      </c>
      <c r="Z462" s="507">
        <v>18180.416484126756</v>
      </c>
      <c r="AA462" s="507">
        <v>18180.416484126756</v>
      </c>
      <c r="AB462" s="507">
        <v>18180.416484126756</v>
      </c>
      <c r="AC462" s="507">
        <v>0</v>
      </c>
      <c r="AD462" s="507">
        <v>0</v>
      </c>
      <c r="AE462" s="507">
        <v>0</v>
      </c>
      <c r="AF462" s="507"/>
      <c r="AG462" s="507"/>
      <c r="AH462" s="507">
        <v>0</v>
      </c>
      <c r="AI462" s="507">
        <v>0</v>
      </c>
      <c r="AJ462" s="507">
        <v>0</v>
      </c>
      <c r="AK462" s="507">
        <v>0</v>
      </c>
      <c r="AL462" s="507">
        <v>0</v>
      </c>
      <c r="AM462" s="507">
        <v>0</v>
      </c>
      <c r="AN462" s="507"/>
      <c r="AO462" s="507"/>
    </row>
    <row r="463" spans="1:41">
      <c r="A463" s="2"/>
      <c r="B463" s="2"/>
      <c r="C463" s="2"/>
      <c r="D463" s="2"/>
      <c r="E463" s="2"/>
      <c r="F463" s="2"/>
      <c r="G463" s="2"/>
      <c r="I463" s="2"/>
      <c r="J463" s="3"/>
      <c r="K463" s="3"/>
      <c r="L463" s="507"/>
      <c r="M463" s="507"/>
      <c r="N463" s="507"/>
      <c r="O463" s="507"/>
      <c r="P463">
        <v>1</v>
      </c>
      <c r="Q463" s="2" t="s">
        <v>526</v>
      </c>
      <c r="R463" s="3">
        <v>1</v>
      </c>
      <c r="S463" s="3">
        <v>5.2488000000000001</v>
      </c>
      <c r="T463" s="507">
        <v>92316.750794131629</v>
      </c>
      <c r="U463" s="507">
        <v>0</v>
      </c>
      <c r="V463" s="507">
        <v>92316.750794131629</v>
      </c>
      <c r="W463" s="507">
        <v>1445.0136058618659</v>
      </c>
      <c r="X463" s="507"/>
      <c r="Y463" s="507">
        <v>93761.764399993495</v>
      </c>
      <c r="Z463" s="507"/>
      <c r="AA463" s="507">
        <v>492136.74898268585</v>
      </c>
      <c r="AB463" s="507"/>
      <c r="AC463" s="507"/>
      <c r="AD463" s="507"/>
      <c r="AE463" s="507"/>
      <c r="AF463" s="507"/>
      <c r="AG463" s="507"/>
      <c r="AH463" s="507"/>
      <c r="AI463" s="507">
        <v>0</v>
      </c>
      <c r="AJ463" s="507"/>
      <c r="AK463" s="507"/>
      <c r="AL463" s="507"/>
      <c r="AM463" s="507"/>
      <c r="AN463" s="507"/>
      <c r="AO463" s="507"/>
    </row>
    <row r="464" spans="1:41">
      <c r="A464" s="2" t="s">
        <v>1128</v>
      </c>
      <c r="B464" s="2" t="s">
        <v>371</v>
      </c>
      <c r="C464" s="2" t="s">
        <v>328</v>
      </c>
      <c r="D464" s="2" t="s">
        <v>18</v>
      </c>
      <c r="E464" s="2" t="s">
        <v>19</v>
      </c>
      <c r="F464" s="2" t="s">
        <v>20</v>
      </c>
      <c r="G464" s="2" t="s">
        <v>21</v>
      </c>
      <c r="H464">
        <v>1</v>
      </c>
      <c r="I464" s="2" t="s">
        <v>526</v>
      </c>
      <c r="J464" s="3">
        <v>1</v>
      </c>
      <c r="K464" s="3">
        <v>5.2488000000000001</v>
      </c>
      <c r="L464" s="507">
        <v>1083.2838961206774</v>
      </c>
      <c r="M464" s="507">
        <v>0</v>
      </c>
      <c r="N464" s="507">
        <v>1083.2838961206774</v>
      </c>
      <c r="O464" s="507">
        <v>14.302264933531635</v>
      </c>
      <c r="P464">
        <v>1</v>
      </c>
      <c r="Q464" s="2" t="s">
        <v>526</v>
      </c>
      <c r="R464" s="3">
        <v>1</v>
      </c>
      <c r="S464" s="3">
        <v>5.2488000000000001</v>
      </c>
      <c r="T464" s="507">
        <v>1083.2838961206774</v>
      </c>
      <c r="U464" s="507">
        <v>0</v>
      </c>
      <c r="V464" s="507">
        <v>1083.2838961206774</v>
      </c>
      <c r="W464" s="507">
        <v>14.302264933531635</v>
      </c>
      <c r="X464" s="507">
        <v>1097.586161054209</v>
      </c>
      <c r="Y464" s="507">
        <v>1097.586161054209</v>
      </c>
      <c r="Z464" s="507">
        <v>5761.0102421413321</v>
      </c>
      <c r="AA464" s="507">
        <v>5761.0102421413321</v>
      </c>
      <c r="AB464" s="507">
        <v>5761.0102421413321</v>
      </c>
      <c r="AC464" s="507">
        <v>0</v>
      </c>
      <c r="AD464" s="507">
        <v>0</v>
      </c>
      <c r="AE464" s="507">
        <v>0</v>
      </c>
      <c r="AF464" s="507"/>
      <c r="AG464" s="507"/>
      <c r="AH464" s="507">
        <v>0</v>
      </c>
      <c r="AI464" s="507">
        <v>0</v>
      </c>
      <c r="AJ464" s="507">
        <v>0</v>
      </c>
      <c r="AK464" s="507">
        <v>0</v>
      </c>
      <c r="AL464" s="507">
        <v>0</v>
      </c>
      <c r="AM464" s="507">
        <v>0</v>
      </c>
      <c r="AN464" s="507"/>
      <c r="AO464" s="507"/>
    </row>
    <row r="465" spans="1:41">
      <c r="A465" s="2"/>
      <c r="B465" s="2"/>
      <c r="C465" s="2"/>
      <c r="D465" s="2"/>
      <c r="E465" s="2"/>
      <c r="F465" s="2"/>
      <c r="G465" s="2"/>
      <c r="I465" s="2"/>
      <c r="J465" s="3"/>
      <c r="K465" s="3"/>
      <c r="L465" s="507"/>
      <c r="M465" s="507"/>
      <c r="N465" s="507"/>
      <c r="O465" s="507"/>
      <c r="P465">
        <v>1</v>
      </c>
      <c r="Q465" s="2" t="s">
        <v>526</v>
      </c>
      <c r="R465" s="3">
        <v>1</v>
      </c>
      <c r="S465" s="3">
        <v>5.2488000000000001</v>
      </c>
      <c r="T465" s="507">
        <v>92316.750794131629</v>
      </c>
      <c r="U465" s="507">
        <v>0</v>
      </c>
      <c r="V465" s="507">
        <v>92316.750794131629</v>
      </c>
      <c r="W465" s="507">
        <v>1445.0136058618659</v>
      </c>
      <c r="X465" s="507"/>
      <c r="Y465" s="507">
        <v>93761.764399993495</v>
      </c>
      <c r="Z465" s="507"/>
      <c r="AA465" s="507">
        <v>492136.74898268585</v>
      </c>
      <c r="AB465" s="507"/>
      <c r="AC465" s="507"/>
      <c r="AD465" s="507"/>
      <c r="AE465" s="507"/>
      <c r="AF465" s="507"/>
      <c r="AG465" s="507"/>
      <c r="AH465" s="507"/>
      <c r="AI465" s="507">
        <v>0</v>
      </c>
      <c r="AJ465" s="507"/>
      <c r="AK465" s="507"/>
      <c r="AL465" s="507"/>
      <c r="AM465" s="507"/>
      <c r="AN465" s="507"/>
      <c r="AO465" s="507"/>
    </row>
    <row r="466" spans="1:41">
      <c r="A466" s="2" t="s">
        <v>1129</v>
      </c>
      <c r="B466" s="2" t="s">
        <v>343</v>
      </c>
      <c r="C466" s="2" t="s">
        <v>328</v>
      </c>
      <c r="D466" s="2" t="s">
        <v>18</v>
      </c>
      <c r="E466" s="2" t="s">
        <v>19</v>
      </c>
      <c r="F466" s="2" t="s">
        <v>20</v>
      </c>
      <c r="G466" s="2" t="s">
        <v>21</v>
      </c>
      <c r="H466">
        <v>1</v>
      </c>
      <c r="I466" s="2" t="s">
        <v>526</v>
      </c>
      <c r="J466" s="3">
        <v>1</v>
      </c>
      <c r="K466" s="3">
        <v>5.2488000000000001</v>
      </c>
      <c r="L466" s="507">
        <v>92316.750794131629</v>
      </c>
      <c r="M466" s="507">
        <v>0</v>
      </c>
      <c r="N466" s="507">
        <v>92316.750794131629</v>
      </c>
      <c r="O466" s="507">
        <v>2288.6860518933458</v>
      </c>
      <c r="P466">
        <v>1</v>
      </c>
      <c r="Q466" s="2" t="s">
        <v>526</v>
      </c>
      <c r="R466" s="3">
        <v>1</v>
      </c>
      <c r="S466" s="3">
        <v>5.2488000000000001</v>
      </c>
      <c r="T466" s="507">
        <v>92316.750794131629</v>
      </c>
      <c r="U466" s="507">
        <v>0</v>
      </c>
      <c r="V466" s="507">
        <v>92316.750794131629</v>
      </c>
      <c r="W466" s="507">
        <v>2288.6860518933458</v>
      </c>
      <c r="X466" s="507">
        <v>94605.436846024968</v>
      </c>
      <c r="Y466" s="507">
        <v>94605.436846024968</v>
      </c>
      <c r="Z466" s="507">
        <v>496565.01691741584</v>
      </c>
      <c r="AA466" s="507">
        <v>496565.01691741584</v>
      </c>
      <c r="AB466" s="507">
        <v>496565.01691741584</v>
      </c>
      <c r="AC466" s="507">
        <v>0</v>
      </c>
      <c r="AD466" s="507">
        <v>0</v>
      </c>
      <c r="AE466" s="507">
        <v>0</v>
      </c>
      <c r="AF466" s="507"/>
      <c r="AG466" s="507"/>
      <c r="AH466" s="507">
        <v>0</v>
      </c>
      <c r="AI466" s="507">
        <v>0</v>
      </c>
      <c r="AJ466" s="507">
        <v>0</v>
      </c>
      <c r="AK466" s="507">
        <v>0</v>
      </c>
      <c r="AL466" s="507">
        <v>0</v>
      </c>
      <c r="AM466" s="507">
        <v>0</v>
      </c>
      <c r="AN466" s="507"/>
      <c r="AO466" s="507"/>
    </row>
    <row r="467" spans="1:41">
      <c r="A467" s="2"/>
      <c r="B467" s="2"/>
      <c r="C467" s="2"/>
      <c r="D467" s="2"/>
      <c r="E467" s="2"/>
      <c r="F467" s="2"/>
      <c r="G467" s="2"/>
      <c r="I467" s="2"/>
      <c r="J467" s="3"/>
      <c r="K467" s="3"/>
      <c r="L467" s="507"/>
      <c r="M467" s="507"/>
      <c r="N467" s="507"/>
      <c r="O467" s="507"/>
      <c r="P467">
        <v>1</v>
      </c>
      <c r="Q467" s="2" t="s">
        <v>526</v>
      </c>
      <c r="R467" s="3">
        <v>1</v>
      </c>
      <c r="S467" s="3">
        <v>5.2488000000000001</v>
      </c>
      <c r="T467" s="507">
        <v>20302.663747277056</v>
      </c>
      <c r="U467" s="507">
        <v>0</v>
      </c>
      <c r="V467" s="507">
        <v>20302.663747277056</v>
      </c>
      <c r="W467" s="507">
        <v>317.79302926873459</v>
      </c>
      <c r="X467" s="507"/>
      <c r="Y467" s="507">
        <v>20620.45677654579</v>
      </c>
      <c r="Z467" s="507"/>
      <c r="AA467" s="507">
        <v>108232.65352873354</v>
      </c>
      <c r="AB467" s="507"/>
      <c r="AC467" s="507"/>
      <c r="AD467" s="507"/>
      <c r="AE467" s="507"/>
      <c r="AF467" s="507"/>
      <c r="AG467" s="507"/>
      <c r="AH467" s="507"/>
      <c r="AI467" s="507">
        <v>0</v>
      </c>
      <c r="AJ467" s="507"/>
      <c r="AK467" s="507"/>
      <c r="AL467" s="507"/>
      <c r="AM467" s="507"/>
      <c r="AN467" s="507"/>
      <c r="AO467" s="507"/>
    </row>
    <row r="468" spans="1:41">
      <c r="A468" s="2" t="s">
        <v>1130</v>
      </c>
      <c r="B468" s="2" t="s">
        <v>343</v>
      </c>
      <c r="C468" s="2" t="s">
        <v>328</v>
      </c>
      <c r="D468" s="2" t="s">
        <v>18</v>
      </c>
      <c r="E468" s="2" t="s">
        <v>19</v>
      </c>
      <c r="F468" s="2" t="s">
        <v>20</v>
      </c>
      <c r="G468" s="2" t="s">
        <v>21</v>
      </c>
      <c r="H468">
        <v>1</v>
      </c>
      <c r="I468" s="2" t="s">
        <v>526</v>
      </c>
      <c r="J468" s="3">
        <v>1</v>
      </c>
      <c r="K468" s="3">
        <v>5.2488000000000001</v>
      </c>
      <c r="L468" s="507">
        <v>91463.079890088644</v>
      </c>
      <c r="M468" s="507">
        <v>0</v>
      </c>
      <c r="N468" s="507">
        <v>91463.079890088644</v>
      </c>
      <c r="O468" s="507">
        <v>2267.5222521402898</v>
      </c>
      <c r="P468">
        <v>1</v>
      </c>
      <c r="Q468" s="2" t="s">
        <v>526</v>
      </c>
      <c r="R468" s="3">
        <v>1</v>
      </c>
      <c r="S468" s="3">
        <v>5.2488000000000001</v>
      </c>
      <c r="T468" s="507">
        <v>91463.079890088644</v>
      </c>
      <c r="U468" s="507">
        <v>0</v>
      </c>
      <c r="V468" s="507">
        <v>91463.079890088644</v>
      </c>
      <c r="W468" s="507">
        <v>2267.5222521402898</v>
      </c>
      <c r="X468" s="507">
        <v>93730.602142228934</v>
      </c>
      <c r="Y468" s="507">
        <v>93730.602142228934</v>
      </c>
      <c r="Z468" s="507">
        <v>491973.18452413124</v>
      </c>
      <c r="AA468" s="507">
        <v>491973.18452413124</v>
      </c>
      <c r="AB468" s="507">
        <v>491973.18452413124</v>
      </c>
      <c r="AC468" s="507">
        <v>0</v>
      </c>
      <c r="AD468" s="507">
        <v>0</v>
      </c>
      <c r="AE468" s="507">
        <v>0</v>
      </c>
      <c r="AF468" s="507"/>
      <c r="AG468" s="507"/>
      <c r="AH468" s="507">
        <v>0</v>
      </c>
      <c r="AI468" s="507">
        <v>0</v>
      </c>
      <c r="AJ468" s="507">
        <v>0</v>
      </c>
      <c r="AK468" s="507">
        <v>0</v>
      </c>
      <c r="AL468" s="507">
        <v>0</v>
      </c>
      <c r="AM468" s="507">
        <v>0</v>
      </c>
      <c r="AN468" s="507"/>
      <c r="AO468" s="507"/>
    </row>
    <row r="469" spans="1:41">
      <c r="A469" s="2"/>
      <c r="B469" s="2"/>
      <c r="C469" s="2"/>
      <c r="D469" s="2"/>
      <c r="E469" s="2"/>
      <c r="F469" s="2"/>
      <c r="G469" s="2"/>
      <c r="I469" s="2"/>
      <c r="J469" s="3"/>
      <c r="K469" s="3"/>
      <c r="L469" s="507"/>
      <c r="M469" s="507"/>
      <c r="N469" s="507"/>
      <c r="O469" s="507"/>
      <c r="P469">
        <v>1</v>
      </c>
      <c r="Q469" s="2" t="s">
        <v>526</v>
      </c>
      <c r="R469" s="3">
        <v>1</v>
      </c>
      <c r="S469" s="3">
        <v>5.2488000000000001</v>
      </c>
      <c r="T469" s="507">
        <v>58697.547054785406</v>
      </c>
      <c r="U469" s="507">
        <v>0</v>
      </c>
      <c r="V469" s="507">
        <v>58697.547054785406</v>
      </c>
      <c r="W469" s="507">
        <v>1065.3604790443551</v>
      </c>
      <c r="X469" s="507"/>
      <c r="Y469" s="507">
        <v>59762.907533829763</v>
      </c>
      <c r="Z469" s="507"/>
      <c r="AA469" s="507">
        <v>313683.54906356568</v>
      </c>
      <c r="AB469" s="507"/>
      <c r="AC469" s="507"/>
      <c r="AD469" s="507"/>
      <c r="AE469" s="507"/>
      <c r="AF469" s="507"/>
      <c r="AG469" s="507"/>
      <c r="AH469" s="507"/>
      <c r="AI469" s="507">
        <v>0</v>
      </c>
      <c r="AJ469" s="507"/>
      <c r="AK469" s="507"/>
      <c r="AL469" s="507"/>
      <c r="AM469" s="507"/>
      <c r="AN469" s="507"/>
      <c r="AO469" s="507"/>
    </row>
    <row r="470" spans="1:41">
      <c r="A470" s="2" t="s">
        <v>1131</v>
      </c>
      <c r="B470" s="2" t="s">
        <v>341</v>
      </c>
      <c r="C470" s="2" t="s">
        <v>328</v>
      </c>
      <c r="D470" s="2" t="s">
        <v>18</v>
      </c>
      <c r="E470" s="2" t="s">
        <v>19</v>
      </c>
      <c r="F470" s="2" t="s">
        <v>20</v>
      </c>
      <c r="G470" s="2" t="s">
        <v>21</v>
      </c>
      <c r="H470">
        <v>1</v>
      </c>
      <c r="I470" s="2" t="s">
        <v>526</v>
      </c>
      <c r="J470" s="3">
        <v>1</v>
      </c>
      <c r="K470" s="3">
        <v>5.2488000000000001</v>
      </c>
      <c r="L470" s="507">
        <v>49156.388466329467</v>
      </c>
      <c r="M470" s="507">
        <v>0</v>
      </c>
      <c r="N470" s="507">
        <v>49156.388466329467</v>
      </c>
      <c r="O470" s="507">
        <v>1218.6688113957921</v>
      </c>
      <c r="P470">
        <v>1</v>
      </c>
      <c r="Q470" s="2" t="s">
        <v>526</v>
      </c>
      <c r="R470" s="3">
        <v>1</v>
      </c>
      <c r="S470" s="3">
        <v>5.2488000000000001</v>
      </c>
      <c r="T470" s="507">
        <v>49156.388466329467</v>
      </c>
      <c r="U470" s="507">
        <v>0</v>
      </c>
      <c r="V470" s="507">
        <v>49156.388466329467</v>
      </c>
      <c r="W470" s="507">
        <v>1218.6688113957921</v>
      </c>
      <c r="X470" s="507">
        <v>50375.05727772526</v>
      </c>
      <c r="Y470" s="507">
        <v>50375.05727772526</v>
      </c>
      <c r="Z470" s="507">
        <v>264408.60063932434</v>
      </c>
      <c r="AA470" s="507">
        <v>264408.60063932434</v>
      </c>
      <c r="AB470" s="507">
        <v>264408.60063932434</v>
      </c>
      <c r="AC470" s="507">
        <v>0</v>
      </c>
      <c r="AD470" s="507">
        <v>0</v>
      </c>
      <c r="AE470" s="507">
        <v>0</v>
      </c>
      <c r="AF470" s="507"/>
      <c r="AG470" s="507"/>
      <c r="AH470" s="507">
        <v>0</v>
      </c>
      <c r="AI470" s="507">
        <v>0</v>
      </c>
      <c r="AJ470" s="507">
        <v>0</v>
      </c>
      <c r="AK470" s="507">
        <v>0</v>
      </c>
      <c r="AL470" s="507">
        <v>0</v>
      </c>
      <c r="AM470" s="507">
        <v>0</v>
      </c>
      <c r="AN470" s="507"/>
      <c r="AO470" s="507"/>
    </row>
    <row r="471" spans="1:41">
      <c r="A471" s="2"/>
      <c r="B471" s="2"/>
      <c r="C471" s="2"/>
      <c r="D471" s="2"/>
      <c r="E471" s="2"/>
      <c r="F471" s="2"/>
      <c r="G471" s="2"/>
      <c r="I471" s="2"/>
      <c r="J471" s="3"/>
      <c r="K471" s="3"/>
      <c r="L471" s="507"/>
      <c r="M471" s="507"/>
      <c r="N471" s="507"/>
      <c r="O471" s="507"/>
      <c r="P471">
        <v>1</v>
      </c>
      <c r="Q471" s="2" t="s">
        <v>526</v>
      </c>
      <c r="R471" s="3">
        <v>1</v>
      </c>
      <c r="S471" s="3">
        <v>5.2488000000000001</v>
      </c>
      <c r="T471" s="507">
        <v>58697.547054785406</v>
      </c>
      <c r="U471" s="507">
        <v>0</v>
      </c>
      <c r="V471" s="507">
        <v>58697.547054785406</v>
      </c>
      <c r="W471" s="507">
        <v>1065.3604790443551</v>
      </c>
      <c r="X471" s="507"/>
      <c r="Y471" s="507">
        <v>59762.907533829763</v>
      </c>
      <c r="Z471" s="507"/>
      <c r="AA471" s="507">
        <v>313683.54906356568</v>
      </c>
      <c r="AB471" s="507"/>
      <c r="AC471" s="507"/>
      <c r="AD471" s="507"/>
      <c r="AE471" s="507"/>
      <c r="AF471" s="507"/>
      <c r="AG471" s="507"/>
      <c r="AH471" s="507"/>
      <c r="AI471" s="507">
        <v>0</v>
      </c>
      <c r="AJ471" s="507"/>
      <c r="AK471" s="507"/>
      <c r="AL471" s="507"/>
      <c r="AM471" s="507"/>
      <c r="AN471" s="507"/>
      <c r="AO471" s="507"/>
    </row>
    <row r="472" spans="1:41">
      <c r="A472" s="2" t="s">
        <v>1132</v>
      </c>
      <c r="B472" s="2" t="s">
        <v>341</v>
      </c>
      <c r="C472" s="2" t="s">
        <v>328</v>
      </c>
      <c r="D472" s="2" t="s">
        <v>18</v>
      </c>
      <c r="E472" s="2" t="s">
        <v>19</v>
      </c>
      <c r="F472" s="2" t="s">
        <v>20</v>
      </c>
      <c r="G472" s="2" t="s">
        <v>21</v>
      </c>
      <c r="H472">
        <v>1</v>
      </c>
      <c r="I472" s="2" t="s">
        <v>526</v>
      </c>
      <c r="J472" s="3">
        <v>1</v>
      </c>
      <c r="K472" s="3">
        <v>5.2488000000000001</v>
      </c>
      <c r="L472" s="507">
        <v>92316.750794131629</v>
      </c>
      <c r="M472" s="507">
        <v>0</v>
      </c>
      <c r="N472" s="507">
        <v>92316.750794131629</v>
      </c>
      <c r="O472" s="507">
        <v>2288.6860518933458</v>
      </c>
      <c r="P472">
        <v>1</v>
      </c>
      <c r="Q472" s="2" t="s">
        <v>526</v>
      </c>
      <c r="R472" s="3">
        <v>1</v>
      </c>
      <c r="S472" s="3">
        <v>5.2488000000000001</v>
      </c>
      <c r="T472" s="507">
        <v>92316.750794131629</v>
      </c>
      <c r="U472" s="507">
        <v>0</v>
      </c>
      <c r="V472" s="507">
        <v>92316.750794131629</v>
      </c>
      <c r="W472" s="507">
        <v>2288.6860518933458</v>
      </c>
      <c r="X472" s="507">
        <v>94605.436846024968</v>
      </c>
      <c r="Y472" s="507">
        <v>94605.436846024968</v>
      </c>
      <c r="Z472" s="507">
        <v>496565.01691741584</v>
      </c>
      <c r="AA472" s="507">
        <v>496565.01691741584</v>
      </c>
      <c r="AB472" s="507">
        <v>496565.01691741584</v>
      </c>
      <c r="AC472" s="507">
        <v>0</v>
      </c>
      <c r="AD472" s="507">
        <v>0</v>
      </c>
      <c r="AE472" s="507">
        <v>0</v>
      </c>
      <c r="AF472" s="507"/>
      <c r="AG472" s="507"/>
      <c r="AH472" s="507">
        <v>0</v>
      </c>
      <c r="AI472" s="507">
        <v>0</v>
      </c>
      <c r="AJ472" s="507">
        <v>0</v>
      </c>
      <c r="AK472" s="507">
        <v>0</v>
      </c>
      <c r="AL472" s="507">
        <v>0</v>
      </c>
      <c r="AM472" s="507">
        <v>0</v>
      </c>
      <c r="AN472" s="507"/>
      <c r="AO472" s="507"/>
    </row>
    <row r="473" spans="1:41">
      <c r="A473" s="2"/>
      <c r="B473" s="2"/>
      <c r="C473" s="2"/>
      <c r="D473" s="2"/>
      <c r="E473" s="2"/>
      <c r="F473" s="2"/>
      <c r="G473" s="2"/>
      <c r="I473" s="2"/>
      <c r="J473" s="3"/>
      <c r="K473" s="3"/>
      <c r="L473" s="507"/>
      <c r="M473" s="507"/>
      <c r="N473" s="507"/>
      <c r="O473" s="507"/>
      <c r="P473">
        <v>1</v>
      </c>
      <c r="Q473" s="2" t="s">
        <v>526</v>
      </c>
      <c r="R473" s="3">
        <v>1</v>
      </c>
      <c r="S473" s="3">
        <v>5.2488000000000001</v>
      </c>
      <c r="T473" s="507">
        <v>1304.9210901967551</v>
      </c>
      <c r="U473" s="507">
        <v>0</v>
      </c>
      <c r="V473" s="507">
        <v>1304.9210901967551</v>
      </c>
      <c r="W473" s="507">
        <v>18.827078156955206</v>
      </c>
      <c r="X473" s="507"/>
      <c r="Y473" s="507">
        <v>1323.7481683537103</v>
      </c>
      <c r="Z473" s="507"/>
      <c r="AA473" s="507">
        <v>6948.089386054955</v>
      </c>
      <c r="AB473" s="507"/>
      <c r="AC473" s="507"/>
      <c r="AD473" s="507"/>
      <c r="AE473" s="507"/>
      <c r="AF473" s="507"/>
      <c r="AG473" s="507"/>
      <c r="AH473" s="507"/>
      <c r="AI473" s="507">
        <v>0</v>
      </c>
      <c r="AJ473" s="507"/>
      <c r="AK473" s="507"/>
      <c r="AL473" s="507"/>
      <c r="AM473" s="507"/>
      <c r="AN473" s="507"/>
      <c r="AO473" s="507"/>
    </row>
    <row r="474" spans="1:41">
      <c r="A474" s="2" t="s">
        <v>1133</v>
      </c>
      <c r="B474" s="2" t="s">
        <v>341</v>
      </c>
      <c r="C474" s="2" t="s">
        <v>328</v>
      </c>
      <c r="D474" s="2" t="s">
        <v>18</v>
      </c>
      <c r="E474" s="2" t="s">
        <v>19</v>
      </c>
      <c r="F474" s="2" t="s">
        <v>20</v>
      </c>
      <c r="G474" s="2" t="s">
        <v>21</v>
      </c>
      <c r="H474">
        <v>1</v>
      </c>
      <c r="I474" s="2" t="s">
        <v>526</v>
      </c>
      <c r="J474" s="3">
        <v>1</v>
      </c>
      <c r="K474" s="3">
        <v>5.2488000000000001</v>
      </c>
      <c r="L474" s="507">
        <v>41833.003282057885</v>
      </c>
      <c r="M474" s="507">
        <v>0</v>
      </c>
      <c r="N474" s="507">
        <v>41833.003282057885</v>
      </c>
      <c r="O474" s="507">
        <v>1037.1098268759763</v>
      </c>
      <c r="P474">
        <v>1</v>
      </c>
      <c r="Q474" s="2" t="s">
        <v>526</v>
      </c>
      <c r="R474" s="3">
        <v>1</v>
      </c>
      <c r="S474" s="3">
        <v>5.2488000000000001</v>
      </c>
      <c r="T474" s="507">
        <v>41833.003282057885</v>
      </c>
      <c r="U474" s="507">
        <v>0</v>
      </c>
      <c r="V474" s="507">
        <v>41833.003282057885</v>
      </c>
      <c r="W474" s="507">
        <v>1037.1098268759763</v>
      </c>
      <c r="X474" s="507">
        <v>42870.11310893386</v>
      </c>
      <c r="Y474" s="507">
        <v>42870.11310893386</v>
      </c>
      <c r="Z474" s="507">
        <v>225016.64968617205</v>
      </c>
      <c r="AA474" s="507">
        <v>225016.64968617205</v>
      </c>
      <c r="AB474" s="507">
        <v>225016.64968617205</v>
      </c>
      <c r="AC474" s="507">
        <v>0</v>
      </c>
      <c r="AD474" s="507">
        <v>0</v>
      </c>
      <c r="AE474" s="507">
        <v>0</v>
      </c>
      <c r="AF474" s="507"/>
      <c r="AG474" s="507"/>
      <c r="AH474" s="507">
        <v>0</v>
      </c>
      <c r="AI474" s="507">
        <v>0</v>
      </c>
      <c r="AJ474" s="507">
        <v>0</v>
      </c>
      <c r="AK474" s="507">
        <v>0</v>
      </c>
      <c r="AL474" s="507">
        <v>0</v>
      </c>
      <c r="AM474" s="507">
        <v>0</v>
      </c>
      <c r="AN474" s="507"/>
      <c r="AO474" s="507"/>
    </row>
    <row r="475" spans="1:41">
      <c r="A475" s="2"/>
      <c r="B475" s="2"/>
      <c r="C475" s="2"/>
      <c r="D475" s="2"/>
      <c r="E475" s="2"/>
      <c r="F475" s="2"/>
      <c r="G475" s="2"/>
      <c r="I475" s="2"/>
      <c r="J475" s="3"/>
      <c r="K475" s="3"/>
      <c r="L475" s="507"/>
      <c r="M475" s="507"/>
      <c r="N475" s="507"/>
      <c r="O475" s="507"/>
      <c r="P475">
        <v>1</v>
      </c>
      <c r="Q475" s="2" t="s">
        <v>526</v>
      </c>
      <c r="R475" s="3">
        <v>1</v>
      </c>
      <c r="S475" s="3">
        <v>5.2488000000000001</v>
      </c>
      <c r="T475" s="507">
        <v>1319.0250587495811</v>
      </c>
      <c r="U475" s="507">
        <v>0</v>
      </c>
      <c r="V475" s="507">
        <v>1319.0250587495811</v>
      </c>
      <c r="W475" s="507">
        <v>19.030544275705466</v>
      </c>
      <c r="X475" s="507"/>
      <c r="Y475" s="507">
        <v>1338.0556030252867</v>
      </c>
      <c r="Z475" s="507"/>
      <c r="AA475" s="507">
        <v>7023.1862491591246</v>
      </c>
      <c r="AB475" s="507"/>
      <c r="AC475" s="507"/>
      <c r="AD475" s="507"/>
      <c r="AE475" s="507"/>
      <c r="AF475" s="507"/>
      <c r="AG475" s="507"/>
      <c r="AH475" s="507"/>
      <c r="AI475" s="507">
        <v>0</v>
      </c>
      <c r="AJ475" s="507"/>
      <c r="AK475" s="507"/>
      <c r="AL475" s="507"/>
      <c r="AM475" s="507"/>
      <c r="AN475" s="507"/>
      <c r="AO475" s="507"/>
    </row>
    <row r="476" spans="1:41">
      <c r="A476" s="2" t="s">
        <v>1134</v>
      </c>
      <c r="B476" s="2" t="s">
        <v>342</v>
      </c>
      <c r="C476" s="2" t="s">
        <v>328</v>
      </c>
      <c r="D476" s="2" t="s">
        <v>18</v>
      </c>
      <c r="E476" s="2" t="s">
        <v>19</v>
      </c>
      <c r="F476" s="2" t="s">
        <v>20</v>
      </c>
      <c r="G476" s="2" t="s">
        <v>21</v>
      </c>
      <c r="H476">
        <v>1</v>
      </c>
      <c r="I476" s="2" t="s">
        <v>526</v>
      </c>
      <c r="J476" s="3">
        <v>1</v>
      </c>
      <c r="K476" s="3">
        <v>5.2488000000000001</v>
      </c>
      <c r="L476" s="507">
        <v>92316.750794131629</v>
      </c>
      <c r="M476" s="507">
        <v>0</v>
      </c>
      <c r="N476" s="507">
        <v>92316.750794131629</v>
      </c>
      <c r="O476" s="507">
        <v>2275.6079070753444</v>
      </c>
      <c r="P476">
        <v>1</v>
      </c>
      <c r="Q476" s="2" t="s">
        <v>526</v>
      </c>
      <c r="R476" s="3">
        <v>1</v>
      </c>
      <c r="S476" s="3">
        <v>5.2488000000000001</v>
      </c>
      <c r="T476" s="507">
        <v>92316.750794131629</v>
      </c>
      <c r="U476" s="507">
        <v>0</v>
      </c>
      <c r="V476" s="507">
        <v>92316.750794131629</v>
      </c>
      <c r="W476" s="507">
        <v>2275.6079070753444</v>
      </c>
      <c r="X476" s="507">
        <v>94592.358701206977</v>
      </c>
      <c r="Y476" s="507">
        <v>94592.358701206977</v>
      </c>
      <c r="Z476" s="507">
        <v>496496.3723508952</v>
      </c>
      <c r="AA476" s="507">
        <v>496496.3723508952</v>
      </c>
      <c r="AB476" s="507">
        <v>496496.3723508952</v>
      </c>
      <c r="AC476" s="507">
        <v>0</v>
      </c>
      <c r="AD476" s="507">
        <v>0</v>
      </c>
      <c r="AE476" s="507">
        <v>0</v>
      </c>
      <c r="AF476" s="507"/>
      <c r="AG476" s="507"/>
      <c r="AH476" s="507">
        <v>0</v>
      </c>
      <c r="AI476" s="507">
        <v>0</v>
      </c>
      <c r="AJ476" s="507">
        <v>0</v>
      </c>
      <c r="AK476" s="507">
        <v>0</v>
      </c>
      <c r="AL476" s="507">
        <v>0</v>
      </c>
      <c r="AM476" s="507">
        <v>0</v>
      </c>
      <c r="AN476" s="507"/>
      <c r="AO476" s="507"/>
    </row>
    <row r="477" spans="1:41">
      <c r="A477" s="2"/>
      <c r="B477" s="2"/>
      <c r="C477" s="2"/>
      <c r="D477" s="2"/>
      <c r="E477" s="2"/>
      <c r="F477" s="2"/>
      <c r="G477" s="2"/>
      <c r="I477" s="2"/>
      <c r="J477" s="3"/>
      <c r="K477" s="3"/>
      <c r="L477" s="507"/>
      <c r="M477" s="507"/>
      <c r="N477" s="507"/>
      <c r="O477" s="507"/>
      <c r="P477">
        <v>1</v>
      </c>
      <c r="Q477" s="2" t="s">
        <v>526</v>
      </c>
      <c r="R477" s="3">
        <v>1</v>
      </c>
      <c r="S477" s="3">
        <v>5.2488000000000001</v>
      </c>
      <c r="T477" s="507">
        <v>3956.2980538405586</v>
      </c>
      <c r="U477" s="507">
        <v>0</v>
      </c>
      <c r="V477" s="507">
        <v>3956.2980538405586</v>
      </c>
      <c r="W477" s="507">
        <v>57.08055481702111</v>
      </c>
      <c r="X477" s="507"/>
      <c r="Y477" s="507">
        <v>4013.3786086575797</v>
      </c>
      <c r="Z477" s="507"/>
      <c r="AA477" s="507">
        <v>21065.421641121906</v>
      </c>
      <c r="AB477" s="507"/>
      <c r="AC477" s="507"/>
      <c r="AD477" s="507"/>
      <c r="AE477" s="507"/>
      <c r="AF477" s="507"/>
      <c r="AG477" s="507"/>
      <c r="AH477" s="507"/>
      <c r="AI477" s="507">
        <v>0</v>
      </c>
      <c r="AJ477" s="507"/>
      <c r="AK477" s="507"/>
      <c r="AL477" s="507"/>
      <c r="AM477" s="507"/>
      <c r="AN477" s="507"/>
      <c r="AO477" s="507"/>
    </row>
    <row r="478" spans="1:41">
      <c r="A478" s="2" t="s">
        <v>1135</v>
      </c>
      <c r="B478" s="2" t="s">
        <v>342</v>
      </c>
      <c r="C478" s="2" t="s">
        <v>328</v>
      </c>
      <c r="D478" s="2" t="s">
        <v>18</v>
      </c>
      <c r="E478" s="2" t="s">
        <v>19</v>
      </c>
      <c r="F478" s="2" t="s">
        <v>20</v>
      </c>
      <c r="G478" s="2" t="s">
        <v>21</v>
      </c>
      <c r="H478">
        <v>1</v>
      </c>
      <c r="I478" s="2" t="s">
        <v>526</v>
      </c>
      <c r="J478" s="3">
        <v>1</v>
      </c>
      <c r="K478" s="3">
        <v>5.2488000000000001</v>
      </c>
      <c r="L478" s="507">
        <v>51553.366313474864</v>
      </c>
      <c r="M478" s="507">
        <v>0</v>
      </c>
      <c r="N478" s="507">
        <v>51553.366313474864</v>
      </c>
      <c r="O478" s="507">
        <v>1270.7904796271553</v>
      </c>
      <c r="P478">
        <v>1</v>
      </c>
      <c r="Q478" s="2" t="s">
        <v>526</v>
      </c>
      <c r="R478" s="3">
        <v>1</v>
      </c>
      <c r="S478" s="3">
        <v>5.2488000000000001</v>
      </c>
      <c r="T478" s="507">
        <v>51553.366313474864</v>
      </c>
      <c r="U478" s="507">
        <v>0</v>
      </c>
      <c r="V478" s="507">
        <v>51553.366313474864</v>
      </c>
      <c r="W478" s="507">
        <v>1270.7904796271553</v>
      </c>
      <c r="X478" s="507">
        <v>52824.156793102018</v>
      </c>
      <c r="Y478" s="507">
        <v>52824.156793102018</v>
      </c>
      <c r="Z478" s="507">
        <v>277263.43417563388</v>
      </c>
      <c r="AA478" s="507">
        <v>277263.43417563388</v>
      </c>
      <c r="AB478" s="507">
        <v>277263.43417563388</v>
      </c>
      <c r="AC478" s="507">
        <v>0</v>
      </c>
      <c r="AD478" s="507">
        <v>0</v>
      </c>
      <c r="AE478" s="507">
        <v>0</v>
      </c>
      <c r="AF478" s="507"/>
      <c r="AG478" s="507"/>
      <c r="AH478" s="507">
        <v>0</v>
      </c>
      <c r="AI478" s="507">
        <v>0</v>
      </c>
      <c r="AJ478" s="507">
        <v>0</v>
      </c>
      <c r="AK478" s="507">
        <v>0</v>
      </c>
      <c r="AL478" s="507">
        <v>0</v>
      </c>
      <c r="AM478" s="507">
        <v>0</v>
      </c>
      <c r="AN478" s="507"/>
      <c r="AO478" s="507"/>
    </row>
    <row r="479" spans="1:41">
      <c r="A479" s="2"/>
      <c r="B479" s="2"/>
      <c r="C479" s="2"/>
      <c r="D479" s="2"/>
      <c r="E479" s="2"/>
      <c r="F479" s="2"/>
      <c r="G479" s="2"/>
      <c r="I479" s="2"/>
      <c r="J479" s="3"/>
      <c r="K479" s="3"/>
      <c r="L479" s="507"/>
      <c r="M479" s="507"/>
      <c r="N479" s="507"/>
      <c r="O479" s="507"/>
      <c r="P479">
        <v>1</v>
      </c>
      <c r="Q479" s="2" t="s">
        <v>526</v>
      </c>
      <c r="R479" s="3">
        <v>1</v>
      </c>
      <c r="S479" s="3">
        <v>5.2488000000000001</v>
      </c>
      <c r="T479" s="507">
        <v>448.67713367563215</v>
      </c>
      <c r="U479" s="507">
        <v>0</v>
      </c>
      <c r="V479" s="507">
        <v>448.67713367563215</v>
      </c>
      <c r="W479" s="507">
        <v>7.267359256015629</v>
      </c>
      <c r="X479" s="507"/>
      <c r="Y479" s="507">
        <v>455.9444929316478</v>
      </c>
      <c r="Z479" s="507"/>
      <c r="AA479" s="507">
        <v>2393.1614544996332</v>
      </c>
      <c r="AB479" s="507"/>
      <c r="AC479" s="507"/>
      <c r="AD479" s="507"/>
      <c r="AE479" s="507"/>
      <c r="AF479" s="507"/>
      <c r="AG479" s="507"/>
      <c r="AH479" s="507"/>
      <c r="AI479" s="507">
        <v>0</v>
      </c>
      <c r="AJ479" s="507"/>
      <c r="AK479" s="507"/>
      <c r="AL479" s="507"/>
      <c r="AM479" s="507"/>
      <c r="AN479" s="507"/>
      <c r="AO479" s="507"/>
    </row>
    <row r="480" spans="1:41">
      <c r="A480" s="2" t="s">
        <v>1136</v>
      </c>
      <c r="B480" s="2" t="s">
        <v>340</v>
      </c>
      <c r="C480" s="2" t="s">
        <v>328</v>
      </c>
      <c r="D480" s="2" t="s">
        <v>18</v>
      </c>
      <c r="E480" s="2" t="s">
        <v>19</v>
      </c>
      <c r="F480" s="2" t="s">
        <v>20</v>
      </c>
      <c r="G480" s="2" t="s">
        <v>21</v>
      </c>
      <c r="H480">
        <v>1</v>
      </c>
      <c r="I480" s="2" t="s">
        <v>526</v>
      </c>
      <c r="J480" s="3">
        <v>1</v>
      </c>
      <c r="K480" s="3">
        <v>5.2488000000000001</v>
      </c>
      <c r="L480" s="507">
        <v>91757.474684968096</v>
      </c>
      <c r="M480" s="507">
        <v>0</v>
      </c>
      <c r="N480" s="507">
        <v>91757.474684968096</v>
      </c>
      <c r="O480" s="507">
        <v>2287.8197515038937</v>
      </c>
      <c r="P480">
        <v>1</v>
      </c>
      <c r="Q480" s="2" t="s">
        <v>526</v>
      </c>
      <c r="R480" s="3">
        <v>1</v>
      </c>
      <c r="S480" s="3">
        <v>5.2488000000000001</v>
      </c>
      <c r="T480" s="507">
        <v>91757.474684968096</v>
      </c>
      <c r="U480" s="507">
        <v>0</v>
      </c>
      <c r="V480" s="507">
        <v>91757.474684968096</v>
      </c>
      <c r="W480" s="507">
        <v>2287.8197515038937</v>
      </c>
      <c r="X480" s="507">
        <v>94045.294436471988</v>
      </c>
      <c r="Y480" s="507">
        <v>94045.294436471988</v>
      </c>
      <c r="Z480" s="507">
        <v>493624.9414381542</v>
      </c>
      <c r="AA480" s="507">
        <v>493624.9414381542</v>
      </c>
      <c r="AB480" s="507">
        <v>493624.9414381542</v>
      </c>
      <c r="AC480" s="507">
        <v>0</v>
      </c>
      <c r="AD480" s="507">
        <v>0</v>
      </c>
      <c r="AE480" s="507">
        <v>0</v>
      </c>
      <c r="AF480" s="507"/>
      <c r="AG480" s="507"/>
      <c r="AH480" s="507">
        <v>0</v>
      </c>
      <c r="AI480" s="507">
        <v>0</v>
      </c>
      <c r="AJ480" s="507">
        <v>0</v>
      </c>
      <c r="AK480" s="507">
        <v>0</v>
      </c>
      <c r="AL480" s="507">
        <v>0</v>
      </c>
      <c r="AM480" s="507">
        <v>0</v>
      </c>
      <c r="AN480" s="507"/>
      <c r="AO480" s="507"/>
    </row>
    <row r="481" spans="1:41">
      <c r="A481" s="2"/>
      <c r="B481" s="2"/>
      <c r="C481" s="2"/>
      <c r="D481" s="2"/>
      <c r="E481" s="2"/>
      <c r="F481" s="2"/>
      <c r="G481" s="2"/>
      <c r="I481" s="2"/>
      <c r="J481" s="3"/>
      <c r="K481" s="3"/>
      <c r="L481" s="507"/>
      <c r="M481" s="507"/>
      <c r="N481" s="507"/>
      <c r="O481" s="507"/>
      <c r="P481">
        <v>1</v>
      </c>
      <c r="Q481" s="2" t="s">
        <v>526</v>
      </c>
      <c r="R481" s="3">
        <v>1</v>
      </c>
      <c r="S481" s="3">
        <v>5.2488000000000001</v>
      </c>
      <c r="T481" s="507">
        <v>6165.0806345185547</v>
      </c>
      <c r="U481" s="507">
        <v>0</v>
      </c>
      <c r="V481" s="507">
        <v>6165.0806345185547</v>
      </c>
      <c r="W481" s="507">
        <v>99.857182998996308</v>
      </c>
      <c r="X481" s="507"/>
      <c r="Y481" s="507">
        <v>6264.9378175175507</v>
      </c>
      <c r="Z481" s="507"/>
      <c r="AA481" s="507">
        <v>32883.405616586118</v>
      </c>
      <c r="AB481" s="507"/>
      <c r="AC481" s="507"/>
      <c r="AD481" s="507"/>
      <c r="AE481" s="507"/>
      <c r="AF481" s="507"/>
      <c r="AG481" s="507"/>
      <c r="AH481" s="507"/>
      <c r="AI481" s="507">
        <v>0</v>
      </c>
      <c r="AJ481" s="507"/>
      <c r="AK481" s="507"/>
      <c r="AL481" s="507"/>
      <c r="AM481" s="507"/>
      <c r="AN481" s="507"/>
      <c r="AO481" s="507"/>
    </row>
    <row r="482" spans="1:41">
      <c r="A482" s="2" t="s">
        <v>1137</v>
      </c>
      <c r="B482" s="2" t="s">
        <v>340</v>
      </c>
      <c r="C482" s="2" t="s">
        <v>328</v>
      </c>
      <c r="D482" s="2" t="s">
        <v>18</v>
      </c>
      <c r="E482" s="2" t="s">
        <v>19</v>
      </c>
      <c r="F482" s="2" t="s">
        <v>20</v>
      </c>
      <c r="G482" s="2" t="s">
        <v>21</v>
      </c>
      <c r="H482">
        <v>1</v>
      </c>
      <c r="I482" s="2" t="s">
        <v>526</v>
      </c>
      <c r="J482" s="3">
        <v>1</v>
      </c>
      <c r="K482" s="3">
        <v>5.2488000000000001</v>
      </c>
      <c r="L482" s="507">
        <v>92316.750794131629</v>
      </c>
      <c r="M482" s="507">
        <v>0</v>
      </c>
      <c r="N482" s="507">
        <v>92316.750794131629</v>
      </c>
      <c r="O482" s="507">
        <v>2288.6860518933458</v>
      </c>
      <c r="P482">
        <v>1</v>
      </c>
      <c r="Q482" s="2" t="s">
        <v>526</v>
      </c>
      <c r="R482" s="3">
        <v>1</v>
      </c>
      <c r="S482" s="3">
        <v>5.2488000000000001</v>
      </c>
      <c r="T482" s="507">
        <v>92316.750794131629</v>
      </c>
      <c r="U482" s="507">
        <v>0</v>
      </c>
      <c r="V482" s="507">
        <v>92316.750794131629</v>
      </c>
      <c r="W482" s="507">
        <v>2288.6860518933458</v>
      </c>
      <c r="X482" s="507">
        <v>94605.436846024968</v>
      </c>
      <c r="Y482" s="507">
        <v>94605.436846024968</v>
      </c>
      <c r="Z482" s="507">
        <v>496565.01691741584</v>
      </c>
      <c r="AA482" s="507">
        <v>496565.01691741584</v>
      </c>
      <c r="AB482" s="507">
        <v>496565.01691741584</v>
      </c>
      <c r="AC482" s="507">
        <v>0</v>
      </c>
      <c r="AD482" s="507">
        <v>0</v>
      </c>
      <c r="AE482" s="507">
        <v>0</v>
      </c>
      <c r="AF482" s="507"/>
      <c r="AG482" s="507"/>
      <c r="AH482" s="507">
        <v>0</v>
      </c>
      <c r="AI482" s="507">
        <v>0</v>
      </c>
      <c r="AJ482" s="507">
        <v>0</v>
      </c>
      <c r="AK482" s="507">
        <v>0</v>
      </c>
      <c r="AL482" s="507">
        <v>0</v>
      </c>
      <c r="AM482" s="507">
        <v>0</v>
      </c>
      <c r="AN482" s="507"/>
      <c r="AO482" s="507"/>
    </row>
    <row r="483" spans="1:41">
      <c r="A483" s="2"/>
      <c r="B483" s="2"/>
      <c r="C483" s="2"/>
      <c r="D483" s="2"/>
      <c r="E483" s="2"/>
      <c r="F483" s="2"/>
      <c r="G483" s="2"/>
      <c r="I483" s="2"/>
      <c r="J483" s="3"/>
      <c r="K483" s="3"/>
      <c r="L483" s="507"/>
      <c r="M483" s="507"/>
      <c r="N483" s="507"/>
      <c r="O483" s="507"/>
      <c r="P483">
        <v>1</v>
      </c>
      <c r="Q483" s="2" t="s">
        <v>526</v>
      </c>
      <c r="R483" s="3">
        <v>1</v>
      </c>
      <c r="S483" s="3">
        <v>5.2488000000000001</v>
      </c>
      <c r="T483" s="507">
        <v>385.56423309471938</v>
      </c>
      <c r="U483" s="507">
        <v>0</v>
      </c>
      <c r="V483" s="507">
        <v>385.56423309471938</v>
      </c>
      <c r="W483" s="507">
        <v>6.2450435577214156</v>
      </c>
      <c r="X483" s="507"/>
      <c r="Y483" s="507">
        <v>391.80927665244081</v>
      </c>
      <c r="Z483" s="507"/>
      <c r="AA483" s="507">
        <v>2056.5285312933315</v>
      </c>
      <c r="AB483" s="507"/>
      <c r="AC483" s="507"/>
      <c r="AD483" s="507"/>
      <c r="AE483" s="507"/>
      <c r="AF483" s="507"/>
      <c r="AG483" s="507"/>
      <c r="AH483" s="507"/>
      <c r="AI483" s="507">
        <v>0</v>
      </c>
      <c r="AJ483" s="507"/>
      <c r="AK483" s="507"/>
      <c r="AL483" s="507"/>
      <c r="AM483" s="507"/>
      <c r="AN483" s="507"/>
      <c r="AO483" s="507"/>
    </row>
    <row r="484" spans="1:41">
      <c r="A484" s="2" t="s">
        <v>1138</v>
      </c>
      <c r="B484" s="2" t="s">
        <v>339</v>
      </c>
      <c r="C484" s="2" t="s">
        <v>328</v>
      </c>
      <c r="D484" s="2" t="s">
        <v>18</v>
      </c>
      <c r="E484" s="2" t="s">
        <v>19</v>
      </c>
      <c r="F484" s="2" t="s">
        <v>20</v>
      </c>
      <c r="G484" s="2" t="s">
        <v>21</v>
      </c>
      <c r="H484">
        <v>1</v>
      </c>
      <c r="I484" s="2" t="s">
        <v>526</v>
      </c>
      <c r="J484" s="3">
        <v>1</v>
      </c>
      <c r="K484" s="3">
        <v>5.2488000000000001</v>
      </c>
      <c r="L484" s="507">
        <v>90429.107724938658</v>
      </c>
      <c r="M484" s="507">
        <v>0</v>
      </c>
      <c r="N484" s="507">
        <v>90429.107724938658</v>
      </c>
      <c r="O484" s="507">
        <v>2293.1314727110866</v>
      </c>
      <c r="P484">
        <v>1</v>
      </c>
      <c r="Q484" s="2" t="s">
        <v>526</v>
      </c>
      <c r="R484" s="3">
        <v>1</v>
      </c>
      <c r="S484" s="3">
        <v>5.2488000000000001</v>
      </c>
      <c r="T484" s="507">
        <v>90429.107724938658</v>
      </c>
      <c r="U484" s="507">
        <v>0</v>
      </c>
      <c r="V484" s="507">
        <v>90429.107724938658</v>
      </c>
      <c r="W484" s="507">
        <v>2293.1314727110866</v>
      </c>
      <c r="X484" s="507">
        <v>92722.239197649746</v>
      </c>
      <c r="Y484" s="507">
        <v>92722.239197649746</v>
      </c>
      <c r="Z484" s="507">
        <v>486680.48910062399</v>
      </c>
      <c r="AA484" s="507">
        <v>486680.48910062399</v>
      </c>
      <c r="AB484" s="507">
        <v>486680.48910062399</v>
      </c>
      <c r="AC484" s="507">
        <v>0</v>
      </c>
      <c r="AD484" s="507">
        <v>0</v>
      </c>
      <c r="AE484" s="507">
        <v>0</v>
      </c>
      <c r="AF484" s="507"/>
      <c r="AG484" s="507"/>
      <c r="AH484" s="507">
        <v>0</v>
      </c>
      <c r="AI484" s="507">
        <v>0</v>
      </c>
      <c r="AJ484" s="507">
        <v>0</v>
      </c>
      <c r="AK484" s="507">
        <v>0</v>
      </c>
      <c r="AL484" s="507">
        <v>0</v>
      </c>
      <c r="AM484" s="507">
        <v>0</v>
      </c>
      <c r="AN484" s="507"/>
      <c r="AO484" s="507"/>
    </row>
    <row r="485" spans="1:41">
      <c r="A485" s="2" t="s">
        <v>1139</v>
      </c>
      <c r="B485" s="2" t="s">
        <v>339</v>
      </c>
      <c r="C485" s="2" t="s">
        <v>328</v>
      </c>
      <c r="D485" s="2" t="s">
        <v>18</v>
      </c>
      <c r="E485" s="2" t="s">
        <v>19</v>
      </c>
      <c r="F485" s="2" t="s">
        <v>20</v>
      </c>
      <c r="G485" s="2" t="s">
        <v>21</v>
      </c>
      <c r="H485">
        <v>1</v>
      </c>
      <c r="I485" s="2" t="s">
        <v>526</v>
      </c>
      <c r="J485" s="3">
        <v>1</v>
      </c>
      <c r="K485" s="3">
        <v>5.2488000000000001</v>
      </c>
      <c r="L485" s="507">
        <v>92316.750794131629</v>
      </c>
      <c r="M485" s="507">
        <v>0</v>
      </c>
      <c r="N485" s="507">
        <v>92316.750794131629</v>
      </c>
      <c r="O485" s="507">
        <v>2340.9990004323549</v>
      </c>
      <c r="P485">
        <v>1</v>
      </c>
      <c r="Q485" s="2" t="s">
        <v>526</v>
      </c>
      <c r="R485" s="3">
        <v>1</v>
      </c>
      <c r="S485" s="3">
        <v>5.2488000000000001</v>
      </c>
      <c r="T485" s="507">
        <v>92316.750794131629</v>
      </c>
      <c r="U485" s="507">
        <v>0</v>
      </c>
      <c r="V485" s="507">
        <v>92316.750794131629</v>
      </c>
      <c r="W485" s="507">
        <v>2340.9990004323549</v>
      </c>
      <c r="X485" s="507">
        <v>94657.749794563977</v>
      </c>
      <c r="Y485" s="507">
        <v>94657.749794563977</v>
      </c>
      <c r="Z485" s="507">
        <v>496839.5971217074</v>
      </c>
      <c r="AA485" s="507">
        <v>496839.5971217074</v>
      </c>
      <c r="AB485" s="507">
        <v>496839.5971217074</v>
      </c>
      <c r="AC485" s="507">
        <v>0</v>
      </c>
      <c r="AD485" s="507">
        <v>0</v>
      </c>
      <c r="AE485" s="507">
        <v>0</v>
      </c>
      <c r="AF485" s="507"/>
      <c r="AG485" s="507"/>
      <c r="AH485" s="507">
        <v>0</v>
      </c>
      <c r="AI485" s="507">
        <v>0</v>
      </c>
      <c r="AJ485" s="507">
        <v>0</v>
      </c>
      <c r="AK485" s="507">
        <v>0</v>
      </c>
      <c r="AL485" s="507">
        <v>0</v>
      </c>
      <c r="AM485" s="507">
        <v>0</v>
      </c>
      <c r="AN485" s="507"/>
      <c r="AO485" s="507"/>
    </row>
    <row r="486" spans="1:41">
      <c r="A486" s="2"/>
      <c r="B486" s="2"/>
      <c r="C486" s="2"/>
      <c r="D486" s="2"/>
      <c r="E486" s="2"/>
      <c r="F486" s="2"/>
      <c r="G486" s="2"/>
      <c r="I486" s="2"/>
      <c r="J486" s="3"/>
      <c r="K486" s="3"/>
      <c r="L486" s="507"/>
      <c r="M486" s="507"/>
      <c r="N486" s="507"/>
      <c r="O486" s="507"/>
      <c r="P486">
        <v>1</v>
      </c>
      <c r="Q486" s="2" t="s">
        <v>526</v>
      </c>
      <c r="R486" s="3">
        <v>1</v>
      </c>
      <c r="S486" s="3">
        <v>5.2488000000000001</v>
      </c>
      <c r="T486" s="507">
        <v>3715.3073914944976</v>
      </c>
      <c r="U486" s="507">
        <v>0</v>
      </c>
      <c r="V486" s="507">
        <v>3715.3073914944976</v>
      </c>
      <c r="W486" s="507">
        <v>60.177597172662651</v>
      </c>
      <c r="X486" s="507"/>
      <c r="Y486" s="507">
        <v>3775.48498866716</v>
      </c>
      <c r="Z486" s="507"/>
      <c r="AA486" s="507">
        <v>19816.765608516191</v>
      </c>
      <c r="AB486" s="507"/>
      <c r="AC486" s="507"/>
      <c r="AD486" s="507"/>
      <c r="AE486" s="507"/>
      <c r="AF486" s="507"/>
      <c r="AG486" s="507"/>
      <c r="AH486" s="507"/>
      <c r="AI486" s="507">
        <v>0</v>
      </c>
      <c r="AJ486" s="507"/>
      <c r="AK486" s="507"/>
      <c r="AL486" s="507"/>
      <c r="AM486" s="507"/>
      <c r="AN486" s="507"/>
      <c r="AO486" s="507"/>
    </row>
    <row r="487" spans="1:41">
      <c r="A487" s="2" t="s">
        <v>1140</v>
      </c>
      <c r="B487" s="2" t="s">
        <v>369</v>
      </c>
      <c r="C487" s="2" t="s">
        <v>328</v>
      </c>
      <c r="D487" s="2" t="s">
        <v>30</v>
      </c>
      <c r="E487" s="2" t="s">
        <v>19</v>
      </c>
      <c r="F487" s="2" t="s">
        <v>20</v>
      </c>
      <c r="G487" s="2" t="s">
        <v>21</v>
      </c>
      <c r="H487">
        <v>1</v>
      </c>
      <c r="I487" s="2" t="s">
        <v>526</v>
      </c>
      <c r="J487" s="3">
        <v>1</v>
      </c>
      <c r="K487" s="3">
        <v>5.2488000000000001</v>
      </c>
      <c r="L487" s="507">
        <v>1137.504477998096</v>
      </c>
      <c r="M487" s="507">
        <v>0</v>
      </c>
      <c r="N487" s="507">
        <v>1137.504477998096</v>
      </c>
      <c r="O487" s="507">
        <v>17.18587096133713</v>
      </c>
      <c r="P487">
        <v>1</v>
      </c>
      <c r="Q487" s="2" t="s">
        <v>526</v>
      </c>
      <c r="R487" s="3">
        <v>1</v>
      </c>
      <c r="S487" s="3">
        <v>5.2488000000000001</v>
      </c>
      <c r="T487" s="507">
        <v>1137.504477998096</v>
      </c>
      <c r="U487" s="507">
        <v>0</v>
      </c>
      <c r="V487" s="507">
        <v>1137.504477998096</v>
      </c>
      <c r="W487" s="507">
        <v>17.18587096133713</v>
      </c>
      <c r="X487" s="507">
        <v>1154.6903489594331</v>
      </c>
      <c r="Y487" s="507">
        <v>1154.6903489594331</v>
      </c>
      <c r="Z487" s="507">
        <v>6060.7387036182727</v>
      </c>
      <c r="AA487" s="507">
        <v>6060.7387036182727</v>
      </c>
      <c r="AB487" s="507">
        <v>6060.7387036182727</v>
      </c>
      <c r="AC487" s="507">
        <v>0</v>
      </c>
      <c r="AD487" s="507">
        <v>0</v>
      </c>
      <c r="AE487" s="507">
        <v>0</v>
      </c>
      <c r="AF487" s="507"/>
      <c r="AG487" s="507"/>
      <c r="AH487" s="507">
        <v>0</v>
      </c>
      <c r="AI487" s="507">
        <v>0</v>
      </c>
      <c r="AJ487" s="507">
        <v>0</v>
      </c>
      <c r="AK487" s="507">
        <v>0</v>
      </c>
      <c r="AL487" s="507">
        <v>0</v>
      </c>
      <c r="AM487" s="507">
        <v>0</v>
      </c>
      <c r="AN487" s="507"/>
      <c r="AO487" s="507"/>
    </row>
    <row r="488" spans="1:41">
      <c r="A488" s="2" t="s">
        <v>1141</v>
      </c>
      <c r="B488" s="2" t="s">
        <v>375</v>
      </c>
      <c r="C488" s="2" t="s">
        <v>328</v>
      </c>
      <c r="D488" s="2" t="s">
        <v>18</v>
      </c>
      <c r="E488" s="2" t="s">
        <v>19</v>
      </c>
      <c r="F488" s="2" t="s">
        <v>20</v>
      </c>
      <c r="G488" s="2" t="s">
        <v>21</v>
      </c>
      <c r="H488">
        <v>1</v>
      </c>
      <c r="I488" s="2" t="s">
        <v>526</v>
      </c>
      <c r="J488" s="3">
        <v>1</v>
      </c>
      <c r="K488" s="3">
        <v>5.2488000000000001</v>
      </c>
      <c r="L488" s="507">
        <v>540.92132350363954</v>
      </c>
      <c r="M488" s="507">
        <v>0</v>
      </c>
      <c r="N488" s="507">
        <v>540.92132350363954</v>
      </c>
      <c r="O488" s="507">
        <v>8.1724326808012968</v>
      </c>
      <c r="P488">
        <v>1</v>
      </c>
      <c r="Q488" s="2" t="s">
        <v>526</v>
      </c>
      <c r="R488" s="3">
        <v>1</v>
      </c>
      <c r="S488" s="3">
        <v>5.2488000000000001</v>
      </c>
      <c r="T488" s="507">
        <v>540.92132350363954</v>
      </c>
      <c r="U488" s="507">
        <v>0</v>
      </c>
      <c r="V488" s="507">
        <v>540.92132350363954</v>
      </c>
      <c r="W488" s="507">
        <v>8.1724326808012968</v>
      </c>
      <c r="X488" s="507">
        <v>549.09375618444085</v>
      </c>
      <c r="Y488" s="507">
        <v>549.09375618444085</v>
      </c>
      <c r="Z488" s="507">
        <v>2882.0833074608931</v>
      </c>
      <c r="AA488" s="507">
        <v>2882.0833074608931</v>
      </c>
      <c r="AB488" s="507">
        <v>2882.0833074608931</v>
      </c>
      <c r="AC488" s="507">
        <v>0</v>
      </c>
      <c r="AD488" s="507">
        <v>0</v>
      </c>
      <c r="AE488" s="507">
        <v>0</v>
      </c>
      <c r="AF488" s="507"/>
      <c r="AG488" s="507"/>
      <c r="AH488" s="507">
        <v>0</v>
      </c>
      <c r="AI488" s="507">
        <v>0</v>
      </c>
      <c r="AJ488" s="507">
        <v>0</v>
      </c>
      <c r="AK488" s="507">
        <v>0</v>
      </c>
      <c r="AL488" s="507">
        <v>0</v>
      </c>
      <c r="AM488" s="507">
        <v>0</v>
      </c>
      <c r="AN488" s="507"/>
      <c r="AO488" s="507"/>
    </row>
    <row r="489" spans="1:41">
      <c r="A489" s="2" t="s">
        <v>1142</v>
      </c>
      <c r="B489" s="2" t="s">
        <v>364</v>
      </c>
      <c r="C489" s="2" t="s">
        <v>328</v>
      </c>
      <c r="D489" s="2" t="s">
        <v>18</v>
      </c>
      <c r="E489" s="2" t="s">
        <v>19</v>
      </c>
      <c r="F489" s="2" t="s">
        <v>20</v>
      </c>
      <c r="G489" s="2" t="s">
        <v>21</v>
      </c>
      <c r="H489">
        <v>1</v>
      </c>
      <c r="I489" s="2" t="s">
        <v>526</v>
      </c>
      <c r="J489" s="3">
        <v>1</v>
      </c>
      <c r="K489" s="3">
        <v>5.2488000000000001</v>
      </c>
      <c r="L489" s="507">
        <v>1692.8194600185534</v>
      </c>
      <c r="M489" s="507">
        <v>0</v>
      </c>
      <c r="N489" s="507">
        <v>1692.8194600185534</v>
      </c>
      <c r="O489" s="507">
        <v>25.575617273507813</v>
      </c>
      <c r="P489">
        <v>1</v>
      </c>
      <c r="Q489" s="2" t="s">
        <v>526</v>
      </c>
      <c r="R489" s="3">
        <v>1</v>
      </c>
      <c r="S489" s="3">
        <v>5.2488000000000001</v>
      </c>
      <c r="T489" s="507">
        <v>1692.8194600185534</v>
      </c>
      <c r="U489" s="507">
        <v>0</v>
      </c>
      <c r="V489" s="507">
        <v>1692.8194600185534</v>
      </c>
      <c r="W489" s="507">
        <v>25.575617273507813</v>
      </c>
      <c r="X489" s="507">
        <v>1718.3950772920612</v>
      </c>
      <c r="Y489" s="507">
        <v>1718.3950772920612</v>
      </c>
      <c r="Z489" s="507">
        <v>9019.512081690571</v>
      </c>
      <c r="AA489" s="507">
        <v>9019.512081690571</v>
      </c>
      <c r="AB489" s="507">
        <v>9019.512081690571</v>
      </c>
      <c r="AC489" s="507">
        <v>0</v>
      </c>
      <c r="AD489" s="507">
        <v>0</v>
      </c>
      <c r="AE489" s="507">
        <v>0</v>
      </c>
      <c r="AF489" s="507"/>
      <c r="AG489" s="507"/>
      <c r="AH489" s="507">
        <v>0</v>
      </c>
      <c r="AI489" s="507">
        <v>0</v>
      </c>
      <c r="AJ489" s="507">
        <v>0</v>
      </c>
      <c r="AK489" s="507">
        <v>0</v>
      </c>
      <c r="AL489" s="507">
        <v>0</v>
      </c>
      <c r="AM489" s="507">
        <v>0</v>
      </c>
      <c r="AN489" s="507"/>
      <c r="AO489" s="507"/>
    </row>
    <row r="490" spans="1:41">
      <c r="A490" s="2" t="s">
        <v>1143</v>
      </c>
      <c r="B490" s="2" t="s">
        <v>367</v>
      </c>
      <c r="C490" s="2" t="s">
        <v>328</v>
      </c>
      <c r="D490" s="2" t="s">
        <v>18</v>
      </c>
      <c r="E490" s="2" t="s">
        <v>19</v>
      </c>
      <c r="F490" s="2" t="s">
        <v>20</v>
      </c>
      <c r="G490" s="2" t="s">
        <v>21</v>
      </c>
      <c r="H490">
        <v>1</v>
      </c>
      <c r="I490" s="2" t="s">
        <v>526</v>
      </c>
      <c r="J490" s="3">
        <v>1</v>
      </c>
      <c r="K490" s="3">
        <v>5.2488000000000001</v>
      </c>
      <c r="L490" s="507">
        <v>1849.8157266545745</v>
      </c>
      <c r="M490" s="507">
        <v>0</v>
      </c>
      <c r="N490" s="507">
        <v>1849.8157266545745</v>
      </c>
      <c r="O490" s="507">
        <v>27.947603868412237</v>
      </c>
      <c r="P490">
        <v>1</v>
      </c>
      <c r="Q490" s="2" t="s">
        <v>526</v>
      </c>
      <c r="R490" s="3">
        <v>1</v>
      </c>
      <c r="S490" s="3">
        <v>5.2488000000000001</v>
      </c>
      <c r="T490" s="507">
        <v>1849.8157266545745</v>
      </c>
      <c r="U490" s="507">
        <v>0</v>
      </c>
      <c r="V490" s="507">
        <v>1849.8157266545745</v>
      </c>
      <c r="W490" s="507">
        <v>27.947603868412237</v>
      </c>
      <c r="X490" s="507">
        <v>1877.7633305229867</v>
      </c>
      <c r="Y490" s="507">
        <v>1877.7633305229867</v>
      </c>
      <c r="Z490" s="507">
        <v>9856.0041692490522</v>
      </c>
      <c r="AA490" s="507">
        <v>9856.0041692490522</v>
      </c>
      <c r="AB490" s="507">
        <v>9856.0041692490522</v>
      </c>
      <c r="AC490" s="507">
        <v>0</v>
      </c>
      <c r="AD490" s="507">
        <v>0</v>
      </c>
      <c r="AE490" s="507">
        <v>0</v>
      </c>
      <c r="AF490" s="507"/>
      <c r="AG490" s="507"/>
      <c r="AH490" s="507">
        <v>0</v>
      </c>
      <c r="AI490" s="507">
        <v>0</v>
      </c>
      <c r="AJ490" s="507">
        <v>0</v>
      </c>
      <c r="AK490" s="507">
        <v>0</v>
      </c>
      <c r="AL490" s="507">
        <v>0</v>
      </c>
      <c r="AM490" s="507">
        <v>0</v>
      </c>
      <c r="AN490" s="507"/>
      <c r="AO490" s="507"/>
    </row>
    <row r="491" spans="1:41">
      <c r="A491" s="2" t="s">
        <v>1144</v>
      </c>
      <c r="B491" s="2" t="s">
        <v>1086</v>
      </c>
      <c r="C491" s="2" t="s">
        <v>328</v>
      </c>
      <c r="D491" s="2" t="s">
        <v>18</v>
      </c>
      <c r="E491" s="2" t="s">
        <v>19</v>
      </c>
      <c r="F491" s="2" t="s">
        <v>20</v>
      </c>
      <c r="G491" s="2" t="s">
        <v>21</v>
      </c>
      <c r="H491">
        <v>1</v>
      </c>
      <c r="I491" s="2" t="s">
        <v>526</v>
      </c>
      <c r="J491" s="3">
        <v>1</v>
      </c>
      <c r="K491" s="3">
        <v>5.2488000000000001</v>
      </c>
      <c r="L491" s="507">
        <v>9231.675079413164</v>
      </c>
      <c r="M491" s="507">
        <v>0</v>
      </c>
      <c r="N491" s="507">
        <v>9231.675079413164</v>
      </c>
      <c r="O491" s="507">
        <v>241.52369926514683</v>
      </c>
      <c r="P491">
        <v>1</v>
      </c>
      <c r="Q491" s="2" t="s">
        <v>526</v>
      </c>
      <c r="R491" s="3">
        <v>1</v>
      </c>
      <c r="S491" s="3">
        <v>5.2488000000000001</v>
      </c>
      <c r="T491" s="507">
        <v>9231.675079413164</v>
      </c>
      <c r="U491" s="507">
        <v>0</v>
      </c>
      <c r="V491" s="507">
        <v>9231.675079413164</v>
      </c>
      <c r="W491" s="507">
        <v>241.52369926514683</v>
      </c>
      <c r="X491" s="507">
        <v>9473.1987786783102</v>
      </c>
      <c r="Y491" s="507">
        <v>9473.1987786783102</v>
      </c>
      <c r="Z491" s="507">
        <v>49722.925749526716</v>
      </c>
      <c r="AA491" s="507">
        <v>49722.925749526716</v>
      </c>
      <c r="AB491" s="507">
        <v>49722.925749526716</v>
      </c>
      <c r="AC491" s="507">
        <v>0</v>
      </c>
      <c r="AD491" s="507">
        <v>0</v>
      </c>
      <c r="AE491" s="507">
        <v>0</v>
      </c>
      <c r="AF491" s="507"/>
      <c r="AG491" s="507"/>
      <c r="AH491" s="507">
        <v>0</v>
      </c>
      <c r="AI491" s="507">
        <v>0</v>
      </c>
      <c r="AJ491" s="507">
        <v>0</v>
      </c>
      <c r="AK491" s="507">
        <v>0</v>
      </c>
      <c r="AL491" s="507">
        <v>0</v>
      </c>
      <c r="AM491" s="507">
        <v>0</v>
      </c>
      <c r="AN491" s="507"/>
      <c r="AO491" s="507"/>
    </row>
    <row r="492" spans="1:41">
      <c r="A492" s="2"/>
      <c r="B492" s="2"/>
      <c r="C492" s="2"/>
      <c r="D492" s="2"/>
      <c r="E492" s="2"/>
      <c r="F492" s="2"/>
      <c r="G492" s="2"/>
      <c r="I492" s="2"/>
      <c r="J492" s="3"/>
      <c r="K492" s="3"/>
      <c r="L492" s="507"/>
      <c r="M492" s="507"/>
      <c r="N492" s="507"/>
      <c r="O492" s="507"/>
      <c r="P492">
        <v>1</v>
      </c>
      <c r="Q492" s="2" t="s">
        <v>526</v>
      </c>
      <c r="R492" s="3">
        <v>1</v>
      </c>
      <c r="S492" s="3">
        <v>5.2488000000000001</v>
      </c>
      <c r="T492" s="507">
        <v>2397.0874917459741</v>
      </c>
      <c r="U492" s="507">
        <v>0</v>
      </c>
      <c r="V492" s="507">
        <v>2397.0874917459741</v>
      </c>
      <c r="W492" s="507">
        <v>31.128835339376128</v>
      </c>
      <c r="X492" s="507"/>
      <c r="Y492" s="507">
        <v>2428.2163270853503</v>
      </c>
      <c r="Z492" s="507"/>
      <c r="AA492" s="507">
        <v>12745.221857605588</v>
      </c>
      <c r="AB492" s="507"/>
      <c r="AC492" s="507"/>
      <c r="AD492" s="507"/>
      <c r="AE492" s="507"/>
      <c r="AF492" s="507"/>
      <c r="AG492" s="507"/>
      <c r="AH492" s="507"/>
      <c r="AI492" s="507">
        <v>0</v>
      </c>
      <c r="AJ492" s="507"/>
      <c r="AK492" s="507"/>
      <c r="AL492" s="507"/>
      <c r="AM492" s="507"/>
      <c r="AN492" s="507"/>
      <c r="AO492" s="507"/>
    </row>
    <row r="493" spans="1:41">
      <c r="A493" s="2" t="s">
        <v>1145</v>
      </c>
      <c r="B493" s="2" t="s">
        <v>1146</v>
      </c>
      <c r="C493" s="2" t="s">
        <v>328</v>
      </c>
      <c r="D493" s="2" t="s">
        <v>18</v>
      </c>
      <c r="E493" s="2" t="s">
        <v>19</v>
      </c>
      <c r="F493" s="2" t="s">
        <v>20</v>
      </c>
      <c r="G493" s="2" t="s">
        <v>21</v>
      </c>
      <c r="H493">
        <v>1</v>
      </c>
      <c r="I493" s="2" t="s">
        <v>526</v>
      </c>
      <c r="J493" s="3">
        <v>1</v>
      </c>
      <c r="K493" s="3">
        <v>5.2488000000000001</v>
      </c>
      <c r="L493" s="507">
        <v>567.22919724444648</v>
      </c>
      <c r="M493" s="507">
        <v>0</v>
      </c>
      <c r="N493" s="507">
        <v>567.22919724444648</v>
      </c>
      <c r="O493" s="507">
        <v>8.5699486097208268</v>
      </c>
      <c r="P493">
        <v>1</v>
      </c>
      <c r="Q493" s="2" t="s">
        <v>526</v>
      </c>
      <c r="R493" s="3">
        <v>1</v>
      </c>
      <c r="S493" s="3">
        <v>5.2488000000000001</v>
      </c>
      <c r="T493" s="507">
        <v>567.22919724444648</v>
      </c>
      <c r="U493" s="507">
        <v>0</v>
      </c>
      <c r="V493" s="507">
        <v>567.22919724444648</v>
      </c>
      <c r="W493" s="507">
        <v>8.5699486097208268</v>
      </c>
      <c r="X493" s="507">
        <v>575.79914585416736</v>
      </c>
      <c r="Y493" s="507">
        <v>575.79914585416736</v>
      </c>
      <c r="Z493" s="507">
        <v>3022.2545567593538</v>
      </c>
      <c r="AA493" s="507">
        <v>3022.2545567593538</v>
      </c>
      <c r="AB493" s="507">
        <v>3022.2545567593538</v>
      </c>
      <c r="AC493" s="507">
        <v>0</v>
      </c>
      <c r="AD493" s="507">
        <v>0</v>
      </c>
      <c r="AE493" s="507">
        <v>0</v>
      </c>
      <c r="AF493" s="507"/>
      <c r="AG493" s="507"/>
      <c r="AH493" s="507">
        <v>0</v>
      </c>
      <c r="AI493" s="507">
        <v>0</v>
      </c>
      <c r="AJ493" s="507">
        <v>0</v>
      </c>
      <c r="AK493" s="507">
        <v>0</v>
      </c>
      <c r="AL493" s="507">
        <v>0</v>
      </c>
      <c r="AM493" s="507">
        <v>0</v>
      </c>
      <c r="AN493" s="507"/>
      <c r="AO493" s="507"/>
    </row>
    <row r="494" spans="1:41">
      <c r="A494" s="2"/>
      <c r="B494" s="2"/>
      <c r="C494" s="2"/>
      <c r="D494" s="2"/>
      <c r="E494" s="2"/>
      <c r="F494" s="2"/>
      <c r="G494" s="2"/>
      <c r="I494" s="2"/>
      <c r="J494" s="3"/>
      <c r="K494" s="3"/>
      <c r="L494" s="507"/>
      <c r="M494" s="507"/>
      <c r="N494" s="507"/>
      <c r="O494" s="507"/>
      <c r="P494">
        <v>1</v>
      </c>
      <c r="Q494" s="2" t="s">
        <v>526</v>
      </c>
      <c r="R494" s="3">
        <v>1</v>
      </c>
      <c r="S494" s="3">
        <v>5.2488000000000001</v>
      </c>
      <c r="T494" s="507">
        <v>2734.5670428208623</v>
      </c>
      <c r="U494" s="507">
        <v>0</v>
      </c>
      <c r="V494" s="507">
        <v>2734.5670428208623</v>
      </c>
      <c r="W494" s="507">
        <v>35.093619852738662</v>
      </c>
      <c r="X494" s="507"/>
      <c r="Y494" s="507">
        <v>2769.6606626736011</v>
      </c>
      <c r="Z494" s="507"/>
      <c r="AA494" s="507">
        <v>14537.394886241198</v>
      </c>
      <c r="AB494" s="507"/>
      <c r="AC494" s="507"/>
      <c r="AD494" s="507"/>
      <c r="AE494" s="507"/>
      <c r="AF494" s="507"/>
      <c r="AG494" s="507"/>
      <c r="AH494" s="507"/>
      <c r="AI494" s="507">
        <v>0</v>
      </c>
      <c r="AJ494" s="507"/>
      <c r="AK494" s="507"/>
      <c r="AL494" s="507"/>
      <c r="AM494" s="507"/>
      <c r="AN494" s="507"/>
      <c r="AO494" s="507"/>
    </row>
    <row r="495" spans="1:41">
      <c r="A495" s="2" t="s">
        <v>1147</v>
      </c>
      <c r="B495" s="2" t="s">
        <v>366</v>
      </c>
      <c r="C495" s="2" t="s">
        <v>328</v>
      </c>
      <c r="D495" s="2" t="s">
        <v>18</v>
      </c>
      <c r="E495" s="2" t="s">
        <v>19</v>
      </c>
      <c r="F495" s="2" t="s">
        <v>20</v>
      </c>
      <c r="G495" s="2" t="s">
        <v>21</v>
      </c>
      <c r="H495">
        <v>1</v>
      </c>
      <c r="I495" s="2" t="s">
        <v>526</v>
      </c>
      <c r="J495" s="3">
        <v>1</v>
      </c>
      <c r="K495" s="3">
        <v>5.2488000000000001</v>
      </c>
      <c r="L495" s="507">
        <v>11814.852120240292</v>
      </c>
      <c r="M495" s="507">
        <v>0</v>
      </c>
      <c r="N495" s="507">
        <v>11814.852120240292</v>
      </c>
      <c r="O495" s="507">
        <v>178.50274616802497</v>
      </c>
      <c r="P495">
        <v>1</v>
      </c>
      <c r="Q495" s="2" t="s">
        <v>526</v>
      </c>
      <c r="R495" s="3">
        <v>1</v>
      </c>
      <c r="S495" s="3">
        <v>5.2488000000000001</v>
      </c>
      <c r="T495" s="507">
        <v>11814.852120240292</v>
      </c>
      <c r="U495" s="507">
        <v>0</v>
      </c>
      <c r="V495" s="507">
        <v>11814.852120240292</v>
      </c>
      <c r="W495" s="507">
        <v>178.50274616802497</v>
      </c>
      <c r="X495" s="507">
        <v>11993.354866408317</v>
      </c>
      <c r="Y495" s="507">
        <v>11993.354866408317</v>
      </c>
      <c r="Z495" s="507">
        <v>62950.721022803977</v>
      </c>
      <c r="AA495" s="507">
        <v>62950.721022803977</v>
      </c>
      <c r="AB495" s="507">
        <v>62950.721022803977</v>
      </c>
      <c r="AC495" s="507">
        <v>0</v>
      </c>
      <c r="AD495" s="507">
        <v>0</v>
      </c>
      <c r="AE495" s="507">
        <v>0</v>
      </c>
      <c r="AF495" s="507"/>
      <c r="AG495" s="507"/>
      <c r="AH495" s="507">
        <v>0</v>
      </c>
      <c r="AI495" s="507">
        <v>0</v>
      </c>
      <c r="AJ495" s="507">
        <v>0</v>
      </c>
      <c r="AK495" s="507">
        <v>0</v>
      </c>
      <c r="AL495" s="507">
        <v>0</v>
      </c>
      <c r="AM495" s="507">
        <v>0</v>
      </c>
      <c r="AN495" s="507"/>
      <c r="AO495" s="507"/>
    </row>
    <row r="496" spans="1:41">
      <c r="A496" s="2"/>
      <c r="B496" s="2"/>
      <c r="C496" s="2"/>
      <c r="D496" s="2"/>
      <c r="E496" s="2"/>
      <c r="F496" s="2"/>
      <c r="G496" s="2"/>
      <c r="I496" s="2"/>
      <c r="J496" s="3"/>
      <c r="K496" s="3"/>
      <c r="L496" s="507"/>
      <c r="M496" s="507"/>
      <c r="N496" s="507"/>
      <c r="O496" s="507"/>
      <c r="P496">
        <v>1</v>
      </c>
      <c r="Q496" s="2" t="s">
        <v>526</v>
      </c>
      <c r="R496" s="3">
        <v>1</v>
      </c>
      <c r="S496" s="3">
        <v>5.2488000000000001</v>
      </c>
      <c r="T496" s="507">
        <v>3342.3506724222311</v>
      </c>
      <c r="U496" s="507">
        <v>0</v>
      </c>
      <c r="V496" s="507">
        <v>3342.3506724222311</v>
      </c>
      <c r="W496" s="507">
        <v>51.862073528130438</v>
      </c>
      <c r="X496" s="507"/>
      <c r="Y496" s="507">
        <v>3394.2127459503618</v>
      </c>
      <c r="Z496" s="507"/>
      <c r="AA496" s="507">
        <v>17815.543860944261</v>
      </c>
      <c r="AB496" s="507"/>
      <c r="AC496" s="507"/>
      <c r="AD496" s="507"/>
      <c r="AE496" s="507"/>
      <c r="AF496" s="507"/>
      <c r="AG496" s="507"/>
      <c r="AH496" s="507"/>
      <c r="AI496" s="507">
        <v>0</v>
      </c>
      <c r="AJ496" s="507"/>
      <c r="AK496" s="507"/>
      <c r="AL496" s="507"/>
      <c r="AM496" s="507"/>
      <c r="AN496" s="507"/>
      <c r="AO496" s="507"/>
    </row>
    <row r="497" spans="1:41">
      <c r="A497" s="2" t="s">
        <v>1148</v>
      </c>
      <c r="B497" s="2" t="s">
        <v>370</v>
      </c>
      <c r="C497" s="2" t="s">
        <v>328</v>
      </c>
      <c r="D497" s="2" t="s">
        <v>18</v>
      </c>
      <c r="E497" s="2" t="s">
        <v>19</v>
      </c>
      <c r="F497" s="2" t="s">
        <v>20</v>
      </c>
      <c r="G497" s="2" t="s">
        <v>21</v>
      </c>
      <c r="H497">
        <v>1</v>
      </c>
      <c r="I497" s="2" t="s">
        <v>526</v>
      </c>
      <c r="J497" s="3">
        <v>1</v>
      </c>
      <c r="K497" s="3">
        <v>5.2488000000000001</v>
      </c>
      <c r="L497" s="507">
        <v>3265.544058929021</v>
      </c>
      <c r="M497" s="507">
        <v>0</v>
      </c>
      <c r="N497" s="507">
        <v>3265.544058929021</v>
      </c>
      <c r="O497" s="507">
        <v>49.336841126907764</v>
      </c>
      <c r="P497">
        <v>1</v>
      </c>
      <c r="Q497" s="2" t="s">
        <v>526</v>
      </c>
      <c r="R497" s="3">
        <v>1</v>
      </c>
      <c r="S497" s="3">
        <v>5.2488000000000001</v>
      </c>
      <c r="T497" s="507">
        <v>3265.544058929021</v>
      </c>
      <c r="U497" s="507">
        <v>0</v>
      </c>
      <c r="V497" s="507">
        <v>3265.544058929021</v>
      </c>
      <c r="W497" s="507">
        <v>49.336841126907764</v>
      </c>
      <c r="X497" s="507">
        <v>3314.880900055929</v>
      </c>
      <c r="Y497" s="507">
        <v>3314.880900055929</v>
      </c>
      <c r="Z497" s="507">
        <v>17399.14686821356</v>
      </c>
      <c r="AA497" s="507">
        <v>17399.14686821356</v>
      </c>
      <c r="AB497" s="507">
        <v>17399.14686821356</v>
      </c>
      <c r="AC497" s="507">
        <v>0</v>
      </c>
      <c r="AD497" s="507">
        <v>0</v>
      </c>
      <c r="AE497" s="507">
        <v>0</v>
      </c>
      <c r="AF497" s="507"/>
      <c r="AG497" s="507"/>
      <c r="AH497" s="507">
        <v>0</v>
      </c>
      <c r="AI497" s="507">
        <v>0</v>
      </c>
      <c r="AJ497" s="507">
        <v>0</v>
      </c>
      <c r="AK497" s="507">
        <v>0</v>
      </c>
      <c r="AL497" s="507">
        <v>0</v>
      </c>
      <c r="AM497" s="507">
        <v>0</v>
      </c>
      <c r="AN497" s="507"/>
      <c r="AO497" s="507"/>
    </row>
    <row r="498" spans="1:41">
      <c r="A498" s="2"/>
      <c r="B498" s="2"/>
      <c r="C498" s="2"/>
      <c r="D498" s="2"/>
      <c r="E498" s="2"/>
      <c r="F498" s="2"/>
      <c r="G498" s="2"/>
      <c r="I498" s="2"/>
      <c r="J498" s="3"/>
      <c r="K498" s="3"/>
      <c r="L498" s="507"/>
      <c r="M498" s="507"/>
      <c r="N498" s="507"/>
      <c r="O498" s="507"/>
      <c r="P498">
        <v>1</v>
      </c>
      <c r="Q498" s="2" t="s">
        <v>526</v>
      </c>
      <c r="R498" s="3">
        <v>1</v>
      </c>
      <c r="S498" s="3">
        <v>5.2488000000000001</v>
      </c>
      <c r="T498" s="507">
        <v>1620.00554599719</v>
      </c>
      <c r="U498" s="507">
        <v>0</v>
      </c>
      <c r="V498" s="507">
        <v>1620.00554599719</v>
      </c>
      <c r="W498" s="507">
        <v>21.82958815978354</v>
      </c>
      <c r="X498" s="507"/>
      <c r="Y498" s="507">
        <v>1641.8351341569735</v>
      </c>
      <c r="Z498" s="507"/>
      <c r="AA498" s="507">
        <v>8617.664252163122</v>
      </c>
      <c r="AB498" s="507"/>
      <c r="AC498" s="507"/>
      <c r="AD498" s="507"/>
      <c r="AE498" s="507"/>
      <c r="AF498" s="507"/>
      <c r="AG498" s="507"/>
      <c r="AH498" s="507"/>
      <c r="AI498" s="507">
        <v>0</v>
      </c>
      <c r="AJ498" s="507"/>
      <c r="AK498" s="507"/>
      <c r="AL498" s="507"/>
      <c r="AM498" s="507"/>
      <c r="AN498" s="507"/>
      <c r="AO498" s="507"/>
    </row>
    <row r="499" spans="1:41">
      <c r="A499" s="2" t="s">
        <v>1149</v>
      </c>
      <c r="B499" s="2" t="s">
        <v>370</v>
      </c>
      <c r="C499" s="2" t="s">
        <v>328</v>
      </c>
      <c r="D499" s="2" t="s">
        <v>18</v>
      </c>
      <c r="E499" s="2" t="s">
        <v>19</v>
      </c>
      <c r="F499" s="2" t="s">
        <v>20</v>
      </c>
      <c r="G499" s="2" t="s">
        <v>21</v>
      </c>
      <c r="H499">
        <v>1</v>
      </c>
      <c r="I499" s="2" t="s">
        <v>526</v>
      </c>
      <c r="J499" s="3">
        <v>1</v>
      </c>
      <c r="K499" s="3">
        <v>5.2488000000000001</v>
      </c>
      <c r="L499" s="507">
        <v>1234.5127660675857</v>
      </c>
      <c r="M499" s="507">
        <v>0</v>
      </c>
      <c r="N499" s="507">
        <v>1234.5127660675857</v>
      </c>
      <c r="O499" s="507">
        <v>18.651491696944767</v>
      </c>
      <c r="P499">
        <v>1</v>
      </c>
      <c r="Q499" s="2" t="s">
        <v>526</v>
      </c>
      <c r="R499" s="3">
        <v>1</v>
      </c>
      <c r="S499" s="3">
        <v>5.2488000000000001</v>
      </c>
      <c r="T499" s="507">
        <v>1234.5127660675857</v>
      </c>
      <c r="U499" s="507">
        <v>0</v>
      </c>
      <c r="V499" s="507">
        <v>1234.5127660675857</v>
      </c>
      <c r="W499" s="507">
        <v>18.651491696944767</v>
      </c>
      <c r="X499" s="507">
        <v>1253.1642577645305</v>
      </c>
      <c r="Y499" s="507">
        <v>1253.1642577645305</v>
      </c>
      <c r="Z499" s="507">
        <v>6577.6085561544678</v>
      </c>
      <c r="AA499" s="507">
        <v>6577.6085561544678</v>
      </c>
      <c r="AB499" s="507">
        <v>6577.6085561544678</v>
      </c>
      <c r="AC499" s="507">
        <v>0</v>
      </c>
      <c r="AD499" s="507">
        <v>0</v>
      </c>
      <c r="AE499" s="507">
        <v>0</v>
      </c>
      <c r="AF499" s="507"/>
      <c r="AG499" s="507"/>
      <c r="AH499" s="507">
        <v>0</v>
      </c>
      <c r="AI499" s="507">
        <v>0</v>
      </c>
      <c r="AJ499" s="507">
        <v>0</v>
      </c>
      <c r="AK499" s="507">
        <v>0</v>
      </c>
      <c r="AL499" s="507">
        <v>0</v>
      </c>
      <c r="AM499" s="507">
        <v>0</v>
      </c>
      <c r="AN499" s="507"/>
      <c r="AO499" s="507"/>
    </row>
    <row r="500" spans="1:41">
      <c r="A500" s="2"/>
      <c r="B500" s="2"/>
      <c r="C500" s="2"/>
      <c r="D500" s="2"/>
      <c r="E500" s="2"/>
      <c r="F500" s="2"/>
      <c r="G500" s="2"/>
      <c r="I500" s="2"/>
      <c r="J500" s="3"/>
      <c r="K500" s="3"/>
      <c r="L500" s="507"/>
      <c r="M500" s="507"/>
      <c r="N500" s="507"/>
      <c r="O500" s="507"/>
      <c r="P500">
        <v>1</v>
      </c>
      <c r="Q500" s="2" t="s">
        <v>526</v>
      </c>
      <c r="R500" s="3">
        <v>1</v>
      </c>
      <c r="S500" s="3">
        <v>5.2488000000000001</v>
      </c>
      <c r="T500" s="507">
        <v>2389.9580876806999</v>
      </c>
      <c r="U500" s="507">
        <v>0</v>
      </c>
      <c r="V500" s="507">
        <v>2389.9580876806999</v>
      </c>
      <c r="W500" s="507">
        <v>28.845500758944972</v>
      </c>
      <c r="X500" s="507"/>
      <c r="Y500" s="507">
        <v>2418.803588439645</v>
      </c>
      <c r="Z500" s="507"/>
      <c r="AA500" s="507">
        <v>12695.816275002009</v>
      </c>
      <c r="AB500" s="507"/>
      <c r="AC500" s="507"/>
      <c r="AD500" s="507"/>
      <c r="AE500" s="507"/>
      <c r="AF500" s="507"/>
      <c r="AG500" s="507"/>
      <c r="AH500" s="507"/>
      <c r="AI500" s="507">
        <v>0</v>
      </c>
      <c r="AJ500" s="507"/>
      <c r="AK500" s="507"/>
      <c r="AL500" s="507"/>
      <c r="AM500" s="507"/>
      <c r="AN500" s="507"/>
      <c r="AO500" s="507"/>
    </row>
    <row r="501" spans="1:41">
      <c r="A501" s="2" t="s">
        <v>1150</v>
      </c>
      <c r="B501" s="2" t="s">
        <v>361</v>
      </c>
      <c r="C501" s="2" t="s">
        <v>328</v>
      </c>
      <c r="D501" s="2" t="s">
        <v>18</v>
      </c>
      <c r="E501" s="2" t="s">
        <v>19</v>
      </c>
      <c r="F501" s="2" t="s">
        <v>20</v>
      </c>
      <c r="G501" s="2" t="s">
        <v>21</v>
      </c>
      <c r="H501">
        <v>1</v>
      </c>
      <c r="I501" s="2" t="s">
        <v>526</v>
      </c>
      <c r="J501" s="3">
        <v>1</v>
      </c>
      <c r="K501" s="3">
        <v>5.2488000000000001</v>
      </c>
      <c r="L501" s="507">
        <v>22036.939890574733</v>
      </c>
      <c r="M501" s="507">
        <v>0</v>
      </c>
      <c r="N501" s="507">
        <v>22036.939890574733</v>
      </c>
      <c r="O501" s="507">
        <v>329.94191367324225</v>
      </c>
      <c r="P501">
        <v>1</v>
      </c>
      <c r="Q501" s="2" t="s">
        <v>526</v>
      </c>
      <c r="R501" s="3">
        <v>1</v>
      </c>
      <c r="S501" s="3">
        <v>5.2488000000000001</v>
      </c>
      <c r="T501" s="507">
        <v>22036.939890574733</v>
      </c>
      <c r="U501" s="507">
        <v>0</v>
      </c>
      <c r="V501" s="507">
        <v>22036.939890574733</v>
      </c>
      <c r="W501" s="507">
        <v>329.94191367324225</v>
      </c>
      <c r="X501" s="507">
        <v>22366.881804247976</v>
      </c>
      <c r="Y501" s="507">
        <v>22366.881804247976</v>
      </c>
      <c r="Z501" s="507">
        <v>117399.28921413678</v>
      </c>
      <c r="AA501" s="507">
        <v>117399.28921413678</v>
      </c>
      <c r="AB501" s="507">
        <v>117399.28921413678</v>
      </c>
      <c r="AC501" s="507">
        <v>0</v>
      </c>
      <c r="AD501" s="507">
        <v>0</v>
      </c>
      <c r="AE501" s="507">
        <v>0</v>
      </c>
      <c r="AF501" s="507"/>
      <c r="AG501" s="507"/>
      <c r="AH501" s="507">
        <v>0</v>
      </c>
      <c r="AI501" s="507">
        <v>0</v>
      </c>
      <c r="AJ501" s="507">
        <v>0</v>
      </c>
      <c r="AK501" s="507">
        <v>0</v>
      </c>
      <c r="AL501" s="507">
        <v>0</v>
      </c>
      <c r="AM501" s="507">
        <v>0</v>
      </c>
      <c r="AN501" s="507"/>
      <c r="AO501" s="507"/>
    </row>
    <row r="502" spans="1:41">
      <c r="A502" s="2"/>
      <c r="B502" s="2"/>
      <c r="C502" s="2"/>
      <c r="D502" s="2"/>
      <c r="E502" s="2"/>
      <c r="F502" s="2"/>
      <c r="G502" s="2"/>
      <c r="I502" s="2"/>
      <c r="J502" s="3"/>
      <c r="K502" s="3"/>
      <c r="L502" s="507"/>
      <c r="M502" s="507"/>
      <c r="N502" s="507"/>
      <c r="O502" s="507"/>
      <c r="P502">
        <v>1</v>
      </c>
      <c r="Q502" s="2" t="s">
        <v>526</v>
      </c>
      <c r="R502" s="3">
        <v>1</v>
      </c>
      <c r="S502" s="3">
        <v>5.2488000000000001</v>
      </c>
      <c r="T502" s="507">
        <v>317.81869332545534</v>
      </c>
      <c r="U502" s="507">
        <v>0</v>
      </c>
      <c r="V502" s="507">
        <v>317.81869332545534</v>
      </c>
      <c r="W502" s="507">
        <v>4.801763475805962</v>
      </c>
      <c r="X502" s="507"/>
      <c r="Y502" s="507">
        <v>322.6204568012613</v>
      </c>
      <c r="Z502" s="507"/>
      <c r="AA502" s="507">
        <v>1693.3702536584603</v>
      </c>
      <c r="AB502" s="507"/>
      <c r="AC502" s="507"/>
      <c r="AD502" s="507"/>
      <c r="AE502" s="507"/>
      <c r="AF502" s="507"/>
      <c r="AG502" s="507"/>
      <c r="AH502" s="507"/>
      <c r="AI502" s="507">
        <v>0</v>
      </c>
      <c r="AJ502" s="507"/>
      <c r="AK502" s="507"/>
      <c r="AL502" s="507"/>
      <c r="AM502" s="507"/>
      <c r="AN502" s="507"/>
      <c r="AO502" s="507"/>
    </row>
    <row r="503" spans="1:41">
      <c r="A503" s="2" t="s">
        <v>1151</v>
      </c>
      <c r="B503" s="2" t="s">
        <v>361</v>
      </c>
      <c r="C503" s="2" t="s">
        <v>328</v>
      </c>
      <c r="D503" s="2" t="s">
        <v>18</v>
      </c>
      <c r="E503" s="2" t="s">
        <v>19</v>
      </c>
      <c r="F503" s="2" t="s">
        <v>20</v>
      </c>
      <c r="G503" s="2" t="s">
        <v>21</v>
      </c>
      <c r="H503">
        <v>1</v>
      </c>
      <c r="I503" s="2" t="s">
        <v>526</v>
      </c>
      <c r="J503" s="3">
        <v>1</v>
      </c>
      <c r="K503" s="3">
        <v>5.2488000000000001</v>
      </c>
      <c r="L503" s="507">
        <v>4933.5583772761947</v>
      </c>
      <c r="M503" s="507">
        <v>0</v>
      </c>
      <c r="N503" s="507">
        <v>4933.5583772761947</v>
      </c>
      <c r="O503" s="507">
        <v>73.866324980416479</v>
      </c>
      <c r="P503">
        <v>1</v>
      </c>
      <c r="Q503" s="2" t="s">
        <v>526</v>
      </c>
      <c r="R503" s="3">
        <v>1</v>
      </c>
      <c r="S503" s="3">
        <v>5.2488000000000001</v>
      </c>
      <c r="T503" s="507">
        <v>4933.5583772761947</v>
      </c>
      <c r="U503" s="507">
        <v>0</v>
      </c>
      <c r="V503" s="507">
        <v>4933.5583772761947</v>
      </c>
      <c r="W503" s="507">
        <v>73.866324980416479</v>
      </c>
      <c r="X503" s="507">
        <v>5007.4247022566115</v>
      </c>
      <c r="Y503" s="507">
        <v>5007.4247022566115</v>
      </c>
      <c r="Z503" s="507">
        <v>26282.970777204504</v>
      </c>
      <c r="AA503" s="507">
        <v>26282.970777204504</v>
      </c>
      <c r="AB503" s="507">
        <v>26282.970777204504</v>
      </c>
      <c r="AC503" s="507">
        <v>0</v>
      </c>
      <c r="AD503" s="507">
        <v>0</v>
      </c>
      <c r="AE503" s="507">
        <v>0</v>
      </c>
      <c r="AF503" s="507"/>
      <c r="AG503" s="507"/>
      <c r="AH503" s="507">
        <v>0</v>
      </c>
      <c r="AI503" s="507">
        <v>0</v>
      </c>
      <c r="AJ503" s="507">
        <v>0</v>
      </c>
      <c r="AK503" s="507">
        <v>0</v>
      </c>
      <c r="AL503" s="507">
        <v>0</v>
      </c>
      <c r="AM503" s="507">
        <v>0</v>
      </c>
      <c r="AN503" s="507"/>
      <c r="AO503" s="507"/>
    </row>
    <row r="504" spans="1:41">
      <c r="A504" s="2"/>
      <c r="B504" s="2"/>
      <c r="C504" s="2"/>
      <c r="D504" s="2"/>
      <c r="E504" s="2"/>
      <c r="F504" s="2"/>
      <c r="G504" s="2"/>
      <c r="I504" s="2"/>
      <c r="J504" s="3"/>
      <c r="K504" s="3"/>
      <c r="L504" s="507"/>
      <c r="M504" s="507"/>
      <c r="N504" s="507"/>
      <c r="O504" s="507"/>
      <c r="P504">
        <v>1</v>
      </c>
      <c r="Q504" s="2" t="s">
        <v>526</v>
      </c>
      <c r="R504" s="3">
        <v>1</v>
      </c>
      <c r="S504" s="3">
        <v>5.2488000000000001</v>
      </c>
      <c r="T504" s="507">
        <v>2199.7716958881128</v>
      </c>
      <c r="U504" s="507">
        <v>0</v>
      </c>
      <c r="V504" s="507">
        <v>2199.7716958881128</v>
      </c>
      <c r="W504" s="507">
        <v>25.877870174949138</v>
      </c>
      <c r="X504" s="507"/>
      <c r="Y504" s="507">
        <v>2225.6495660630621</v>
      </c>
      <c r="Z504" s="507"/>
      <c r="AA504" s="507">
        <v>11681.989442351802</v>
      </c>
      <c r="AB504" s="507"/>
      <c r="AC504" s="507"/>
      <c r="AD504" s="507"/>
      <c r="AE504" s="507"/>
      <c r="AF504" s="507"/>
      <c r="AG504" s="507"/>
      <c r="AH504" s="507"/>
      <c r="AI504" s="507">
        <v>0</v>
      </c>
      <c r="AJ504" s="507"/>
      <c r="AK504" s="507"/>
      <c r="AL504" s="507"/>
      <c r="AM504" s="507"/>
      <c r="AN504" s="507"/>
      <c r="AO504" s="507"/>
    </row>
    <row r="505" spans="1:41">
      <c r="A505" s="2" t="s">
        <v>1152</v>
      </c>
      <c r="B505" s="2" t="s">
        <v>345</v>
      </c>
      <c r="C505" s="2" t="s">
        <v>328</v>
      </c>
      <c r="D505" s="2" t="s">
        <v>18</v>
      </c>
      <c r="E505" s="2" t="s">
        <v>19</v>
      </c>
      <c r="F505" s="2" t="s">
        <v>20</v>
      </c>
      <c r="G505" s="2" t="s">
        <v>21</v>
      </c>
      <c r="H505">
        <v>1</v>
      </c>
      <c r="I505" s="2" t="s">
        <v>526</v>
      </c>
      <c r="J505" s="3">
        <v>1</v>
      </c>
      <c r="K505" s="3">
        <v>5.2488000000000001</v>
      </c>
      <c r="L505" s="507">
        <v>92316.750794131629</v>
      </c>
      <c r="M505" s="507">
        <v>0</v>
      </c>
      <c r="N505" s="507">
        <v>92316.750794131629</v>
      </c>
      <c r="O505" s="507">
        <v>2275.6079070753444</v>
      </c>
      <c r="P505">
        <v>1</v>
      </c>
      <c r="Q505" s="2" t="s">
        <v>526</v>
      </c>
      <c r="R505" s="3">
        <v>1</v>
      </c>
      <c r="S505" s="3">
        <v>5.2488000000000001</v>
      </c>
      <c r="T505" s="507">
        <v>92316.750794131629</v>
      </c>
      <c r="U505" s="507">
        <v>0</v>
      </c>
      <c r="V505" s="507">
        <v>92316.750794131629</v>
      </c>
      <c r="W505" s="507">
        <v>2275.6079070753444</v>
      </c>
      <c r="X505" s="507">
        <v>94592.358701206977</v>
      </c>
      <c r="Y505" s="507">
        <v>94592.358701206977</v>
      </c>
      <c r="Z505" s="507">
        <v>496496.3723508952</v>
      </c>
      <c r="AA505" s="507">
        <v>496496.3723508952</v>
      </c>
      <c r="AB505" s="507">
        <v>496496.3723508952</v>
      </c>
      <c r="AC505" s="507">
        <v>0</v>
      </c>
      <c r="AD505" s="507">
        <v>0</v>
      </c>
      <c r="AE505" s="507">
        <v>0</v>
      </c>
      <c r="AF505" s="507"/>
      <c r="AG505" s="507"/>
      <c r="AH505" s="507">
        <v>0</v>
      </c>
      <c r="AI505" s="507">
        <v>0</v>
      </c>
      <c r="AJ505" s="507">
        <v>0</v>
      </c>
      <c r="AK505" s="507">
        <v>0</v>
      </c>
      <c r="AL505" s="507">
        <v>0</v>
      </c>
      <c r="AM505" s="507">
        <v>0</v>
      </c>
      <c r="AN505" s="507"/>
      <c r="AO505" s="507"/>
    </row>
    <row r="506" spans="1:41">
      <c r="A506" s="2"/>
      <c r="B506" s="2"/>
      <c r="C506" s="2"/>
      <c r="D506" s="2"/>
      <c r="E506" s="2"/>
      <c r="F506" s="2"/>
      <c r="G506" s="2"/>
      <c r="I506" s="2"/>
      <c r="J506" s="3"/>
      <c r="K506" s="3"/>
      <c r="L506" s="507"/>
      <c r="M506" s="507"/>
      <c r="N506" s="507"/>
      <c r="O506" s="507"/>
      <c r="P506">
        <v>1</v>
      </c>
      <c r="Q506" s="2" t="s">
        <v>526</v>
      </c>
      <c r="R506" s="3">
        <v>1</v>
      </c>
      <c r="S506" s="3">
        <v>5.2488000000000001</v>
      </c>
      <c r="T506" s="507">
        <v>3568.4247484664265</v>
      </c>
      <c r="U506" s="507">
        <v>0</v>
      </c>
      <c r="V506" s="507">
        <v>3568.4247484664265</v>
      </c>
      <c r="W506" s="507">
        <v>41.97860733207677</v>
      </c>
      <c r="X506" s="507"/>
      <c r="Y506" s="507">
        <v>3610.4033557985035</v>
      </c>
      <c r="Z506" s="507"/>
      <c r="AA506" s="507">
        <v>18950.285133915186</v>
      </c>
      <c r="AB506" s="507"/>
      <c r="AC506" s="507"/>
      <c r="AD506" s="507"/>
      <c r="AE506" s="507"/>
      <c r="AF506" s="507"/>
      <c r="AG506" s="507"/>
      <c r="AH506" s="507"/>
      <c r="AI506" s="507">
        <v>0</v>
      </c>
      <c r="AJ506" s="507"/>
      <c r="AK506" s="507"/>
      <c r="AL506" s="507"/>
      <c r="AM506" s="507"/>
      <c r="AN506" s="507"/>
      <c r="AO506" s="507"/>
    </row>
    <row r="507" spans="1:41">
      <c r="A507" s="2" t="s">
        <v>1153</v>
      </c>
      <c r="B507" s="2" t="s">
        <v>362</v>
      </c>
      <c r="C507" s="2" t="s">
        <v>328</v>
      </c>
      <c r="D507" s="2" t="s">
        <v>18</v>
      </c>
      <c r="E507" s="2" t="s">
        <v>19</v>
      </c>
      <c r="F507" s="2" t="s">
        <v>20</v>
      </c>
      <c r="G507" s="2" t="s">
        <v>21</v>
      </c>
      <c r="H507">
        <v>1</v>
      </c>
      <c r="I507" s="2" t="s">
        <v>526</v>
      </c>
      <c r="J507" s="3">
        <v>1</v>
      </c>
      <c r="K507" s="3">
        <v>5.2488000000000001</v>
      </c>
      <c r="L507" s="507">
        <v>1337.9280212756894</v>
      </c>
      <c r="M507" s="507">
        <v>0</v>
      </c>
      <c r="N507" s="507">
        <v>1337.9280212756894</v>
      </c>
      <c r="O507" s="507">
        <v>20.031811754818619</v>
      </c>
      <c r="P507">
        <v>1</v>
      </c>
      <c r="Q507" s="2" t="s">
        <v>526</v>
      </c>
      <c r="R507" s="3">
        <v>1</v>
      </c>
      <c r="S507" s="3">
        <v>5.2488000000000001</v>
      </c>
      <c r="T507" s="507">
        <v>1337.9280212756894</v>
      </c>
      <c r="U507" s="507">
        <v>0</v>
      </c>
      <c r="V507" s="507">
        <v>1337.9280212756894</v>
      </c>
      <c r="W507" s="507">
        <v>20.031811754818619</v>
      </c>
      <c r="X507" s="507">
        <v>1357.959833030508</v>
      </c>
      <c r="Y507" s="507">
        <v>1357.959833030508</v>
      </c>
      <c r="Z507" s="507">
        <v>7127.6595716105303</v>
      </c>
      <c r="AA507" s="507">
        <v>7127.6595716105303</v>
      </c>
      <c r="AB507" s="507">
        <v>7127.6595716105303</v>
      </c>
      <c r="AC507" s="507">
        <v>0</v>
      </c>
      <c r="AD507" s="507">
        <v>0</v>
      </c>
      <c r="AE507" s="507">
        <v>0</v>
      </c>
      <c r="AF507" s="507"/>
      <c r="AG507" s="507"/>
      <c r="AH507" s="507">
        <v>0</v>
      </c>
      <c r="AI507" s="507">
        <v>0</v>
      </c>
      <c r="AJ507" s="507">
        <v>0</v>
      </c>
      <c r="AK507" s="507">
        <v>0</v>
      </c>
      <c r="AL507" s="507">
        <v>0</v>
      </c>
      <c r="AM507" s="507">
        <v>0</v>
      </c>
      <c r="AN507" s="507"/>
      <c r="AO507" s="507"/>
    </row>
    <row r="508" spans="1:41">
      <c r="A508" s="2"/>
      <c r="B508" s="2"/>
      <c r="C508" s="2"/>
      <c r="D508" s="2"/>
      <c r="E508" s="2"/>
      <c r="F508" s="2"/>
      <c r="G508" s="2"/>
      <c r="I508" s="2"/>
      <c r="J508" s="3"/>
      <c r="K508" s="3"/>
      <c r="L508" s="507"/>
      <c r="M508" s="507"/>
      <c r="N508" s="507"/>
      <c r="O508" s="507"/>
      <c r="P508">
        <v>1</v>
      </c>
      <c r="Q508" s="2" t="s">
        <v>526</v>
      </c>
      <c r="R508" s="3">
        <v>1</v>
      </c>
      <c r="S508" s="3">
        <v>5.2488000000000001</v>
      </c>
      <c r="T508" s="507">
        <v>2943.9270852088925</v>
      </c>
      <c r="U508" s="507">
        <v>0</v>
      </c>
      <c r="V508" s="507">
        <v>2943.9270852088925</v>
      </c>
      <c r="W508" s="507">
        <v>36.864478827617411</v>
      </c>
      <c r="X508" s="507"/>
      <c r="Y508" s="507">
        <v>2980.79156403651</v>
      </c>
      <c r="Z508" s="507"/>
      <c r="AA508" s="507">
        <v>15645.578761314833</v>
      </c>
      <c r="AB508" s="507"/>
      <c r="AC508" s="507"/>
      <c r="AD508" s="507"/>
      <c r="AE508" s="507"/>
      <c r="AF508" s="507"/>
      <c r="AG508" s="507"/>
      <c r="AH508" s="507"/>
      <c r="AI508" s="507">
        <v>0</v>
      </c>
      <c r="AJ508" s="507"/>
      <c r="AK508" s="507"/>
      <c r="AL508" s="507"/>
      <c r="AM508" s="507"/>
      <c r="AN508" s="507"/>
      <c r="AO508" s="507"/>
    </row>
    <row r="509" spans="1:41">
      <c r="A509" s="2" t="s">
        <v>1154</v>
      </c>
      <c r="B509" s="2" t="s">
        <v>345</v>
      </c>
      <c r="C509" s="2" t="s">
        <v>328</v>
      </c>
      <c r="D509" s="2" t="s">
        <v>18</v>
      </c>
      <c r="E509" s="2" t="s">
        <v>19</v>
      </c>
      <c r="F509" s="2" t="s">
        <v>20</v>
      </c>
      <c r="G509" s="2" t="s">
        <v>21</v>
      </c>
      <c r="H509">
        <v>1</v>
      </c>
      <c r="I509" s="2" t="s">
        <v>526</v>
      </c>
      <c r="J509" s="3">
        <v>1</v>
      </c>
      <c r="K509" s="3">
        <v>5.2488000000000001</v>
      </c>
      <c r="L509" s="507">
        <v>92316.750794131629</v>
      </c>
      <c r="M509" s="507">
        <v>0</v>
      </c>
      <c r="N509" s="507">
        <v>92316.750794131629</v>
      </c>
      <c r="O509" s="507">
        <v>2275.6079070753444</v>
      </c>
      <c r="P509">
        <v>1</v>
      </c>
      <c r="Q509" s="2" t="s">
        <v>526</v>
      </c>
      <c r="R509" s="3">
        <v>1</v>
      </c>
      <c r="S509" s="3">
        <v>5.2488000000000001</v>
      </c>
      <c r="T509" s="507">
        <v>92316.750794131629</v>
      </c>
      <c r="U509" s="507">
        <v>0</v>
      </c>
      <c r="V509" s="507">
        <v>92316.750794131629</v>
      </c>
      <c r="W509" s="507">
        <v>2275.6079070753444</v>
      </c>
      <c r="X509" s="507">
        <v>94592.358701206977</v>
      </c>
      <c r="Y509" s="507">
        <v>94592.358701206977</v>
      </c>
      <c r="Z509" s="507">
        <v>496496.3723508952</v>
      </c>
      <c r="AA509" s="507">
        <v>496496.3723508952</v>
      </c>
      <c r="AB509" s="507">
        <v>496496.3723508952</v>
      </c>
      <c r="AC509" s="507">
        <v>0</v>
      </c>
      <c r="AD509" s="507">
        <v>0</v>
      </c>
      <c r="AE509" s="507">
        <v>0</v>
      </c>
      <c r="AF509" s="507"/>
      <c r="AG509" s="507"/>
      <c r="AH509" s="507">
        <v>0</v>
      </c>
      <c r="AI509" s="507">
        <v>0</v>
      </c>
      <c r="AJ509" s="507">
        <v>0</v>
      </c>
      <c r="AK509" s="507">
        <v>0</v>
      </c>
      <c r="AL509" s="507">
        <v>0</v>
      </c>
      <c r="AM509" s="507">
        <v>0</v>
      </c>
      <c r="AN509" s="507"/>
      <c r="AO509" s="507"/>
    </row>
    <row r="510" spans="1:41">
      <c r="A510" s="2"/>
      <c r="B510" s="2"/>
      <c r="C510" s="2"/>
      <c r="D510" s="2"/>
      <c r="E510" s="2"/>
      <c r="F510" s="2"/>
      <c r="G510" s="2"/>
      <c r="I510" s="2"/>
      <c r="J510" s="3"/>
      <c r="K510" s="3"/>
      <c r="L510" s="507"/>
      <c r="M510" s="507"/>
      <c r="N510" s="507"/>
      <c r="O510" s="507"/>
      <c r="P510">
        <v>1</v>
      </c>
      <c r="Q510" s="2" t="s">
        <v>526</v>
      </c>
      <c r="R510" s="3">
        <v>1</v>
      </c>
      <c r="S510" s="3">
        <v>5.2488000000000001</v>
      </c>
      <c r="T510" s="507">
        <v>6387.3505676045752</v>
      </c>
      <c r="U510" s="507">
        <v>0</v>
      </c>
      <c r="V510" s="507">
        <v>6387.3505676045752</v>
      </c>
      <c r="W510" s="507">
        <v>91.285941954764354</v>
      </c>
      <c r="X510" s="507"/>
      <c r="Y510" s="507">
        <v>6478.6365095593392</v>
      </c>
      <c r="Z510" s="507"/>
      <c r="AA510" s="507">
        <v>34005.06731137506</v>
      </c>
      <c r="AB510" s="507"/>
      <c r="AC510" s="507"/>
      <c r="AD510" s="507"/>
      <c r="AE510" s="507"/>
      <c r="AF510" s="507"/>
      <c r="AG510" s="507"/>
      <c r="AH510" s="507"/>
      <c r="AI510" s="507">
        <v>0</v>
      </c>
      <c r="AJ510" s="507"/>
      <c r="AK510" s="507"/>
      <c r="AL510" s="507"/>
      <c r="AM510" s="507"/>
      <c r="AN510" s="507"/>
      <c r="AO510" s="507"/>
    </row>
    <row r="511" spans="1:41">
      <c r="A511" s="2" t="s">
        <v>1155</v>
      </c>
      <c r="B511" s="2" t="s">
        <v>346</v>
      </c>
      <c r="C511" s="2" t="s">
        <v>328</v>
      </c>
      <c r="D511" s="2" t="s">
        <v>18</v>
      </c>
      <c r="E511" s="2" t="s">
        <v>19</v>
      </c>
      <c r="F511" s="2" t="s">
        <v>20</v>
      </c>
      <c r="G511" s="2" t="s">
        <v>21</v>
      </c>
      <c r="H511">
        <v>1</v>
      </c>
      <c r="I511" s="2" t="s">
        <v>526</v>
      </c>
      <c r="J511" s="3">
        <v>1</v>
      </c>
      <c r="K511" s="3">
        <v>5.2488000000000001</v>
      </c>
      <c r="L511" s="507">
        <v>81013.403264754423</v>
      </c>
      <c r="M511" s="507">
        <v>0</v>
      </c>
      <c r="N511" s="507">
        <v>81013.403264754423</v>
      </c>
      <c r="O511" s="507">
        <v>1996.980443964522</v>
      </c>
      <c r="P511">
        <v>1</v>
      </c>
      <c r="Q511" s="2" t="s">
        <v>526</v>
      </c>
      <c r="R511" s="3">
        <v>1</v>
      </c>
      <c r="S511" s="3">
        <v>5.2488000000000001</v>
      </c>
      <c r="T511" s="507">
        <v>81013.403264754423</v>
      </c>
      <c r="U511" s="507">
        <v>0</v>
      </c>
      <c r="V511" s="507">
        <v>81013.403264754423</v>
      </c>
      <c r="W511" s="507">
        <v>1996.980443964522</v>
      </c>
      <c r="X511" s="507">
        <v>83010.383708718946</v>
      </c>
      <c r="Y511" s="507">
        <v>83010.383708718946</v>
      </c>
      <c r="Z511" s="507">
        <v>435704.902010324</v>
      </c>
      <c r="AA511" s="507">
        <v>435704.902010324</v>
      </c>
      <c r="AB511" s="507">
        <v>435704.902010324</v>
      </c>
      <c r="AC511" s="507">
        <v>0</v>
      </c>
      <c r="AD511" s="507">
        <v>0</v>
      </c>
      <c r="AE511" s="507">
        <v>0</v>
      </c>
      <c r="AF511" s="507"/>
      <c r="AG511" s="507"/>
      <c r="AH511" s="507">
        <v>0</v>
      </c>
      <c r="AI511" s="507">
        <v>0</v>
      </c>
      <c r="AJ511" s="507">
        <v>0</v>
      </c>
      <c r="AK511" s="507">
        <v>0</v>
      </c>
      <c r="AL511" s="507">
        <v>0</v>
      </c>
      <c r="AM511" s="507">
        <v>0</v>
      </c>
      <c r="AN511" s="507"/>
      <c r="AO511" s="507"/>
    </row>
    <row r="512" spans="1:41">
      <c r="A512" s="2"/>
      <c r="B512" s="2"/>
      <c r="C512" s="2"/>
      <c r="D512" s="2"/>
      <c r="E512" s="2"/>
      <c r="F512" s="2"/>
      <c r="G512" s="2"/>
      <c r="I512" s="2"/>
      <c r="J512" s="3"/>
      <c r="K512" s="3"/>
      <c r="L512" s="507"/>
      <c r="M512" s="507"/>
      <c r="N512" s="507"/>
      <c r="O512" s="507"/>
      <c r="P512">
        <v>1</v>
      </c>
      <c r="Q512" s="2" t="s">
        <v>526</v>
      </c>
      <c r="R512" s="3">
        <v>1</v>
      </c>
      <c r="S512" s="3">
        <v>5.2488000000000001</v>
      </c>
      <c r="T512" s="507">
        <v>5340.9703395494835</v>
      </c>
      <c r="U512" s="507">
        <v>0</v>
      </c>
      <c r="V512" s="507">
        <v>5340.9703395494835</v>
      </c>
      <c r="W512" s="507">
        <v>58.750727032417046</v>
      </c>
      <c r="X512" s="507"/>
      <c r="Y512" s="507">
        <v>5399.7210665819002</v>
      </c>
      <c r="Z512" s="507"/>
      <c r="AA512" s="507">
        <v>28342.055934275078</v>
      </c>
      <c r="AB512" s="507"/>
      <c r="AC512" s="507"/>
      <c r="AD512" s="507"/>
      <c r="AE512" s="507"/>
      <c r="AF512" s="507"/>
      <c r="AG512" s="507"/>
      <c r="AH512" s="507"/>
      <c r="AI512" s="507">
        <v>0</v>
      </c>
      <c r="AJ512" s="507"/>
      <c r="AK512" s="507"/>
      <c r="AL512" s="507"/>
      <c r="AM512" s="507"/>
      <c r="AN512" s="507"/>
      <c r="AO512" s="507"/>
    </row>
    <row r="513" spans="1:41">
      <c r="A513" s="2" t="s">
        <v>1156</v>
      </c>
      <c r="B513" s="2" t="s">
        <v>360</v>
      </c>
      <c r="C513" s="2" t="s">
        <v>328</v>
      </c>
      <c r="D513" s="2" t="s">
        <v>18</v>
      </c>
      <c r="E513" s="2" t="s">
        <v>19</v>
      </c>
      <c r="F513" s="2" t="s">
        <v>20</v>
      </c>
      <c r="G513" s="2" t="s">
        <v>21</v>
      </c>
      <c r="H513">
        <v>1</v>
      </c>
      <c r="I513" s="2" t="s">
        <v>526</v>
      </c>
      <c r="J513" s="3">
        <v>1</v>
      </c>
      <c r="K513" s="3">
        <v>5.2488000000000001</v>
      </c>
      <c r="L513" s="507">
        <v>8392.5248617360849</v>
      </c>
      <c r="M513" s="507">
        <v>0</v>
      </c>
      <c r="N513" s="507">
        <v>8392.5248617360849</v>
      </c>
      <c r="O513" s="507">
        <v>125.65472974141319</v>
      </c>
      <c r="P513">
        <v>1</v>
      </c>
      <c r="Q513" s="2" t="s">
        <v>526</v>
      </c>
      <c r="R513" s="3">
        <v>1</v>
      </c>
      <c r="S513" s="3">
        <v>5.2488000000000001</v>
      </c>
      <c r="T513" s="507">
        <v>8392.5248617360849</v>
      </c>
      <c r="U513" s="507">
        <v>0</v>
      </c>
      <c r="V513" s="507">
        <v>8392.5248617360849</v>
      </c>
      <c r="W513" s="507">
        <v>125.65472974141319</v>
      </c>
      <c r="X513" s="507">
        <v>8518.1795914774975</v>
      </c>
      <c r="Y513" s="507">
        <v>8518.1795914774975</v>
      </c>
      <c r="Z513" s="507">
        <v>44710.221039747092</v>
      </c>
      <c r="AA513" s="507">
        <v>44710.221039747092</v>
      </c>
      <c r="AB513" s="507">
        <v>44710.221039747092</v>
      </c>
      <c r="AC513" s="507">
        <v>0</v>
      </c>
      <c r="AD513" s="507">
        <v>0</v>
      </c>
      <c r="AE513" s="507">
        <v>0</v>
      </c>
      <c r="AF513" s="507"/>
      <c r="AG513" s="507"/>
      <c r="AH513" s="507">
        <v>0</v>
      </c>
      <c r="AI513" s="507">
        <v>0</v>
      </c>
      <c r="AJ513" s="507">
        <v>0</v>
      </c>
      <c r="AK513" s="507">
        <v>0</v>
      </c>
      <c r="AL513" s="507">
        <v>0</v>
      </c>
      <c r="AM513" s="507">
        <v>0</v>
      </c>
      <c r="AN513" s="507"/>
      <c r="AO513" s="507"/>
    </row>
    <row r="514" spans="1:41">
      <c r="A514" s="2" t="s">
        <v>1157</v>
      </c>
      <c r="B514" s="2" t="s">
        <v>360</v>
      </c>
      <c r="C514" s="2" t="s">
        <v>328</v>
      </c>
      <c r="D514" s="2" t="s">
        <v>18</v>
      </c>
      <c r="E514" s="2" t="s">
        <v>19</v>
      </c>
      <c r="F514" s="2" t="s">
        <v>20</v>
      </c>
      <c r="G514" s="2" t="s">
        <v>21</v>
      </c>
      <c r="H514">
        <v>1</v>
      </c>
      <c r="I514" s="2" t="s">
        <v>526</v>
      </c>
      <c r="J514" s="3">
        <v>1</v>
      </c>
      <c r="K514" s="3">
        <v>5.2488000000000001</v>
      </c>
      <c r="L514" s="507">
        <v>3387.1396211380161</v>
      </c>
      <c r="M514" s="507">
        <v>0</v>
      </c>
      <c r="N514" s="507">
        <v>3387.1396211380161</v>
      </c>
      <c r="O514" s="507">
        <v>50.713099247746676</v>
      </c>
      <c r="P514">
        <v>1</v>
      </c>
      <c r="Q514" s="2" t="s">
        <v>526</v>
      </c>
      <c r="R514" s="3">
        <v>1</v>
      </c>
      <c r="S514" s="3">
        <v>5.2488000000000001</v>
      </c>
      <c r="T514" s="507">
        <v>3387.1396211380161</v>
      </c>
      <c r="U514" s="507">
        <v>0</v>
      </c>
      <c r="V514" s="507">
        <v>3387.1396211380161</v>
      </c>
      <c r="W514" s="507">
        <v>50.713099247746676</v>
      </c>
      <c r="X514" s="507">
        <v>3437.852720385763</v>
      </c>
      <c r="Y514" s="507">
        <v>3437.852720385763</v>
      </c>
      <c r="Z514" s="507">
        <v>18044.601358760792</v>
      </c>
      <c r="AA514" s="507">
        <v>18044.601358760792</v>
      </c>
      <c r="AB514" s="507">
        <v>18044.601358760792</v>
      </c>
      <c r="AC514" s="507">
        <v>0</v>
      </c>
      <c r="AD514" s="507">
        <v>0</v>
      </c>
      <c r="AE514" s="507">
        <v>0</v>
      </c>
      <c r="AF514" s="507"/>
      <c r="AG514" s="507"/>
      <c r="AH514" s="507">
        <v>0</v>
      </c>
      <c r="AI514" s="507">
        <v>0</v>
      </c>
      <c r="AJ514" s="507">
        <v>0</v>
      </c>
      <c r="AK514" s="507">
        <v>0</v>
      </c>
      <c r="AL514" s="507">
        <v>0</v>
      </c>
      <c r="AM514" s="507">
        <v>0</v>
      </c>
      <c r="AN514" s="507"/>
      <c r="AO514" s="507"/>
    </row>
    <row r="515" spans="1:41">
      <c r="A515" s="2" t="s">
        <v>1158</v>
      </c>
      <c r="B515" s="2" t="s">
        <v>346</v>
      </c>
      <c r="C515" s="2" t="s">
        <v>328</v>
      </c>
      <c r="D515" s="2" t="s">
        <v>18</v>
      </c>
      <c r="E515" s="2" t="s">
        <v>19</v>
      </c>
      <c r="F515" s="2" t="s">
        <v>20</v>
      </c>
      <c r="G515" s="2" t="s">
        <v>21</v>
      </c>
      <c r="H515">
        <v>1</v>
      </c>
      <c r="I515" s="2" t="s">
        <v>526</v>
      </c>
      <c r="J515" s="3">
        <v>1</v>
      </c>
      <c r="K515" s="3">
        <v>5.2488000000000001</v>
      </c>
      <c r="L515" s="507">
        <v>11784.532714410478</v>
      </c>
      <c r="M515" s="507">
        <v>0</v>
      </c>
      <c r="N515" s="507">
        <v>11784.532714410478</v>
      </c>
      <c r="O515" s="507">
        <v>290.48868851985588</v>
      </c>
      <c r="P515">
        <v>1</v>
      </c>
      <c r="Q515" s="2" t="s">
        <v>526</v>
      </c>
      <c r="R515" s="3">
        <v>1</v>
      </c>
      <c r="S515" s="3">
        <v>5.2488000000000001</v>
      </c>
      <c r="T515" s="507">
        <v>11784.532714410478</v>
      </c>
      <c r="U515" s="507">
        <v>0</v>
      </c>
      <c r="V515" s="507">
        <v>11784.532714410478</v>
      </c>
      <c r="W515" s="507">
        <v>290.48868851985588</v>
      </c>
      <c r="X515" s="507">
        <v>12075.021402930333</v>
      </c>
      <c r="Y515" s="507">
        <v>12075.021402930333</v>
      </c>
      <c r="Z515" s="507">
        <v>63379.372339700734</v>
      </c>
      <c r="AA515" s="507">
        <v>63379.372339700734</v>
      </c>
      <c r="AB515" s="507">
        <v>63379.372339700734</v>
      </c>
      <c r="AC515" s="507">
        <v>0</v>
      </c>
      <c r="AD515" s="507">
        <v>0</v>
      </c>
      <c r="AE515" s="507">
        <v>0</v>
      </c>
      <c r="AF515" s="507"/>
      <c r="AG515" s="507"/>
      <c r="AH515" s="507">
        <v>0</v>
      </c>
      <c r="AI515" s="507">
        <v>0</v>
      </c>
      <c r="AJ515" s="507">
        <v>0</v>
      </c>
      <c r="AK515" s="507">
        <v>0</v>
      </c>
      <c r="AL515" s="507">
        <v>0</v>
      </c>
      <c r="AM515" s="507">
        <v>0</v>
      </c>
      <c r="AN515" s="507"/>
      <c r="AO515" s="507"/>
    </row>
    <row r="516" spans="1:41">
      <c r="A516" s="2" t="s">
        <v>1159</v>
      </c>
      <c r="B516" s="2" t="s">
        <v>371</v>
      </c>
      <c r="C516" s="2" t="s">
        <v>328</v>
      </c>
      <c r="D516" s="2" t="s">
        <v>18</v>
      </c>
      <c r="E516" s="2" t="s">
        <v>19</v>
      </c>
      <c r="F516" s="2" t="s">
        <v>20</v>
      </c>
      <c r="G516" s="2" t="s">
        <v>21</v>
      </c>
      <c r="H516">
        <v>1</v>
      </c>
      <c r="I516" s="2" t="s">
        <v>526</v>
      </c>
      <c r="J516" s="3">
        <v>1</v>
      </c>
      <c r="K516" s="3">
        <v>5.2488000000000001</v>
      </c>
      <c r="L516" s="507">
        <v>2107.3563821825032</v>
      </c>
      <c r="M516" s="507">
        <v>0</v>
      </c>
      <c r="N516" s="507">
        <v>2107.3563821825032</v>
      </c>
      <c r="O516" s="507">
        <v>31.551834452916719</v>
      </c>
      <c r="P516">
        <v>1</v>
      </c>
      <c r="Q516" s="2" t="s">
        <v>526</v>
      </c>
      <c r="R516" s="3">
        <v>1</v>
      </c>
      <c r="S516" s="3">
        <v>5.2488000000000001</v>
      </c>
      <c r="T516" s="507">
        <v>2107.3563821825032</v>
      </c>
      <c r="U516" s="507">
        <v>0</v>
      </c>
      <c r="V516" s="507">
        <v>2107.3563821825032</v>
      </c>
      <c r="W516" s="507">
        <v>31.551834452916719</v>
      </c>
      <c r="X516" s="507">
        <v>2138.9082166354201</v>
      </c>
      <c r="Y516" s="507">
        <v>2138.9082166354201</v>
      </c>
      <c r="Z516" s="507">
        <v>11226.701447475993</v>
      </c>
      <c r="AA516" s="507">
        <v>11226.701447475993</v>
      </c>
      <c r="AB516" s="507">
        <v>11226.701447475993</v>
      </c>
      <c r="AC516" s="507">
        <v>0</v>
      </c>
      <c r="AD516" s="507">
        <v>0</v>
      </c>
      <c r="AE516" s="507">
        <v>0</v>
      </c>
      <c r="AF516" s="507"/>
      <c r="AG516" s="507"/>
      <c r="AH516" s="507">
        <v>0</v>
      </c>
      <c r="AI516" s="507">
        <v>0</v>
      </c>
      <c r="AJ516" s="507">
        <v>0</v>
      </c>
      <c r="AK516" s="507">
        <v>0</v>
      </c>
      <c r="AL516" s="507">
        <v>0</v>
      </c>
      <c r="AM516" s="507">
        <v>0</v>
      </c>
      <c r="AN516" s="507"/>
      <c r="AO516" s="507"/>
    </row>
    <row r="517" spans="1:41">
      <c r="A517" s="2" t="s">
        <v>1160</v>
      </c>
      <c r="B517" s="2" t="s">
        <v>371</v>
      </c>
      <c r="C517" s="2" t="s">
        <v>328</v>
      </c>
      <c r="D517" s="2" t="s">
        <v>18</v>
      </c>
      <c r="E517" s="2" t="s">
        <v>19</v>
      </c>
      <c r="F517" s="2" t="s">
        <v>20</v>
      </c>
      <c r="G517" s="2" t="s">
        <v>21</v>
      </c>
      <c r="H517">
        <v>1</v>
      </c>
      <c r="I517" s="2" t="s">
        <v>526</v>
      </c>
      <c r="J517" s="3">
        <v>1</v>
      </c>
      <c r="K517" s="3">
        <v>5.2488000000000001</v>
      </c>
      <c r="L517" s="507">
        <v>417.87786537518923</v>
      </c>
      <c r="M517" s="507">
        <v>0</v>
      </c>
      <c r="N517" s="507">
        <v>417.87786537518923</v>
      </c>
      <c r="O517" s="507">
        <v>6.2564908348198882</v>
      </c>
      <c r="P517">
        <v>1</v>
      </c>
      <c r="Q517" s="2" t="s">
        <v>526</v>
      </c>
      <c r="R517" s="3">
        <v>1</v>
      </c>
      <c r="S517" s="3">
        <v>5.2488000000000001</v>
      </c>
      <c r="T517" s="507">
        <v>417.87786537518923</v>
      </c>
      <c r="U517" s="507">
        <v>0</v>
      </c>
      <c r="V517" s="507">
        <v>417.87786537518923</v>
      </c>
      <c r="W517" s="507">
        <v>6.2564908348198882</v>
      </c>
      <c r="X517" s="507">
        <v>424.13435621000912</v>
      </c>
      <c r="Y517" s="507">
        <v>424.13435621000912</v>
      </c>
      <c r="Z517" s="507">
        <v>2226.196408875096</v>
      </c>
      <c r="AA517" s="507">
        <v>2226.196408875096</v>
      </c>
      <c r="AB517" s="507">
        <v>2226.196408875096</v>
      </c>
      <c r="AC517" s="507">
        <v>0</v>
      </c>
      <c r="AD517" s="507">
        <v>0</v>
      </c>
      <c r="AE517" s="507">
        <v>0</v>
      </c>
      <c r="AF517" s="507"/>
      <c r="AG517" s="507"/>
      <c r="AH517" s="507">
        <v>0</v>
      </c>
      <c r="AI517" s="507">
        <v>0</v>
      </c>
      <c r="AJ517" s="507">
        <v>0</v>
      </c>
      <c r="AK517" s="507">
        <v>0</v>
      </c>
      <c r="AL517" s="507">
        <v>0</v>
      </c>
      <c r="AM517" s="507">
        <v>0</v>
      </c>
      <c r="AN517" s="507"/>
      <c r="AO517" s="507"/>
    </row>
    <row r="518" spans="1:41">
      <c r="A518" s="2"/>
      <c r="B518" s="2"/>
      <c r="C518" s="2"/>
      <c r="D518" s="2"/>
      <c r="E518" s="2"/>
      <c r="F518" s="2"/>
      <c r="G518" s="2"/>
      <c r="I518" s="2"/>
      <c r="J518" s="3"/>
      <c r="K518" s="3"/>
      <c r="L518" s="507"/>
      <c r="M518" s="507"/>
      <c r="N518" s="507"/>
      <c r="O518" s="507"/>
      <c r="P518">
        <v>1</v>
      </c>
      <c r="Q518" s="2" t="s">
        <v>526</v>
      </c>
      <c r="R518" s="3">
        <v>1</v>
      </c>
      <c r="S518" s="3">
        <v>5.2488000000000001</v>
      </c>
      <c r="T518" s="507">
        <v>1771.4061251005755</v>
      </c>
      <c r="U518" s="507">
        <v>0</v>
      </c>
      <c r="V518" s="507">
        <v>1771.4061251005755</v>
      </c>
      <c r="W518" s="507">
        <v>20.494134042795633</v>
      </c>
      <c r="X518" s="507"/>
      <c r="Y518" s="507">
        <v>1791.9002591433712</v>
      </c>
      <c r="Z518" s="507"/>
      <c r="AA518" s="507">
        <v>9405.3260801917277</v>
      </c>
      <c r="AB518" s="507"/>
      <c r="AC518" s="507"/>
      <c r="AD518" s="507"/>
      <c r="AE518" s="507"/>
      <c r="AF518" s="507"/>
      <c r="AG518" s="507"/>
      <c r="AH518" s="507"/>
      <c r="AI518" s="507">
        <v>0</v>
      </c>
      <c r="AJ518" s="507"/>
      <c r="AK518" s="507"/>
      <c r="AL518" s="507"/>
      <c r="AM518" s="507"/>
      <c r="AN518" s="507"/>
      <c r="AO518" s="507"/>
    </row>
    <row r="519" spans="1:41">
      <c r="A519" s="2" t="s">
        <v>1161</v>
      </c>
      <c r="B519" s="2" t="s">
        <v>371</v>
      </c>
      <c r="C519" s="2" t="s">
        <v>328</v>
      </c>
      <c r="D519" s="2" t="s">
        <v>18</v>
      </c>
      <c r="E519" s="2" t="s">
        <v>19</v>
      </c>
      <c r="F519" s="2" t="s">
        <v>20</v>
      </c>
      <c r="G519" s="2" t="s">
        <v>21</v>
      </c>
      <c r="H519">
        <v>1</v>
      </c>
      <c r="I519" s="2" t="s">
        <v>526</v>
      </c>
      <c r="J519" s="3">
        <v>1</v>
      </c>
      <c r="K519" s="3">
        <v>5.2488000000000001</v>
      </c>
      <c r="L519" s="507">
        <v>1096.8851076486783</v>
      </c>
      <c r="M519" s="507">
        <v>0</v>
      </c>
      <c r="N519" s="507">
        <v>1096.8851076486783</v>
      </c>
      <c r="O519" s="507">
        <v>16.422780699272838</v>
      </c>
      <c r="P519">
        <v>1</v>
      </c>
      <c r="Q519" s="2" t="s">
        <v>526</v>
      </c>
      <c r="R519" s="3">
        <v>1</v>
      </c>
      <c r="S519" s="3">
        <v>5.2488000000000001</v>
      </c>
      <c r="T519" s="507">
        <v>1096.8851076486783</v>
      </c>
      <c r="U519" s="507">
        <v>0</v>
      </c>
      <c r="V519" s="507">
        <v>1096.8851076486783</v>
      </c>
      <c r="W519" s="507">
        <v>16.422780699272838</v>
      </c>
      <c r="X519" s="507">
        <v>1113.3078883479511</v>
      </c>
      <c r="Y519" s="507">
        <v>1113.3078883479511</v>
      </c>
      <c r="Z519" s="507">
        <v>5843.5304443607256</v>
      </c>
      <c r="AA519" s="507">
        <v>5843.5304443607256</v>
      </c>
      <c r="AB519" s="507">
        <v>5843.5304443607256</v>
      </c>
      <c r="AC519" s="507">
        <v>0</v>
      </c>
      <c r="AD519" s="507">
        <v>0</v>
      </c>
      <c r="AE519" s="507">
        <v>0</v>
      </c>
      <c r="AF519" s="507"/>
      <c r="AG519" s="507"/>
      <c r="AH519" s="507">
        <v>0</v>
      </c>
      <c r="AI519" s="507">
        <v>0</v>
      </c>
      <c r="AJ519" s="507">
        <v>0</v>
      </c>
      <c r="AK519" s="507">
        <v>0</v>
      </c>
      <c r="AL519" s="507">
        <v>0</v>
      </c>
      <c r="AM519" s="507">
        <v>0</v>
      </c>
      <c r="AN519" s="507"/>
      <c r="AO519" s="507"/>
    </row>
    <row r="520" spans="1:41">
      <c r="A520" s="2" t="s">
        <v>1162</v>
      </c>
      <c r="B520" s="2" t="s">
        <v>372</v>
      </c>
      <c r="C520" s="2" t="s">
        <v>328</v>
      </c>
      <c r="D520" s="2" t="s">
        <v>18</v>
      </c>
      <c r="E520" s="2" t="s">
        <v>19</v>
      </c>
      <c r="F520" s="2" t="s">
        <v>20</v>
      </c>
      <c r="G520" s="2" t="s">
        <v>21</v>
      </c>
      <c r="H520">
        <v>1</v>
      </c>
      <c r="I520" s="2" t="s">
        <v>526</v>
      </c>
      <c r="J520" s="3">
        <v>1</v>
      </c>
      <c r="K520" s="3">
        <v>5.2488000000000001</v>
      </c>
      <c r="L520" s="507">
        <v>2805.2638174795761</v>
      </c>
      <c r="M520" s="507">
        <v>0</v>
      </c>
      <c r="N520" s="507">
        <v>2805.2638174795761</v>
      </c>
      <c r="O520" s="507">
        <v>42.000982841802887</v>
      </c>
      <c r="P520">
        <v>1</v>
      </c>
      <c r="Q520" s="2" t="s">
        <v>526</v>
      </c>
      <c r="R520" s="3">
        <v>1</v>
      </c>
      <c r="S520" s="3">
        <v>5.2488000000000001</v>
      </c>
      <c r="T520" s="507">
        <v>2805.2638174795761</v>
      </c>
      <c r="U520" s="507">
        <v>0</v>
      </c>
      <c r="V520" s="507">
        <v>2805.2638174795761</v>
      </c>
      <c r="W520" s="507">
        <v>42.000982841802887</v>
      </c>
      <c r="X520" s="507">
        <v>2847.264800321379</v>
      </c>
      <c r="Y520" s="507">
        <v>2847.264800321379</v>
      </c>
      <c r="Z520" s="507">
        <v>14944.723483926855</v>
      </c>
      <c r="AA520" s="507">
        <v>14944.723483926855</v>
      </c>
      <c r="AB520" s="507">
        <v>14944.723483926855</v>
      </c>
      <c r="AC520" s="507">
        <v>0</v>
      </c>
      <c r="AD520" s="507">
        <v>0</v>
      </c>
      <c r="AE520" s="507">
        <v>0</v>
      </c>
      <c r="AF520" s="507"/>
      <c r="AG520" s="507"/>
      <c r="AH520" s="507">
        <v>0</v>
      </c>
      <c r="AI520" s="507">
        <v>0</v>
      </c>
      <c r="AJ520" s="507">
        <v>0</v>
      </c>
      <c r="AK520" s="507">
        <v>0</v>
      </c>
      <c r="AL520" s="507">
        <v>0</v>
      </c>
      <c r="AM520" s="507">
        <v>0</v>
      </c>
      <c r="AN520" s="507"/>
      <c r="AO520" s="507"/>
    </row>
    <row r="521" spans="1:41">
      <c r="A521" s="2" t="s">
        <v>1163</v>
      </c>
      <c r="B521" s="2" t="s">
        <v>338</v>
      </c>
      <c r="C521" s="2" t="s">
        <v>328</v>
      </c>
      <c r="D521" s="2" t="s">
        <v>18</v>
      </c>
      <c r="E521" s="2" t="s">
        <v>19</v>
      </c>
      <c r="F521" s="2" t="s">
        <v>20</v>
      </c>
      <c r="G521" s="2" t="s">
        <v>21</v>
      </c>
      <c r="H521">
        <v>1</v>
      </c>
      <c r="I521" s="2" t="s">
        <v>526</v>
      </c>
      <c r="J521" s="3">
        <v>1</v>
      </c>
      <c r="K521" s="3">
        <v>5.2488000000000001</v>
      </c>
      <c r="L521" s="507">
        <v>92316.750794131629</v>
      </c>
      <c r="M521" s="507">
        <v>0</v>
      </c>
      <c r="N521" s="507">
        <v>92316.750794131629</v>
      </c>
      <c r="O521" s="507">
        <v>2327.9206709808518</v>
      </c>
      <c r="P521">
        <v>1</v>
      </c>
      <c r="Q521" s="2" t="s">
        <v>526</v>
      </c>
      <c r="R521" s="3">
        <v>1</v>
      </c>
      <c r="S521" s="3">
        <v>5.2488000000000001</v>
      </c>
      <c r="T521" s="507">
        <v>92316.750794131629</v>
      </c>
      <c r="U521" s="507">
        <v>0</v>
      </c>
      <c r="V521" s="507">
        <v>92316.750794131629</v>
      </c>
      <c r="W521" s="507">
        <v>2327.9206709808518</v>
      </c>
      <c r="X521" s="507">
        <v>94644.671465112478</v>
      </c>
      <c r="Y521" s="507">
        <v>94644.671465112478</v>
      </c>
      <c r="Z521" s="507">
        <v>496770.9515860824</v>
      </c>
      <c r="AA521" s="507">
        <v>496770.9515860824</v>
      </c>
      <c r="AB521" s="507">
        <v>496770.9515860824</v>
      </c>
      <c r="AC521" s="507">
        <v>0</v>
      </c>
      <c r="AD521" s="507">
        <v>0</v>
      </c>
      <c r="AE521" s="507">
        <v>0</v>
      </c>
      <c r="AF521" s="507"/>
      <c r="AG521" s="507"/>
      <c r="AH521" s="507">
        <v>0</v>
      </c>
      <c r="AI521" s="507">
        <v>0</v>
      </c>
      <c r="AJ521" s="507">
        <v>0</v>
      </c>
      <c r="AK521" s="507">
        <v>0</v>
      </c>
      <c r="AL521" s="507">
        <v>0</v>
      </c>
      <c r="AM521" s="507">
        <v>0</v>
      </c>
      <c r="AN521" s="507"/>
      <c r="AO521" s="507"/>
    </row>
    <row r="522" spans="1:41">
      <c r="A522" s="2"/>
      <c r="B522" s="2"/>
      <c r="C522" s="2"/>
      <c r="D522" s="2"/>
      <c r="E522" s="2"/>
      <c r="F522" s="2"/>
      <c r="G522" s="2"/>
      <c r="I522" s="2"/>
      <c r="J522" s="3"/>
      <c r="K522" s="3"/>
      <c r="L522" s="507"/>
      <c r="M522" s="507"/>
      <c r="N522" s="507"/>
      <c r="O522" s="507"/>
      <c r="P522">
        <v>1</v>
      </c>
      <c r="Q522" s="2" t="s">
        <v>526</v>
      </c>
      <c r="R522" s="3">
        <v>1</v>
      </c>
      <c r="S522" s="3">
        <v>5.2488000000000001</v>
      </c>
      <c r="T522" s="507">
        <v>1774.7166037840534</v>
      </c>
      <c r="U522" s="507">
        <v>0</v>
      </c>
      <c r="V522" s="507">
        <v>1774.7166037840534</v>
      </c>
      <c r="W522" s="507">
        <v>20.290852557546955</v>
      </c>
      <c r="X522" s="507"/>
      <c r="Y522" s="507">
        <v>1795.0074563416003</v>
      </c>
      <c r="Z522" s="507"/>
      <c r="AA522" s="507">
        <v>9421.6351368457927</v>
      </c>
      <c r="AB522" s="507"/>
      <c r="AC522" s="507"/>
      <c r="AD522" s="507"/>
      <c r="AE522" s="507"/>
      <c r="AF522" s="507"/>
      <c r="AG522" s="507"/>
      <c r="AH522" s="507"/>
      <c r="AI522" s="507">
        <v>0</v>
      </c>
      <c r="AJ522" s="507"/>
      <c r="AK522" s="507"/>
      <c r="AL522" s="507"/>
      <c r="AM522" s="507"/>
      <c r="AN522" s="507"/>
      <c r="AO522" s="507"/>
    </row>
    <row r="523" spans="1:41">
      <c r="A523" s="2" t="s">
        <v>1164</v>
      </c>
      <c r="B523" s="2" t="s">
        <v>342</v>
      </c>
      <c r="C523" s="2" t="s">
        <v>328</v>
      </c>
      <c r="D523" s="2" t="s">
        <v>18</v>
      </c>
      <c r="E523" s="2" t="s">
        <v>19</v>
      </c>
      <c r="F523" s="2" t="s">
        <v>20</v>
      </c>
      <c r="G523" s="2" t="s">
        <v>21</v>
      </c>
      <c r="H523">
        <v>1</v>
      </c>
      <c r="I523" s="2" t="s">
        <v>526</v>
      </c>
      <c r="J523" s="3">
        <v>1</v>
      </c>
      <c r="K523" s="3">
        <v>5.2488000000000001</v>
      </c>
      <c r="L523" s="507">
        <v>40189.414314269328</v>
      </c>
      <c r="M523" s="507">
        <v>0</v>
      </c>
      <c r="N523" s="507">
        <v>40189.414314269328</v>
      </c>
      <c r="O523" s="507">
        <v>979.28206027802764</v>
      </c>
      <c r="P523">
        <v>1</v>
      </c>
      <c r="Q523" s="2" t="s">
        <v>526</v>
      </c>
      <c r="R523" s="3">
        <v>1</v>
      </c>
      <c r="S523" s="3">
        <v>5.2488000000000001</v>
      </c>
      <c r="T523" s="507">
        <v>40189.414314269328</v>
      </c>
      <c r="U523" s="507">
        <v>0</v>
      </c>
      <c r="V523" s="507">
        <v>40189.414314269328</v>
      </c>
      <c r="W523" s="507">
        <v>979.28206027802764</v>
      </c>
      <c r="X523" s="507">
        <v>41168.696374547355</v>
      </c>
      <c r="Y523" s="507">
        <v>41168.696374547355</v>
      </c>
      <c r="Z523" s="507">
        <v>216086.25353072415</v>
      </c>
      <c r="AA523" s="507">
        <v>216086.25353072415</v>
      </c>
      <c r="AB523" s="507">
        <v>216086.25353072415</v>
      </c>
      <c r="AC523" s="507">
        <v>0</v>
      </c>
      <c r="AD523" s="507">
        <v>0</v>
      </c>
      <c r="AE523" s="507">
        <v>0</v>
      </c>
      <c r="AF523" s="507"/>
      <c r="AG523" s="507"/>
      <c r="AH523" s="507">
        <v>0</v>
      </c>
      <c r="AI523" s="507">
        <v>0</v>
      </c>
      <c r="AJ523" s="507">
        <v>0</v>
      </c>
      <c r="AK523" s="507">
        <v>0</v>
      </c>
      <c r="AL523" s="507">
        <v>0</v>
      </c>
      <c r="AM523" s="507">
        <v>0</v>
      </c>
      <c r="AN523" s="507"/>
      <c r="AO523" s="507"/>
    </row>
    <row r="524" spans="1:41">
      <c r="A524" s="2" t="s">
        <v>1165</v>
      </c>
      <c r="B524" s="2" t="s">
        <v>338</v>
      </c>
      <c r="C524" s="2" t="s">
        <v>328</v>
      </c>
      <c r="D524" s="2" t="s">
        <v>18</v>
      </c>
      <c r="E524" s="2" t="s">
        <v>19</v>
      </c>
      <c r="F524" s="2" t="s">
        <v>20</v>
      </c>
      <c r="G524" s="2" t="s">
        <v>21</v>
      </c>
      <c r="H524">
        <v>1</v>
      </c>
      <c r="I524" s="2" t="s">
        <v>526</v>
      </c>
      <c r="J524" s="3">
        <v>1</v>
      </c>
      <c r="K524" s="3">
        <v>5.2488000000000001</v>
      </c>
      <c r="L524" s="507">
        <v>72713.580483930273</v>
      </c>
      <c r="M524" s="507">
        <v>0</v>
      </c>
      <c r="N524" s="507">
        <v>72713.580483930273</v>
      </c>
      <c r="O524" s="507">
        <v>1833.5941964720328</v>
      </c>
      <c r="P524">
        <v>1</v>
      </c>
      <c r="Q524" s="2" t="s">
        <v>526</v>
      </c>
      <c r="R524" s="3">
        <v>1</v>
      </c>
      <c r="S524" s="3">
        <v>5.2488000000000001</v>
      </c>
      <c r="T524" s="507">
        <v>72713.580483930273</v>
      </c>
      <c r="U524" s="507">
        <v>0</v>
      </c>
      <c r="V524" s="507">
        <v>72713.580483930273</v>
      </c>
      <c r="W524" s="507">
        <v>1833.5941964720328</v>
      </c>
      <c r="X524" s="507">
        <v>74547.174680402299</v>
      </c>
      <c r="Y524" s="507">
        <v>74547.174680402299</v>
      </c>
      <c r="Z524" s="507">
        <v>391283.21046249557</v>
      </c>
      <c r="AA524" s="507">
        <v>391283.21046249557</v>
      </c>
      <c r="AB524" s="507">
        <v>391283.21046249557</v>
      </c>
      <c r="AC524" s="507">
        <v>0</v>
      </c>
      <c r="AD524" s="507">
        <v>0</v>
      </c>
      <c r="AE524" s="507">
        <v>0</v>
      </c>
      <c r="AF524" s="507"/>
      <c r="AG524" s="507"/>
      <c r="AH524" s="507">
        <v>0</v>
      </c>
      <c r="AI524" s="507">
        <v>0</v>
      </c>
      <c r="AJ524" s="507">
        <v>0</v>
      </c>
      <c r="AK524" s="507">
        <v>0</v>
      </c>
      <c r="AL524" s="507">
        <v>0</v>
      </c>
      <c r="AM524" s="507">
        <v>0</v>
      </c>
      <c r="AN524" s="507"/>
      <c r="AO524" s="507"/>
    </row>
    <row r="525" spans="1:41">
      <c r="A525" s="2" t="s">
        <v>1166</v>
      </c>
      <c r="B525" s="2" t="s">
        <v>376</v>
      </c>
      <c r="C525" s="2" t="s">
        <v>328</v>
      </c>
      <c r="D525" s="2" t="s">
        <v>18</v>
      </c>
      <c r="E525" s="2" t="s">
        <v>19</v>
      </c>
      <c r="F525" s="2" t="s">
        <v>20</v>
      </c>
      <c r="G525" s="2" t="s">
        <v>21</v>
      </c>
      <c r="H525">
        <v>1</v>
      </c>
      <c r="I525" s="2" t="s">
        <v>526</v>
      </c>
      <c r="J525" s="3">
        <v>1</v>
      </c>
      <c r="K525" s="3">
        <v>5.2488000000000001</v>
      </c>
      <c r="L525" s="507">
        <v>2382.216029426414</v>
      </c>
      <c r="M525" s="507">
        <v>0</v>
      </c>
      <c r="N525" s="507">
        <v>2382.216029426414</v>
      </c>
      <c r="O525" s="507">
        <v>34.69429664994896</v>
      </c>
      <c r="P525">
        <v>1</v>
      </c>
      <c r="Q525" s="2" t="s">
        <v>526</v>
      </c>
      <c r="R525" s="3">
        <v>1</v>
      </c>
      <c r="S525" s="3">
        <v>5.2488000000000001</v>
      </c>
      <c r="T525" s="507">
        <v>2382.216029426414</v>
      </c>
      <c r="U525" s="507">
        <v>0</v>
      </c>
      <c r="V525" s="507">
        <v>2382.216029426414</v>
      </c>
      <c r="W525" s="507">
        <v>34.69429664994896</v>
      </c>
      <c r="X525" s="507">
        <v>2416.9103260763632</v>
      </c>
      <c r="Y525" s="507">
        <v>2416.9103260763632</v>
      </c>
      <c r="Z525" s="507">
        <v>12685.878919509616</v>
      </c>
      <c r="AA525" s="507">
        <v>12685.878919509616</v>
      </c>
      <c r="AB525" s="507">
        <v>12685.878919509616</v>
      </c>
      <c r="AC525" s="507">
        <v>0</v>
      </c>
      <c r="AD525" s="507">
        <v>0</v>
      </c>
      <c r="AE525" s="507">
        <v>0</v>
      </c>
      <c r="AF525" s="507"/>
      <c r="AG525" s="507"/>
      <c r="AH525" s="507">
        <v>0</v>
      </c>
      <c r="AI525" s="507">
        <v>0</v>
      </c>
      <c r="AJ525" s="507">
        <v>0</v>
      </c>
      <c r="AK525" s="507">
        <v>0</v>
      </c>
      <c r="AL525" s="507">
        <v>0</v>
      </c>
      <c r="AM525" s="507">
        <v>0</v>
      </c>
      <c r="AN525" s="507"/>
      <c r="AO525" s="507"/>
    </row>
    <row r="526" spans="1:41">
      <c r="A526" s="2" t="s">
        <v>1167</v>
      </c>
      <c r="B526" s="2" t="s">
        <v>1119</v>
      </c>
      <c r="C526" s="2" t="s">
        <v>328</v>
      </c>
      <c r="D526" s="2" t="s">
        <v>18</v>
      </c>
      <c r="E526" s="2" t="s">
        <v>19</v>
      </c>
      <c r="F526" s="2" t="s">
        <v>20</v>
      </c>
      <c r="G526" s="2" t="s">
        <v>21</v>
      </c>
      <c r="H526">
        <v>1</v>
      </c>
      <c r="I526" s="2" t="s">
        <v>526</v>
      </c>
      <c r="J526" s="3">
        <v>1</v>
      </c>
      <c r="K526" s="3">
        <v>5.2488000000000001</v>
      </c>
      <c r="L526" s="507">
        <v>3979.7258295900901</v>
      </c>
      <c r="M526" s="507">
        <v>0</v>
      </c>
      <c r="N526" s="507">
        <v>3979.7258295900901</v>
      </c>
      <c r="O526" s="507">
        <v>57.960333452089188</v>
      </c>
      <c r="P526">
        <v>1</v>
      </c>
      <c r="Q526" s="2" t="s">
        <v>526</v>
      </c>
      <c r="R526" s="3">
        <v>1</v>
      </c>
      <c r="S526" s="3">
        <v>5.2488000000000001</v>
      </c>
      <c r="T526" s="507">
        <v>3979.7258295900901</v>
      </c>
      <c r="U526" s="507">
        <v>0</v>
      </c>
      <c r="V526" s="507">
        <v>3979.7258295900901</v>
      </c>
      <c r="W526" s="507">
        <v>57.960333452089188</v>
      </c>
      <c r="X526" s="507">
        <v>4037.6861630421795</v>
      </c>
      <c r="Y526" s="507">
        <v>4037.6861630421795</v>
      </c>
      <c r="Z526" s="507">
        <v>21193.007132575793</v>
      </c>
      <c r="AA526" s="507">
        <v>21193.007132575793</v>
      </c>
      <c r="AB526" s="507">
        <v>21193.007132575793</v>
      </c>
      <c r="AC526" s="507">
        <v>0</v>
      </c>
      <c r="AD526" s="507">
        <v>0</v>
      </c>
      <c r="AE526" s="507">
        <v>0</v>
      </c>
      <c r="AF526" s="507"/>
      <c r="AG526" s="507"/>
      <c r="AH526" s="507">
        <v>0</v>
      </c>
      <c r="AI526" s="507">
        <v>0</v>
      </c>
      <c r="AJ526" s="507">
        <v>0</v>
      </c>
      <c r="AK526" s="507">
        <v>0</v>
      </c>
      <c r="AL526" s="507">
        <v>0</v>
      </c>
      <c r="AM526" s="507">
        <v>0</v>
      </c>
      <c r="AN526" s="507"/>
      <c r="AO526" s="507"/>
    </row>
    <row r="527" spans="1:41">
      <c r="A527" s="2" t="s">
        <v>1168</v>
      </c>
      <c r="B527" s="2" t="s">
        <v>1169</v>
      </c>
      <c r="C527" s="2" t="s">
        <v>328</v>
      </c>
      <c r="D527" s="2" t="s">
        <v>18</v>
      </c>
      <c r="E527" s="2" t="s">
        <v>19</v>
      </c>
      <c r="F527" s="2" t="s">
        <v>20</v>
      </c>
      <c r="G527" s="2" t="s">
        <v>21</v>
      </c>
      <c r="H527">
        <v>1</v>
      </c>
      <c r="I527" s="2" t="s">
        <v>526</v>
      </c>
      <c r="J527" s="3">
        <v>1</v>
      </c>
      <c r="K527" s="3">
        <v>5.2488000000000001</v>
      </c>
      <c r="L527" s="507">
        <v>20438.975891997146</v>
      </c>
      <c r="M527" s="507">
        <v>0</v>
      </c>
      <c r="N527" s="507">
        <v>20438.975891997146</v>
      </c>
      <c r="O527" s="507">
        <v>297.67093173163931</v>
      </c>
      <c r="P527">
        <v>1</v>
      </c>
      <c r="Q527" s="2" t="s">
        <v>526</v>
      </c>
      <c r="R527" s="3">
        <v>1</v>
      </c>
      <c r="S527" s="3">
        <v>5.2488000000000001</v>
      </c>
      <c r="T527" s="507">
        <v>20438.975891997146</v>
      </c>
      <c r="U527" s="507">
        <v>0</v>
      </c>
      <c r="V527" s="507">
        <v>20438.975891997146</v>
      </c>
      <c r="W527" s="507">
        <v>297.67093173163931</v>
      </c>
      <c r="X527" s="507">
        <v>20736.646823728785</v>
      </c>
      <c r="Y527" s="507">
        <v>20736.646823728785</v>
      </c>
      <c r="Z527" s="507">
        <v>108842.51184838764</v>
      </c>
      <c r="AA527" s="507">
        <v>108842.51184838764</v>
      </c>
      <c r="AB527" s="507">
        <v>108842.51184838764</v>
      </c>
      <c r="AC527" s="507">
        <v>0</v>
      </c>
      <c r="AD527" s="507">
        <v>0</v>
      </c>
      <c r="AE527" s="507">
        <v>0</v>
      </c>
      <c r="AF527" s="507"/>
      <c r="AG527" s="507"/>
      <c r="AH527" s="507">
        <v>0</v>
      </c>
      <c r="AI527" s="507">
        <v>0</v>
      </c>
      <c r="AJ527" s="507">
        <v>0</v>
      </c>
      <c r="AK527" s="507">
        <v>0</v>
      </c>
      <c r="AL527" s="507">
        <v>0</v>
      </c>
      <c r="AM527" s="507">
        <v>0</v>
      </c>
      <c r="AN527" s="507"/>
      <c r="AO527" s="507"/>
    </row>
    <row r="528" spans="1:41">
      <c r="A528" s="2" t="s">
        <v>1170</v>
      </c>
      <c r="B528" s="2" t="s">
        <v>365</v>
      </c>
      <c r="C528" s="2" t="s">
        <v>328</v>
      </c>
      <c r="D528" s="2" t="s">
        <v>18</v>
      </c>
      <c r="E528" s="2" t="s">
        <v>19</v>
      </c>
      <c r="F528" s="2" t="s">
        <v>20</v>
      </c>
      <c r="G528" s="2" t="s">
        <v>21</v>
      </c>
      <c r="H528">
        <v>1</v>
      </c>
      <c r="I528" s="2" t="s">
        <v>526</v>
      </c>
      <c r="J528" s="3">
        <v>1</v>
      </c>
      <c r="K528" s="3">
        <v>5.2488000000000001</v>
      </c>
      <c r="L528" s="507">
        <v>1001.2052576231163</v>
      </c>
      <c r="M528" s="507">
        <v>0</v>
      </c>
      <c r="N528" s="507">
        <v>1001.2052576231163</v>
      </c>
      <c r="O528" s="507">
        <v>14.581430787933089</v>
      </c>
      <c r="P528">
        <v>1</v>
      </c>
      <c r="Q528" s="2" t="s">
        <v>526</v>
      </c>
      <c r="R528" s="3">
        <v>1</v>
      </c>
      <c r="S528" s="3">
        <v>5.2488000000000001</v>
      </c>
      <c r="T528" s="507">
        <v>1001.2052576231163</v>
      </c>
      <c r="U528" s="507">
        <v>0</v>
      </c>
      <c r="V528" s="507">
        <v>1001.2052576231163</v>
      </c>
      <c r="W528" s="507">
        <v>14.581430787933089</v>
      </c>
      <c r="X528" s="507">
        <v>1015.7866884110493</v>
      </c>
      <c r="Y528" s="507">
        <v>1015.7866884110493</v>
      </c>
      <c r="Z528" s="507">
        <v>5331.6611701319162</v>
      </c>
      <c r="AA528" s="507">
        <v>5331.6611701319162</v>
      </c>
      <c r="AB528" s="507">
        <v>5331.6611701319162</v>
      </c>
      <c r="AC528" s="507">
        <v>0</v>
      </c>
      <c r="AD528" s="507">
        <v>0</v>
      </c>
      <c r="AE528" s="507">
        <v>0</v>
      </c>
      <c r="AF528" s="507"/>
      <c r="AG528" s="507"/>
      <c r="AH528" s="507">
        <v>0</v>
      </c>
      <c r="AI528" s="507">
        <v>0</v>
      </c>
      <c r="AJ528" s="507">
        <v>0</v>
      </c>
      <c r="AK528" s="507">
        <v>0</v>
      </c>
      <c r="AL528" s="507">
        <v>0</v>
      </c>
      <c r="AM528" s="507">
        <v>0</v>
      </c>
      <c r="AN528" s="507"/>
      <c r="AO528" s="507"/>
    </row>
    <row r="529" spans="1:41">
      <c r="A529" s="2" t="s">
        <v>1171</v>
      </c>
      <c r="B529" s="2" t="s">
        <v>363</v>
      </c>
      <c r="C529" s="2" t="s">
        <v>328</v>
      </c>
      <c r="D529" s="2" t="s">
        <v>348</v>
      </c>
      <c r="E529" s="2" t="s">
        <v>19</v>
      </c>
      <c r="F529" s="2" t="s">
        <v>20</v>
      </c>
      <c r="G529" s="2" t="s">
        <v>21</v>
      </c>
      <c r="H529">
        <v>1</v>
      </c>
      <c r="I529" s="2" t="s">
        <v>526</v>
      </c>
      <c r="J529" s="3">
        <v>1</v>
      </c>
      <c r="K529" s="3">
        <v>5.2488000000000001</v>
      </c>
      <c r="L529" s="507">
        <v>2029.3675603786239</v>
      </c>
      <c r="M529" s="507">
        <v>0</v>
      </c>
      <c r="N529" s="507">
        <v>2029.3675603786239</v>
      </c>
      <c r="O529" s="507">
        <v>29.55539240024283</v>
      </c>
      <c r="P529">
        <v>1</v>
      </c>
      <c r="Q529" s="2" t="s">
        <v>526</v>
      </c>
      <c r="R529" s="3">
        <v>1</v>
      </c>
      <c r="S529" s="3">
        <v>5.2488000000000001</v>
      </c>
      <c r="T529" s="507">
        <v>2029.3675603786239</v>
      </c>
      <c r="U529" s="507">
        <v>0</v>
      </c>
      <c r="V529" s="507">
        <v>2029.3675603786239</v>
      </c>
      <c r="W529" s="507">
        <v>29.55539240024283</v>
      </c>
      <c r="X529" s="507">
        <v>2058.9229527788666</v>
      </c>
      <c r="Y529" s="507">
        <v>2058.9229527788666</v>
      </c>
      <c r="Z529" s="507">
        <v>10806.874794545714</v>
      </c>
      <c r="AA529" s="507">
        <v>10806.874794545714</v>
      </c>
      <c r="AB529" s="507">
        <v>10806.874794545714</v>
      </c>
      <c r="AC529" s="507">
        <v>0</v>
      </c>
      <c r="AD529" s="507">
        <v>0</v>
      </c>
      <c r="AE529" s="507">
        <v>0</v>
      </c>
      <c r="AF529" s="507"/>
      <c r="AG529" s="507"/>
      <c r="AH529" s="507">
        <v>0</v>
      </c>
      <c r="AI529" s="507">
        <v>0</v>
      </c>
      <c r="AJ529" s="507">
        <v>0</v>
      </c>
      <c r="AK529" s="507">
        <v>0</v>
      </c>
      <c r="AL529" s="507">
        <v>0</v>
      </c>
      <c r="AM529" s="507">
        <v>0</v>
      </c>
      <c r="AN529" s="507"/>
      <c r="AO529" s="507"/>
    </row>
    <row r="530" spans="1:41">
      <c r="A530" s="2" t="s">
        <v>1172</v>
      </c>
      <c r="B530" s="2" t="s">
        <v>1117</v>
      </c>
      <c r="C530" s="2" t="s">
        <v>328</v>
      </c>
      <c r="D530" s="2" t="s">
        <v>18</v>
      </c>
      <c r="E530" s="2" t="s">
        <v>19</v>
      </c>
      <c r="F530" s="2" t="s">
        <v>20</v>
      </c>
      <c r="G530" s="2" t="s">
        <v>21</v>
      </c>
      <c r="H530">
        <v>1</v>
      </c>
      <c r="I530" s="2" t="s">
        <v>526</v>
      </c>
      <c r="J530" s="3">
        <v>1</v>
      </c>
      <c r="K530" s="3">
        <v>5.2488000000000001</v>
      </c>
      <c r="L530" s="507">
        <v>392.84340889483661</v>
      </c>
      <c r="M530" s="507">
        <v>0</v>
      </c>
      <c r="N530" s="507">
        <v>392.84340889483661</v>
      </c>
      <c r="O530" s="507">
        <v>5.7212383137155127</v>
      </c>
      <c r="P530">
        <v>1</v>
      </c>
      <c r="Q530" s="2" t="s">
        <v>526</v>
      </c>
      <c r="R530" s="3">
        <v>1</v>
      </c>
      <c r="S530" s="3">
        <v>5.2488000000000001</v>
      </c>
      <c r="T530" s="507">
        <v>392.84340889483661</v>
      </c>
      <c r="U530" s="507">
        <v>0</v>
      </c>
      <c r="V530" s="507">
        <v>392.84340889483661</v>
      </c>
      <c r="W530" s="507">
        <v>5.7212383137155127</v>
      </c>
      <c r="X530" s="507">
        <v>398.56464720855212</v>
      </c>
      <c r="Y530" s="507">
        <v>398.56464720855212</v>
      </c>
      <c r="Z530" s="507">
        <v>2091.9861202682482</v>
      </c>
      <c r="AA530" s="507">
        <v>2091.9861202682482</v>
      </c>
      <c r="AB530" s="507">
        <v>2091.9861202682482</v>
      </c>
      <c r="AC530" s="507">
        <v>0</v>
      </c>
      <c r="AD530" s="507">
        <v>0</v>
      </c>
      <c r="AE530" s="507">
        <v>0</v>
      </c>
      <c r="AF530" s="507"/>
      <c r="AG530" s="507"/>
      <c r="AH530" s="507">
        <v>0</v>
      </c>
      <c r="AI530" s="507">
        <v>0</v>
      </c>
      <c r="AJ530" s="507">
        <v>0</v>
      </c>
      <c r="AK530" s="507">
        <v>0</v>
      </c>
      <c r="AL530" s="507">
        <v>0</v>
      </c>
      <c r="AM530" s="507">
        <v>0</v>
      </c>
      <c r="AN530" s="507"/>
      <c r="AO530" s="507"/>
    </row>
    <row r="531" spans="1:41">
      <c r="A531" s="2" t="s">
        <v>1173</v>
      </c>
      <c r="B531" s="2" t="s">
        <v>346</v>
      </c>
      <c r="C531" s="2" t="s">
        <v>328</v>
      </c>
      <c r="D531" s="2" t="s">
        <v>18</v>
      </c>
      <c r="E531" s="2" t="s">
        <v>19</v>
      </c>
      <c r="F531" s="2" t="s">
        <v>20</v>
      </c>
      <c r="G531" s="2" t="s">
        <v>21</v>
      </c>
      <c r="H531">
        <v>1</v>
      </c>
      <c r="I531" s="2" t="s">
        <v>526</v>
      </c>
      <c r="J531" s="3">
        <v>1</v>
      </c>
      <c r="K531" s="3">
        <v>5.2488000000000001</v>
      </c>
      <c r="L531" s="507">
        <v>90607.266129626223</v>
      </c>
      <c r="M531" s="507">
        <v>0</v>
      </c>
      <c r="N531" s="507">
        <v>90607.266129626223</v>
      </c>
      <c r="O531" s="507">
        <v>2194.9611013826006</v>
      </c>
      <c r="P531">
        <v>1</v>
      </c>
      <c r="Q531" s="2" t="s">
        <v>526</v>
      </c>
      <c r="R531" s="3">
        <v>1</v>
      </c>
      <c r="S531" s="3">
        <v>5.2488000000000001</v>
      </c>
      <c r="T531" s="507">
        <v>90607.266129626223</v>
      </c>
      <c r="U531" s="507">
        <v>0</v>
      </c>
      <c r="V531" s="507">
        <v>90607.266129626223</v>
      </c>
      <c r="W531" s="507">
        <v>2194.9611013826006</v>
      </c>
      <c r="X531" s="507">
        <v>92802.22723100883</v>
      </c>
      <c r="Y531" s="507">
        <v>92802.22723100883</v>
      </c>
      <c r="Z531" s="507">
        <v>487100.33029011916</v>
      </c>
      <c r="AA531" s="507">
        <v>487100.33029011916</v>
      </c>
      <c r="AB531" s="507">
        <v>487100.33029011916</v>
      </c>
      <c r="AC531" s="507">
        <v>0</v>
      </c>
      <c r="AD531" s="507">
        <v>0</v>
      </c>
      <c r="AE531" s="507">
        <v>0</v>
      </c>
      <c r="AF531" s="507"/>
      <c r="AG531" s="507"/>
      <c r="AH531" s="507">
        <v>0</v>
      </c>
      <c r="AI531" s="507">
        <v>0</v>
      </c>
      <c r="AJ531" s="507">
        <v>0</v>
      </c>
      <c r="AK531" s="507">
        <v>0</v>
      </c>
      <c r="AL531" s="507">
        <v>0</v>
      </c>
      <c r="AM531" s="507">
        <v>0</v>
      </c>
      <c r="AN531" s="507"/>
      <c r="AO531" s="507"/>
    </row>
    <row r="532" spans="1:41">
      <c r="A532" s="2" t="s">
        <v>1174</v>
      </c>
      <c r="B532" s="2" t="s">
        <v>377</v>
      </c>
      <c r="C532" s="2" t="s">
        <v>328</v>
      </c>
      <c r="D532" s="2" t="s">
        <v>18</v>
      </c>
      <c r="E532" s="2" t="s">
        <v>19</v>
      </c>
      <c r="F532" s="2" t="s">
        <v>20</v>
      </c>
      <c r="G532" s="2" t="s">
        <v>21</v>
      </c>
      <c r="H532">
        <v>1</v>
      </c>
      <c r="I532" s="2" t="s">
        <v>526</v>
      </c>
      <c r="J532" s="3">
        <v>1</v>
      </c>
      <c r="K532" s="3">
        <v>5.2488000000000001</v>
      </c>
      <c r="L532" s="507">
        <v>3265.6395144493431</v>
      </c>
      <c r="M532" s="507">
        <v>0</v>
      </c>
      <c r="N532" s="507">
        <v>3265.6395144493431</v>
      </c>
      <c r="O532" s="507">
        <v>47.115884736302554</v>
      </c>
      <c r="P532">
        <v>1</v>
      </c>
      <c r="Q532" s="2" t="s">
        <v>526</v>
      </c>
      <c r="R532" s="3">
        <v>1</v>
      </c>
      <c r="S532" s="3">
        <v>5.2488000000000001</v>
      </c>
      <c r="T532" s="507">
        <v>3265.6395144493431</v>
      </c>
      <c r="U532" s="507">
        <v>0</v>
      </c>
      <c r="V532" s="507">
        <v>3265.6395144493431</v>
      </c>
      <c r="W532" s="507">
        <v>47.115884736302554</v>
      </c>
      <c r="X532" s="507">
        <v>3312.7553991856457</v>
      </c>
      <c r="Y532" s="507">
        <v>3312.7553991856457</v>
      </c>
      <c r="Z532" s="507">
        <v>17387.990539245617</v>
      </c>
      <c r="AA532" s="507">
        <v>17387.990539245617</v>
      </c>
      <c r="AB532" s="507">
        <v>17387.990539245617</v>
      </c>
      <c r="AC532" s="507">
        <v>0</v>
      </c>
      <c r="AD532" s="507">
        <v>0</v>
      </c>
      <c r="AE532" s="507">
        <v>0</v>
      </c>
      <c r="AF532" s="507"/>
      <c r="AG532" s="507"/>
      <c r="AH532" s="507">
        <v>0</v>
      </c>
      <c r="AI532" s="507">
        <v>0</v>
      </c>
      <c r="AJ532" s="507">
        <v>0</v>
      </c>
      <c r="AK532" s="507">
        <v>0</v>
      </c>
      <c r="AL532" s="507">
        <v>0</v>
      </c>
      <c r="AM532" s="507">
        <v>0</v>
      </c>
      <c r="AN532" s="507"/>
      <c r="AO532" s="507"/>
    </row>
    <row r="533" spans="1:41">
      <c r="A533" s="2" t="s">
        <v>1175</v>
      </c>
      <c r="B533" s="2" t="s">
        <v>1096</v>
      </c>
      <c r="C533" s="2" t="s">
        <v>328</v>
      </c>
      <c r="D533" s="2" t="s">
        <v>18</v>
      </c>
      <c r="E533" s="2" t="s">
        <v>19</v>
      </c>
      <c r="F533" s="2" t="s">
        <v>20</v>
      </c>
      <c r="G533" s="2" t="s">
        <v>21</v>
      </c>
      <c r="H533">
        <v>1</v>
      </c>
      <c r="I533" s="2" t="s">
        <v>526</v>
      </c>
      <c r="J533" s="3">
        <v>1</v>
      </c>
      <c r="K533" s="3">
        <v>5.2488000000000001</v>
      </c>
      <c r="L533" s="507">
        <v>4440.1473156682505</v>
      </c>
      <c r="M533" s="507">
        <v>0</v>
      </c>
      <c r="N533" s="507">
        <v>4440.1473156682505</v>
      </c>
      <c r="O533" s="507">
        <v>64.665852962771723</v>
      </c>
      <c r="P533">
        <v>1</v>
      </c>
      <c r="Q533" s="2" t="s">
        <v>526</v>
      </c>
      <c r="R533" s="3">
        <v>1</v>
      </c>
      <c r="S533" s="3">
        <v>5.2488000000000001</v>
      </c>
      <c r="T533" s="507">
        <v>4440.1473156682505</v>
      </c>
      <c r="U533" s="507">
        <v>0</v>
      </c>
      <c r="V533" s="507">
        <v>4440.1473156682505</v>
      </c>
      <c r="W533" s="507">
        <v>64.665852962771723</v>
      </c>
      <c r="X533" s="507">
        <v>4504.8131686310226</v>
      </c>
      <c r="Y533" s="507">
        <v>4504.8131686310226</v>
      </c>
      <c r="Z533" s="507">
        <v>23644.863359510513</v>
      </c>
      <c r="AA533" s="507">
        <v>23644.863359510513</v>
      </c>
      <c r="AB533" s="507">
        <v>23644.863359510513</v>
      </c>
      <c r="AC533" s="507">
        <v>0</v>
      </c>
      <c r="AD533" s="507">
        <v>0</v>
      </c>
      <c r="AE533" s="507">
        <v>0</v>
      </c>
      <c r="AF533" s="507"/>
      <c r="AG533" s="507"/>
      <c r="AH533" s="507">
        <v>0</v>
      </c>
      <c r="AI533" s="507">
        <v>0</v>
      </c>
      <c r="AJ533" s="507">
        <v>0</v>
      </c>
      <c r="AK533" s="507">
        <v>0</v>
      </c>
      <c r="AL533" s="507">
        <v>0</v>
      </c>
      <c r="AM533" s="507">
        <v>0</v>
      </c>
      <c r="AN533" s="507"/>
      <c r="AO533" s="507"/>
    </row>
    <row r="534" spans="1:41">
      <c r="A534" s="2" t="s">
        <v>1176</v>
      </c>
      <c r="B534" s="2" t="s">
        <v>361</v>
      </c>
      <c r="C534" s="2" t="s">
        <v>328</v>
      </c>
      <c r="D534" s="2" t="s">
        <v>18</v>
      </c>
      <c r="E534" s="2" t="s">
        <v>19</v>
      </c>
      <c r="F534" s="2" t="s">
        <v>20</v>
      </c>
      <c r="G534" s="2" t="s">
        <v>21</v>
      </c>
      <c r="H534">
        <v>1</v>
      </c>
      <c r="I534" s="2" t="s">
        <v>526</v>
      </c>
      <c r="J534" s="3">
        <v>1</v>
      </c>
      <c r="K534" s="3">
        <v>5.2488000000000001</v>
      </c>
      <c r="L534" s="507">
        <v>1547.3603869962785</v>
      </c>
      <c r="M534" s="507">
        <v>0</v>
      </c>
      <c r="N534" s="507">
        <v>1547.3603869962785</v>
      </c>
      <c r="O534" s="507">
        <v>22.324959844544853</v>
      </c>
      <c r="P534">
        <v>1</v>
      </c>
      <c r="Q534" s="2" t="s">
        <v>526</v>
      </c>
      <c r="R534" s="3">
        <v>1</v>
      </c>
      <c r="S534" s="3">
        <v>5.2488000000000001</v>
      </c>
      <c r="T534" s="507">
        <v>1547.3603869962785</v>
      </c>
      <c r="U534" s="507">
        <v>0</v>
      </c>
      <c r="V534" s="507">
        <v>1547.3603869962785</v>
      </c>
      <c r="W534" s="507">
        <v>22.324959844544853</v>
      </c>
      <c r="X534" s="507">
        <v>1569.6853468408233</v>
      </c>
      <c r="Y534" s="507">
        <v>1569.6853468408233</v>
      </c>
      <c r="Z534" s="507">
        <v>8238.9644484981127</v>
      </c>
      <c r="AA534" s="507">
        <v>8238.9644484981127</v>
      </c>
      <c r="AB534" s="507">
        <v>8238.9644484981127</v>
      </c>
      <c r="AC534" s="507">
        <v>0</v>
      </c>
      <c r="AD534" s="507">
        <v>0</v>
      </c>
      <c r="AE534" s="507">
        <v>0</v>
      </c>
      <c r="AF534" s="507"/>
      <c r="AG534" s="507"/>
      <c r="AH534" s="507">
        <v>0</v>
      </c>
      <c r="AI534" s="507">
        <v>0</v>
      </c>
      <c r="AJ534" s="507">
        <v>0</v>
      </c>
      <c r="AK534" s="507">
        <v>0</v>
      </c>
      <c r="AL534" s="507">
        <v>0</v>
      </c>
      <c r="AM534" s="507">
        <v>0</v>
      </c>
      <c r="AN534" s="507"/>
      <c r="AO534" s="507"/>
    </row>
    <row r="535" spans="1:41">
      <c r="A535" s="2" t="s">
        <v>1177</v>
      </c>
      <c r="B535" s="2" t="s">
        <v>361</v>
      </c>
      <c r="C535" s="2" t="s">
        <v>328</v>
      </c>
      <c r="D535" s="2" t="s">
        <v>18</v>
      </c>
      <c r="E535" s="2" t="s">
        <v>19</v>
      </c>
      <c r="F535" s="2" t="s">
        <v>20</v>
      </c>
      <c r="G535" s="2" t="s">
        <v>21</v>
      </c>
      <c r="H535">
        <v>1</v>
      </c>
      <c r="I535" s="2" t="s">
        <v>526</v>
      </c>
      <c r="J535" s="3">
        <v>1</v>
      </c>
      <c r="K535" s="3">
        <v>5.2488000000000001</v>
      </c>
      <c r="L535" s="507">
        <v>1517.258664064836</v>
      </c>
      <c r="M535" s="507">
        <v>0</v>
      </c>
      <c r="N535" s="507">
        <v>1517.258664064836</v>
      </c>
      <c r="O535" s="507">
        <v>21.890701848809258</v>
      </c>
      <c r="P535">
        <v>1</v>
      </c>
      <c r="Q535" s="2" t="s">
        <v>526</v>
      </c>
      <c r="R535" s="3">
        <v>1</v>
      </c>
      <c r="S535" s="3">
        <v>5.2488000000000001</v>
      </c>
      <c r="T535" s="507">
        <v>1517.258664064836</v>
      </c>
      <c r="U535" s="507">
        <v>0</v>
      </c>
      <c r="V535" s="507">
        <v>1517.258664064836</v>
      </c>
      <c r="W535" s="507">
        <v>21.890701848809258</v>
      </c>
      <c r="X535" s="507">
        <v>1539.1493659136452</v>
      </c>
      <c r="Y535" s="507">
        <v>1539.1493659136452</v>
      </c>
      <c r="Z535" s="507">
        <v>8078.6871918075412</v>
      </c>
      <c r="AA535" s="507">
        <v>8078.6871918075412</v>
      </c>
      <c r="AB535" s="507">
        <v>8078.6871918075412</v>
      </c>
      <c r="AC535" s="507">
        <v>0</v>
      </c>
      <c r="AD535" s="507">
        <v>0</v>
      </c>
      <c r="AE535" s="507">
        <v>0</v>
      </c>
      <c r="AF535" s="507"/>
      <c r="AG535" s="507"/>
      <c r="AH535" s="507">
        <v>0</v>
      </c>
      <c r="AI535" s="507">
        <v>0</v>
      </c>
      <c r="AJ535" s="507">
        <v>0</v>
      </c>
      <c r="AK535" s="507">
        <v>0</v>
      </c>
      <c r="AL535" s="507">
        <v>0</v>
      </c>
      <c r="AM535" s="507">
        <v>0</v>
      </c>
      <c r="AN535" s="507"/>
      <c r="AO535" s="507"/>
    </row>
    <row r="536" spans="1:41">
      <c r="A536" s="2" t="s">
        <v>1178</v>
      </c>
      <c r="B536" s="2" t="s">
        <v>1091</v>
      </c>
      <c r="C536" s="2" t="s">
        <v>328</v>
      </c>
      <c r="D536" s="2" t="s">
        <v>18</v>
      </c>
      <c r="E536" s="2" t="s">
        <v>19</v>
      </c>
      <c r="F536" s="2" t="s">
        <v>20</v>
      </c>
      <c r="G536" s="2" t="s">
        <v>21</v>
      </c>
      <c r="H536">
        <v>1</v>
      </c>
      <c r="I536" s="2" t="s">
        <v>526</v>
      </c>
      <c r="J536" s="3">
        <v>1</v>
      </c>
      <c r="K536" s="3">
        <v>5.2488000000000001</v>
      </c>
      <c r="L536" s="507">
        <v>448.75006390875956</v>
      </c>
      <c r="M536" s="507">
        <v>0</v>
      </c>
      <c r="N536" s="507">
        <v>448.75006390875956</v>
      </c>
      <c r="O536" s="507">
        <v>6.4745430001956281</v>
      </c>
      <c r="P536">
        <v>1</v>
      </c>
      <c r="Q536" s="2" t="s">
        <v>526</v>
      </c>
      <c r="R536" s="3">
        <v>1</v>
      </c>
      <c r="S536" s="3">
        <v>5.2488000000000001</v>
      </c>
      <c r="T536" s="507">
        <v>448.75006390875956</v>
      </c>
      <c r="U536" s="507">
        <v>0</v>
      </c>
      <c r="V536" s="507">
        <v>448.75006390875956</v>
      </c>
      <c r="W536" s="507">
        <v>6.4745430001956281</v>
      </c>
      <c r="X536" s="507">
        <v>455.2246069089552</v>
      </c>
      <c r="Y536" s="507">
        <v>455.2246069089552</v>
      </c>
      <c r="Z536" s="507">
        <v>2389.3829167437243</v>
      </c>
      <c r="AA536" s="507">
        <v>2389.3829167437243</v>
      </c>
      <c r="AB536" s="507">
        <v>2389.3829167437243</v>
      </c>
      <c r="AC536" s="507">
        <v>0</v>
      </c>
      <c r="AD536" s="507">
        <v>0</v>
      </c>
      <c r="AE536" s="507">
        <v>0</v>
      </c>
      <c r="AF536" s="507"/>
      <c r="AG536" s="507"/>
      <c r="AH536" s="507">
        <v>0</v>
      </c>
      <c r="AI536" s="507">
        <v>0</v>
      </c>
      <c r="AJ536" s="507">
        <v>0</v>
      </c>
      <c r="AK536" s="507">
        <v>0</v>
      </c>
      <c r="AL536" s="507">
        <v>0</v>
      </c>
      <c r="AM536" s="507">
        <v>0</v>
      </c>
      <c r="AN536" s="507"/>
      <c r="AO536" s="507"/>
    </row>
    <row r="537" spans="1:41">
      <c r="A537" s="2" t="s">
        <v>1179</v>
      </c>
      <c r="B537" s="2" t="s">
        <v>376</v>
      </c>
      <c r="C537" s="2" t="s">
        <v>328</v>
      </c>
      <c r="D537" s="2" t="s">
        <v>18</v>
      </c>
      <c r="E537" s="2" t="s">
        <v>19</v>
      </c>
      <c r="F537" s="2" t="s">
        <v>20</v>
      </c>
      <c r="G537" s="2" t="s">
        <v>21</v>
      </c>
      <c r="H537">
        <v>1</v>
      </c>
      <c r="I537" s="2" t="s">
        <v>526</v>
      </c>
      <c r="J537" s="3">
        <v>1</v>
      </c>
      <c r="K537" s="3">
        <v>5.2488000000000001</v>
      </c>
      <c r="L537" s="507">
        <v>1604.6065580642241</v>
      </c>
      <c r="M537" s="507">
        <v>0</v>
      </c>
      <c r="N537" s="507">
        <v>1604.6065580642241</v>
      </c>
      <c r="O537" s="507">
        <v>23.150825497149153</v>
      </c>
      <c r="P537">
        <v>1</v>
      </c>
      <c r="Q537" s="2" t="s">
        <v>526</v>
      </c>
      <c r="R537" s="3">
        <v>1</v>
      </c>
      <c r="S537" s="3">
        <v>5.2488000000000001</v>
      </c>
      <c r="T537" s="507">
        <v>1604.6065580642241</v>
      </c>
      <c r="U537" s="507">
        <v>0</v>
      </c>
      <c r="V537" s="507">
        <v>1604.6065580642241</v>
      </c>
      <c r="W537" s="507">
        <v>23.150825497149153</v>
      </c>
      <c r="X537" s="507">
        <v>1627.7573835613732</v>
      </c>
      <c r="Y537" s="507">
        <v>1627.7573835613732</v>
      </c>
      <c r="Z537" s="507">
        <v>8543.7729548369352</v>
      </c>
      <c r="AA537" s="507">
        <v>8543.7729548369352</v>
      </c>
      <c r="AB537" s="507">
        <v>8543.7729548369352</v>
      </c>
      <c r="AC537" s="507">
        <v>0</v>
      </c>
      <c r="AD537" s="507">
        <v>0</v>
      </c>
      <c r="AE537" s="507">
        <v>0</v>
      </c>
      <c r="AF537" s="507"/>
      <c r="AG537" s="507"/>
      <c r="AH537" s="507">
        <v>0</v>
      </c>
      <c r="AI537" s="507">
        <v>0</v>
      </c>
      <c r="AJ537" s="507">
        <v>0</v>
      </c>
      <c r="AK537" s="507">
        <v>0</v>
      </c>
      <c r="AL537" s="507">
        <v>0</v>
      </c>
      <c r="AM537" s="507">
        <v>0</v>
      </c>
      <c r="AN537" s="507"/>
      <c r="AO537" s="507"/>
    </row>
    <row r="538" spans="1:41">
      <c r="A538" s="2" t="s">
        <v>1180</v>
      </c>
      <c r="B538" s="2" t="s">
        <v>1099</v>
      </c>
      <c r="C538" s="2" t="s">
        <v>328</v>
      </c>
      <c r="D538" s="2" t="s">
        <v>18</v>
      </c>
      <c r="E538" s="2" t="s">
        <v>19</v>
      </c>
      <c r="F538" s="2" t="s">
        <v>20</v>
      </c>
      <c r="G538" s="2" t="s">
        <v>21</v>
      </c>
      <c r="H538">
        <v>1</v>
      </c>
      <c r="I538" s="2" t="s">
        <v>526</v>
      </c>
      <c r="J538" s="3">
        <v>1</v>
      </c>
      <c r="K538" s="3">
        <v>5.2488000000000001</v>
      </c>
      <c r="L538" s="507">
        <v>5755.233034027945</v>
      </c>
      <c r="M538" s="507">
        <v>0</v>
      </c>
      <c r="N538" s="507">
        <v>5755.233034027945</v>
      </c>
      <c r="O538" s="507">
        <v>83.035224669289619</v>
      </c>
      <c r="P538">
        <v>1</v>
      </c>
      <c r="Q538" s="2" t="s">
        <v>526</v>
      </c>
      <c r="R538" s="3">
        <v>1</v>
      </c>
      <c r="S538" s="3">
        <v>5.2488000000000001</v>
      </c>
      <c r="T538" s="507">
        <v>5755.233034027945</v>
      </c>
      <c r="U538" s="507">
        <v>0</v>
      </c>
      <c r="V538" s="507">
        <v>5755.233034027945</v>
      </c>
      <c r="W538" s="507">
        <v>83.035224669289619</v>
      </c>
      <c r="X538" s="507">
        <v>5838.2682586972351</v>
      </c>
      <c r="Y538" s="507">
        <v>5838.2682586972351</v>
      </c>
      <c r="Z538" s="507">
        <v>30643.90243625005</v>
      </c>
      <c r="AA538" s="507">
        <v>30643.90243625005</v>
      </c>
      <c r="AB538" s="507">
        <v>30643.90243625005</v>
      </c>
      <c r="AC538" s="507">
        <v>0</v>
      </c>
      <c r="AD538" s="507">
        <v>0</v>
      </c>
      <c r="AE538" s="507">
        <v>0</v>
      </c>
      <c r="AF538" s="507"/>
      <c r="AG538" s="507"/>
      <c r="AH538" s="507">
        <v>0</v>
      </c>
      <c r="AI538" s="507">
        <v>0</v>
      </c>
      <c r="AJ538" s="507">
        <v>0</v>
      </c>
      <c r="AK538" s="507">
        <v>0</v>
      </c>
      <c r="AL538" s="507">
        <v>0</v>
      </c>
      <c r="AM538" s="507">
        <v>0</v>
      </c>
      <c r="AN538" s="507"/>
      <c r="AO538" s="507"/>
    </row>
    <row r="539" spans="1:41">
      <c r="A539" s="2" t="s">
        <v>1181</v>
      </c>
      <c r="B539" s="2" t="s">
        <v>1099</v>
      </c>
      <c r="C539" s="2" t="s">
        <v>328</v>
      </c>
      <c r="D539" s="2" t="s">
        <v>18</v>
      </c>
      <c r="E539" s="2" t="s">
        <v>19</v>
      </c>
      <c r="F539" s="2" t="s">
        <v>20</v>
      </c>
      <c r="G539" s="2" t="s">
        <v>21</v>
      </c>
      <c r="H539">
        <v>1</v>
      </c>
      <c r="I539" s="2" t="s">
        <v>526</v>
      </c>
      <c r="J539" s="3">
        <v>1</v>
      </c>
      <c r="K539" s="3">
        <v>5.2488000000000001</v>
      </c>
      <c r="L539" s="507">
        <v>797.60232544817336</v>
      </c>
      <c r="M539" s="507">
        <v>0</v>
      </c>
      <c r="N539" s="507">
        <v>797.60232544817336</v>
      </c>
      <c r="O539" s="507">
        <v>11.507652253491683</v>
      </c>
      <c r="P539">
        <v>1</v>
      </c>
      <c r="Q539" s="2" t="s">
        <v>526</v>
      </c>
      <c r="R539" s="3">
        <v>1</v>
      </c>
      <c r="S539" s="3">
        <v>5.2488000000000001</v>
      </c>
      <c r="T539" s="507">
        <v>797.60232544817336</v>
      </c>
      <c r="U539" s="507">
        <v>0</v>
      </c>
      <c r="V539" s="507">
        <v>797.60232544817336</v>
      </c>
      <c r="W539" s="507">
        <v>11.507652253491683</v>
      </c>
      <c r="X539" s="507">
        <v>809.109977701665</v>
      </c>
      <c r="Y539" s="507">
        <v>809.109977701665</v>
      </c>
      <c r="Z539" s="507">
        <v>4246.8564509604994</v>
      </c>
      <c r="AA539" s="507">
        <v>4246.8564509604994</v>
      </c>
      <c r="AB539" s="507">
        <v>4246.8564509604994</v>
      </c>
      <c r="AC539" s="507">
        <v>0</v>
      </c>
      <c r="AD539" s="507">
        <v>0</v>
      </c>
      <c r="AE539" s="507">
        <v>0</v>
      </c>
      <c r="AF539" s="507"/>
      <c r="AG539" s="507"/>
      <c r="AH539" s="507">
        <v>0</v>
      </c>
      <c r="AI539" s="507">
        <v>0</v>
      </c>
      <c r="AJ539" s="507">
        <v>0</v>
      </c>
      <c r="AK539" s="507">
        <v>0</v>
      </c>
      <c r="AL539" s="507">
        <v>0</v>
      </c>
      <c r="AM539" s="507">
        <v>0</v>
      </c>
      <c r="AN539" s="507"/>
      <c r="AO539" s="507"/>
    </row>
    <row r="540" spans="1:41">
      <c r="A540" s="2" t="s">
        <v>1182</v>
      </c>
      <c r="B540" s="2" t="s">
        <v>1099</v>
      </c>
      <c r="C540" s="2" t="s">
        <v>328</v>
      </c>
      <c r="D540" s="2" t="s">
        <v>18</v>
      </c>
      <c r="E540" s="2" t="s">
        <v>19</v>
      </c>
      <c r="F540" s="2" t="s">
        <v>20</v>
      </c>
      <c r="G540" s="2" t="s">
        <v>21</v>
      </c>
      <c r="H540">
        <v>1</v>
      </c>
      <c r="I540" s="2" t="s">
        <v>526</v>
      </c>
      <c r="J540" s="3">
        <v>1</v>
      </c>
      <c r="K540" s="3">
        <v>5.2488000000000001</v>
      </c>
      <c r="L540" s="507">
        <v>761.82367624339668</v>
      </c>
      <c r="M540" s="507">
        <v>0</v>
      </c>
      <c r="N540" s="507">
        <v>761.82367624339668</v>
      </c>
      <c r="O540" s="507">
        <v>10.991416983050899</v>
      </c>
      <c r="P540">
        <v>1</v>
      </c>
      <c r="Q540" s="2" t="s">
        <v>526</v>
      </c>
      <c r="R540" s="3">
        <v>1</v>
      </c>
      <c r="S540" s="3">
        <v>5.2488000000000001</v>
      </c>
      <c r="T540" s="507">
        <v>761.82367624339668</v>
      </c>
      <c r="U540" s="507">
        <v>0</v>
      </c>
      <c r="V540" s="507">
        <v>761.82367624339668</v>
      </c>
      <c r="W540" s="507">
        <v>10.991416983050899</v>
      </c>
      <c r="X540" s="507">
        <v>772.81509322644763</v>
      </c>
      <c r="Y540" s="507">
        <v>772.81509322644763</v>
      </c>
      <c r="Z540" s="507">
        <v>4056.3518613269785</v>
      </c>
      <c r="AA540" s="507">
        <v>4056.3518613269785</v>
      </c>
      <c r="AB540" s="507">
        <v>4056.3518613269785</v>
      </c>
      <c r="AC540" s="507">
        <v>0</v>
      </c>
      <c r="AD540" s="507">
        <v>0</v>
      </c>
      <c r="AE540" s="507">
        <v>0</v>
      </c>
      <c r="AF540" s="507"/>
      <c r="AG540" s="507"/>
      <c r="AH540" s="507">
        <v>0</v>
      </c>
      <c r="AI540" s="507">
        <v>0</v>
      </c>
      <c r="AJ540" s="507">
        <v>0</v>
      </c>
      <c r="AK540" s="507">
        <v>0</v>
      </c>
      <c r="AL540" s="507">
        <v>0</v>
      </c>
      <c r="AM540" s="507">
        <v>0</v>
      </c>
      <c r="AN540" s="507"/>
      <c r="AO540" s="507"/>
    </row>
    <row r="541" spans="1:41">
      <c r="A541" s="2" t="s">
        <v>1183</v>
      </c>
      <c r="B541" s="2" t="s">
        <v>375</v>
      </c>
      <c r="C541" s="2" t="s">
        <v>328</v>
      </c>
      <c r="D541" s="2" t="s">
        <v>18</v>
      </c>
      <c r="E541" s="2" t="s">
        <v>19</v>
      </c>
      <c r="F541" s="2" t="s">
        <v>20</v>
      </c>
      <c r="G541" s="2" t="s">
        <v>21</v>
      </c>
      <c r="H541">
        <v>1</v>
      </c>
      <c r="I541" s="2" t="s">
        <v>526</v>
      </c>
      <c r="J541" s="3">
        <v>1</v>
      </c>
      <c r="K541" s="3">
        <v>5.2488000000000001</v>
      </c>
      <c r="L541" s="507">
        <v>448.61878948913022</v>
      </c>
      <c r="M541" s="507">
        <v>0</v>
      </c>
      <c r="N541" s="507">
        <v>448.61878948913022</v>
      </c>
      <c r="O541" s="507">
        <v>6.4725120316781561</v>
      </c>
      <c r="P541">
        <v>1</v>
      </c>
      <c r="Q541" s="2" t="s">
        <v>526</v>
      </c>
      <c r="R541" s="3">
        <v>1</v>
      </c>
      <c r="S541" s="3">
        <v>5.2488000000000001</v>
      </c>
      <c r="T541" s="507">
        <v>448.61878948913022</v>
      </c>
      <c r="U541" s="507">
        <v>0</v>
      </c>
      <c r="V541" s="507">
        <v>448.61878948913022</v>
      </c>
      <c r="W541" s="507">
        <v>6.4725120316781561</v>
      </c>
      <c r="X541" s="507">
        <v>455.09130152080837</v>
      </c>
      <c r="Y541" s="507">
        <v>455.09130152080837</v>
      </c>
      <c r="Z541" s="507">
        <v>2388.6832234224189</v>
      </c>
      <c r="AA541" s="507">
        <v>2388.6832234224189</v>
      </c>
      <c r="AB541" s="507">
        <v>2388.6832234224189</v>
      </c>
      <c r="AC541" s="507">
        <v>0</v>
      </c>
      <c r="AD541" s="507">
        <v>0</v>
      </c>
      <c r="AE541" s="507">
        <v>0</v>
      </c>
      <c r="AF541" s="507"/>
      <c r="AG541" s="507"/>
      <c r="AH541" s="507">
        <v>0</v>
      </c>
      <c r="AI541" s="507">
        <v>0</v>
      </c>
      <c r="AJ541" s="507">
        <v>0</v>
      </c>
      <c r="AK541" s="507">
        <v>0</v>
      </c>
      <c r="AL541" s="507">
        <v>0</v>
      </c>
      <c r="AM541" s="507">
        <v>0</v>
      </c>
      <c r="AN541" s="507"/>
      <c r="AO541" s="507"/>
    </row>
    <row r="542" spans="1:41">
      <c r="A542" s="2" t="s">
        <v>1184</v>
      </c>
      <c r="B542" s="2" t="s">
        <v>377</v>
      </c>
      <c r="C542" s="2" t="s">
        <v>328</v>
      </c>
      <c r="D542" s="2" t="s">
        <v>18</v>
      </c>
      <c r="E542" s="2" t="s">
        <v>19</v>
      </c>
      <c r="F542" s="2" t="s">
        <v>20</v>
      </c>
      <c r="G542" s="2" t="s">
        <v>21</v>
      </c>
      <c r="H542">
        <v>1</v>
      </c>
      <c r="I542" s="2" t="s">
        <v>526</v>
      </c>
      <c r="J542" s="3">
        <v>1</v>
      </c>
      <c r="K542" s="3">
        <v>5.2488000000000001</v>
      </c>
      <c r="L542" s="507">
        <v>3847.647884961923</v>
      </c>
      <c r="M542" s="507">
        <v>0</v>
      </c>
      <c r="N542" s="507">
        <v>3847.647884961923</v>
      </c>
      <c r="O542" s="507">
        <v>55.513016388536755</v>
      </c>
      <c r="P542">
        <v>1</v>
      </c>
      <c r="Q542" s="2" t="s">
        <v>526</v>
      </c>
      <c r="R542" s="3">
        <v>1</v>
      </c>
      <c r="S542" s="3">
        <v>5.2488000000000001</v>
      </c>
      <c r="T542" s="507">
        <v>3847.647884961923</v>
      </c>
      <c r="U542" s="507">
        <v>0</v>
      </c>
      <c r="V542" s="507">
        <v>3847.647884961923</v>
      </c>
      <c r="W542" s="507">
        <v>55.513016388536755</v>
      </c>
      <c r="X542" s="507">
        <v>3903.1609013504599</v>
      </c>
      <c r="Y542" s="507">
        <v>3903.1609013504599</v>
      </c>
      <c r="Z542" s="507">
        <v>20486.910939008296</v>
      </c>
      <c r="AA542" s="507">
        <v>20486.910939008296</v>
      </c>
      <c r="AB542" s="507">
        <v>20486.910939008296</v>
      </c>
      <c r="AC542" s="507">
        <v>0</v>
      </c>
      <c r="AD542" s="507">
        <v>0</v>
      </c>
      <c r="AE542" s="507">
        <v>0</v>
      </c>
      <c r="AF542" s="507"/>
      <c r="AG542" s="507"/>
      <c r="AH542" s="507">
        <v>0</v>
      </c>
      <c r="AI542" s="507">
        <v>0</v>
      </c>
      <c r="AJ542" s="507">
        <v>0</v>
      </c>
      <c r="AK542" s="507">
        <v>0</v>
      </c>
      <c r="AL542" s="507">
        <v>0</v>
      </c>
      <c r="AM542" s="507">
        <v>0</v>
      </c>
      <c r="AN542" s="507"/>
      <c r="AO542" s="507"/>
    </row>
    <row r="543" spans="1:41">
      <c r="A543" s="2" t="s">
        <v>1185</v>
      </c>
      <c r="B543" s="2" t="s">
        <v>372</v>
      </c>
      <c r="C543" s="2" t="s">
        <v>328</v>
      </c>
      <c r="D543" s="2" t="s">
        <v>18</v>
      </c>
      <c r="E543" s="2" t="s">
        <v>19</v>
      </c>
      <c r="F543" s="2" t="s">
        <v>20</v>
      </c>
      <c r="G543" s="2" t="s">
        <v>21</v>
      </c>
      <c r="H543">
        <v>1</v>
      </c>
      <c r="I543" s="2" t="s">
        <v>526</v>
      </c>
      <c r="J543" s="3">
        <v>1</v>
      </c>
      <c r="K543" s="3">
        <v>5.2488000000000001</v>
      </c>
      <c r="L543" s="507">
        <v>968.58476446300665</v>
      </c>
      <c r="M543" s="507">
        <v>0</v>
      </c>
      <c r="N543" s="507">
        <v>968.58476446300665</v>
      </c>
      <c r="O543" s="507">
        <v>13.974540468212469</v>
      </c>
      <c r="P543">
        <v>1</v>
      </c>
      <c r="Q543" s="2" t="s">
        <v>526</v>
      </c>
      <c r="R543" s="3">
        <v>1</v>
      </c>
      <c r="S543" s="3">
        <v>5.2488000000000001</v>
      </c>
      <c r="T543" s="507">
        <v>968.58476446300665</v>
      </c>
      <c r="U543" s="507">
        <v>0</v>
      </c>
      <c r="V543" s="507">
        <v>968.58476446300665</v>
      </c>
      <c r="W543" s="507">
        <v>13.974540468212469</v>
      </c>
      <c r="X543" s="507">
        <v>982.55930493121912</v>
      </c>
      <c r="Y543" s="507">
        <v>982.55930493121912</v>
      </c>
      <c r="Z543" s="507">
        <v>5157.2572797229832</v>
      </c>
      <c r="AA543" s="507">
        <v>5157.2572797229832</v>
      </c>
      <c r="AB543" s="507">
        <v>5157.2572797229832</v>
      </c>
      <c r="AC543" s="507">
        <v>0</v>
      </c>
      <c r="AD543" s="507">
        <v>0</v>
      </c>
      <c r="AE543" s="507">
        <v>0</v>
      </c>
      <c r="AF543" s="507"/>
      <c r="AG543" s="507"/>
      <c r="AH543" s="507">
        <v>0</v>
      </c>
      <c r="AI543" s="507">
        <v>0</v>
      </c>
      <c r="AJ543" s="507">
        <v>0</v>
      </c>
      <c r="AK543" s="507">
        <v>0</v>
      </c>
      <c r="AL543" s="507">
        <v>0</v>
      </c>
      <c r="AM543" s="507">
        <v>0</v>
      </c>
      <c r="AN543" s="507"/>
      <c r="AO543" s="507"/>
    </row>
    <row r="544" spans="1:41">
      <c r="A544" s="2" t="s">
        <v>1186</v>
      </c>
      <c r="B544" s="2" t="s">
        <v>1125</v>
      </c>
      <c r="C544" s="2" t="s">
        <v>328</v>
      </c>
      <c r="D544" s="2" t="s">
        <v>18</v>
      </c>
      <c r="E544" s="2" t="s">
        <v>19</v>
      </c>
      <c r="F544" s="2" t="s">
        <v>20</v>
      </c>
      <c r="G544" s="2" t="s">
        <v>21</v>
      </c>
      <c r="H544">
        <v>1</v>
      </c>
      <c r="I544" s="2" t="s">
        <v>526</v>
      </c>
      <c r="J544" s="3">
        <v>1</v>
      </c>
      <c r="K544" s="3">
        <v>5.2488000000000001</v>
      </c>
      <c r="L544" s="507">
        <v>2022.2039651505006</v>
      </c>
      <c r="M544" s="507">
        <v>0</v>
      </c>
      <c r="N544" s="507">
        <v>2022.2039651505006</v>
      </c>
      <c r="O544" s="507">
        <v>28.900682003610846</v>
      </c>
      <c r="P544">
        <v>1</v>
      </c>
      <c r="Q544" s="2" t="s">
        <v>526</v>
      </c>
      <c r="R544" s="3">
        <v>1</v>
      </c>
      <c r="S544" s="3">
        <v>5.2488000000000001</v>
      </c>
      <c r="T544" s="507">
        <v>2022.2039651505006</v>
      </c>
      <c r="U544" s="507">
        <v>0</v>
      </c>
      <c r="V544" s="507">
        <v>2022.2039651505006</v>
      </c>
      <c r="W544" s="507">
        <v>28.900682003610846</v>
      </c>
      <c r="X544" s="507">
        <v>2051.1046471541113</v>
      </c>
      <c r="Y544" s="507">
        <v>2051.1046471541113</v>
      </c>
      <c r="Z544" s="507">
        <v>10765.8380719825</v>
      </c>
      <c r="AA544" s="507">
        <v>10765.8380719825</v>
      </c>
      <c r="AB544" s="507">
        <v>10765.8380719825</v>
      </c>
      <c r="AC544" s="507">
        <v>0</v>
      </c>
      <c r="AD544" s="507">
        <v>0</v>
      </c>
      <c r="AE544" s="507">
        <v>0</v>
      </c>
      <c r="AF544" s="507"/>
      <c r="AG544" s="507"/>
      <c r="AH544" s="507">
        <v>0</v>
      </c>
      <c r="AI544" s="507">
        <v>0</v>
      </c>
      <c r="AJ544" s="507">
        <v>0</v>
      </c>
      <c r="AK544" s="507">
        <v>0</v>
      </c>
      <c r="AL544" s="507">
        <v>0</v>
      </c>
      <c r="AM544" s="507">
        <v>0</v>
      </c>
      <c r="AN544" s="507"/>
      <c r="AO544" s="507"/>
    </row>
    <row r="545" spans="1:41">
      <c r="A545" s="2" t="s">
        <v>1187</v>
      </c>
      <c r="B545" s="2" t="s">
        <v>366</v>
      </c>
      <c r="C545" s="2" t="s">
        <v>328</v>
      </c>
      <c r="D545" s="2" t="s">
        <v>18</v>
      </c>
      <c r="E545" s="2" t="s">
        <v>19</v>
      </c>
      <c r="F545" s="2" t="s">
        <v>20</v>
      </c>
      <c r="G545" s="2" t="s">
        <v>21</v>
      </c>
      <c r="H545">
        <v>1</v>
      </c>
      <c r="I545" s="2" t="s">
        <v>526</v>
      </c>
      <c r="J545" s="3">
        <v>1</v>
      </c>
      <c r="K545" s="3">
        <v>5.2488000000000001</v>
      </c>
      <c r="L545" s="507">
        <v>1546.6831513124528</v>
      </c>
      <c r="M545" s="507">
        <v>0</v>
      </c>
      <c r="N545" s="507">
        <v>1546.6831513124528</v>
      </c>
      <c r="O545" s="507">
        <v>22.104692077150052</v>
      </c>
      <c r="P545">
        <v>1</v>
      </c>
      <c r="Q545" s="2" t="s">
        <v>526</v>
      </c>
      <c r="R545" s="3">
        <v>1</v>
      </c>
      <c r="S545" s="3">
        <v>5.2488000000000001</v>
      </c>
      <c r="T545" s="507">
        <v>1546.6831513124528</v>
      </c>
      <c r="U545" s="507">
        <v>0</v>
      </c>
      <c r="V545" s="507">
        <v>1546.6831513124528</v>
      </c>
      <c r="W545" s="507">
        <v>22.104692077150052</v>
      </c>
      <c r="X545" s="507">
        <v>1568.7878433896028</v>
      </c>
      <c r="Y545" s="507">
        <v>1568.7878433896028</v>
      </c>
      <c r="Z545" s="507">
        <v>8234.2536323833483</v>
      </c>
      <c r="AA545" s="507">
        <v>8234.2536323833483</v>
      </c>
      <c r="AB545" s="507">
        <v>8234.2536323833483</v>
      </c>
      <c r="AC545" s="507">
        <v>0</v>
      </c>
      <c r="AD545" s="507">
        <v>0</v>
      </c>
      <c r="AE545" s="507">
        <v>0</v>
      </c>
      <c r="AF545" s="507"/>
      <c r="AG545" s="507"/>
      <c r="AH545" s="507">
        <v>0</v>
      </c>
      <c r="AI545" s="507">
        <v>0</v>
      </c>
      <c r="AJ545" s="507">
        <v>0</v>
      </c>
      <c r="AK545" s="507">
        <v>0</v>
      </c>
      <c r="AL545" s="507">
        <v>0</v>
      </c>
      <c r="AM545" s="507">
        <v>0</v>
      </c>
      <c r="AN545" s="507"/>
      <c r="AO545" s="507"/>
    </row>
    <row r="546" spans="1:41">
      <c r="A546" s="2" t="s">
        <v>1188</v>
      </c>
      <c r="B546" s="2" t="s">
        <v>347</v>
      </c>
      <c r="C546" s="2" t="s">
        <v>328</v>
      </c>
      <c r="D546" s="2" t="s">
        <v>348</v>
      </c>
      <c r="E546" s="2" t="s">
        <v>19</v>
      </c>
      <c r="F546" s="2" t="s">
        <v>20</v>
      </c>
      <c r="G546" s="2" t="s">
        <v>21</v>
      </c>
      <c r="H546">
        <v>1</v>
      </c>
      <c r="I546" s="2" t="s">
        <v>526</v>
      </c>
      <c r="J546" s="3">
        <v>1</v>
      </c>
      <c r="K546" s="3">
        <v>5.2488000000000001</v>
      </c>
      <c r="L546" s="507">
        <v>8232.995423458271</v>
      </c>
      <c r="M546" s="507">
        <v>0</v>
      </c>
      <c r="N546" s="507">
        <v>8232.995423458271</v>
      </c>
      <c r="O546" s="507">
        <v>117.66323789216841</v>
      </c>
      <c r="P546">
        <v>1</v>
      </c>
      <c r="Q546" s="2" t="s">
        <v>526</v>
      </c>
      <c r="R546" s="3">
        <v>1</v>
      </c>
      <c r="S546" s="3">
        <v>5.2488000000000001</v>
      </c>
      <c r="T546" s="507">
        <v>8232.995423458271</v>
      </c>
      <c r="U546" s="507">
        <v>0</v>
      </c>
      <c r="V546" s="507">
        <v>8232.995423458271</v>
      </c>
      <c r="W546" s="507">
        <v>117.66323789216841</v>
      </c>
      <c r="X546" s="507">
        <v>8350.6586613504387</v>
      </c>
      <c r="Y546" s="507">
        <v>8350.6586613504387</v>
      </c>
      <c r="Z546" s="507">
        <v>43830.937181696187</v>
      </c>
      <c r="AA546" s="507">
        <v>43830.937181696187</v>
      </c>
      <c r="AB546" s="507">
        <v>43830.937181696187</v>
      </c>
      <c r="AC546" s="507">
        <v>0</v>
      </c>
      <c r="AD546" s="507">
        <v>0</v>
      </c>
      <c r="AE546" s="507">
        <v>0</v>
      </c>
      <c r="AF546" s="507"/>
      <c r="AG546" s="507"/>
      <c r="AH546" s="507">
        <v>0</v>
      </c>
      <c r="AI546" s="507">
        <v>0</v>
      </c>
      <c r="AJ546" s="507">
        <v>0</v>
      </c>
      <c r="AK546" s="507">
        <v>0</v>
      </c>
      <c r="AL546" s="507">
        <v>0</v>
      </c>
      <c r="AM546" s="507">
        <v>0</v>
      </c>
      <c r="AN546" s="507"/>
      <c r="AO546" s="507"/>
    </row>
    <row r="547" spans="1:41">
      <c r="A547" s="2" t="s">
        <v>1189</v>
      </c>
      <c r="B547" s="2" t="s">
        <v>1190</v>
      </c>
      <c r="C547" s="2" t="s">
        <v>328</v>
      </c>
      <c r="D547" s="2" t="s">
        <v>18</v>
      </c>
      <c r="E547" s="2" t="s">
        <v>19</v>
      </c>
      <c r="F547" s="2" t="s">
        <v>20</v>
      </c>
      <c r="G547" s="2" t="s">
        <v>21</v>
      </c>
      <c r="H547">
        <v>1</v>
      </c>
      <c r="I547" s="2" t="s">
        <v>526</v>
      </c>
      <c r="J547" s="3">
        <v>1</v>
      </c>
      <c r="K547" s="3">
        <v>5.2488000000000001</v>
      </c>
      <c r="L547" s="507">
        <v>58697.547054785406</v>
      </c>
      <c r="M547" s="507">
        <v>0</v>
      </c>
      <c r="N547" s="507">
        <v>58697.547054785406</v>
      </c>
      <c r="O547" s="507">
        <v>1056.5558469861373</v>
      </c>
      <c r="P547">
        <v>1</v>
      </c>
      <c r="Q547" s="2" t="s">
        <v>526</v>
      </c>
      <c r="R547" s="3">
        <v>1</v>
      </c>
      <c r="S547" s="3">
        <v>5.2488000000000001</v>
      </c>
      <c r="T547" s="507">
        <v>58697.547054785406</v>
      </c>
      <c r="U547" s="507">
        <v>0</v>
      </c>
      <c r="V547" s="507">
        <v>58697.547054785406</v>
      </c>
      <c r="W547" s="507">
        <v>1056.5558469861373</v>
      </c>
      <c r="X547" s="507">
        <v>59754.102901771541</v>
      </c>
      <c r="Y547" s="507">
        <v>59754.102901771541</v>
      </c>
      <c r="Z547" s="507">
        <v>313637.33531081845</v>
      </c>
      <c r="AA547" s="507">
        <v>313637.33531081845</v>
      </c>
      <c r="AB547" s="507">
        <v>313637.33531081845</v>
      </c>
      <c r="AC547" s="507">
        <v>0</v>
      </c>
      <c r="AD547" s="507">
        <v>0</v>
      </c>
      <c r="AE547" s="507">
        <v>0</v>
      </c>
      <c r="AF547" s="507"/>
      <c r="AG547" s="507"/>
      <c r="AH547" s="507">
        <v>0</v>
      </c>
      <c r="AI547" s="507">
        <v>0</v>
      </c>
      <c r="AJ547" s="507">
        <v>0</v>
      </c>
      <c r="AK547" s="507">
        <v>0</v>
      </c>
      <c r="AL547" s="507">
        <v>0</v>
      </c>
      <c r="AM547" s="507">
        <v>0</v>
      </c>
      <c r="AN547" s="507"/>
      <c r="AO547" s="507"/>
    </row>
    <row r="548" spans="1:41">
      <c r="A548" s="2" t="s">
        <v>1191</v>
      </c>
      <c r="B548" s="2" t="s">
        <v>1190</v>
      </c>
      <c r="C548" s="2" t="s">
        <v>328</v>
      </c>
      <c r="D548" s="2" t="s">
        <v>18</v>
      </c>
      <c r="E548" s="2" t="s">
        <v>19</v>
      </c>
      <c r="F548" s="2" t="s">
        <v>20</v>
      </c>
      <c r="G548" s="2" t="s">
        <v>21</v>
      </c>
      <c r="H548">
        <v>1</v>
      </c>
      <c r="I548" s="2" t="s">
        <v>526</v>
      </c>
      <c r="J548" s="3">
        <v>1</v>
      </c>
      <c r="K548" s="3">
        <v>5.2488000000000001</v>
      </c>
      <c r="L548" s="507">
        <v>58697.547054785406</v>
      </c>
      <c r="M548" s="507">
        <v>0</v>
      </c>
      <c r="N548" s="507">
        <v>58697.547054785406</v>
      </c>
      <c r="O548" s="507">
        <v>1056.5558469861373</v>
      </c>
      <c r="P548">
        <v>1</v>
      </c>
      <c r="Q548" s="2" t="s">
        <v>526</v>
      </c>
      <c r="R548" s="3">
        <v>1</v>
      </c>
      <c r="S548" s="3">
        <v>5.2488000000000001</v>
      </c>
      <c r="T548" s="507">
        <v>58697.547054785406</v>
      </c>
      <c r="U548" s="507">
        <v>0</v>
      </c>
      <c r="V548" s="507">
        <v>58697.547054785406</v>
      </c>
      <c r="W548" s="507">
        <v>1056.5558469861373</v>
      </c>
      <c r="X548" s="507">
        <v>59754.102901771541</v>
      </c>
      <c r="Y548" s="507">
        <v>59754.102901771541</v>
      </c>
      <c r="Z548" s="507">
        <v>313637.33531081845</v>
      </c>
      <c r="AA548" s="507">
        <v>313637.33531081845</v>
      </c>
      <c r="AB548" s="507">
        <v>313637.33531081845</v>
      </c>
      <c r="AC548" s="507">
        <v>0</v>
      </c>
      <c r="AD548" s="507">
        <v>0</v>
      </c>
      <c r="AE548" s="507">
        <v>0</v>
      </c>
      <c r="AF548" s="507"/>
      <c r="AG548" s="507"/>
      <c r="AH548" s="507">
        <v>0</v>
      </c>
      <c r="AI548" s="507">
        <v>0</v>
      </c>
      <c r="AJ548" s="507">
        <v>0</v>
      </c>
      <c r="AK548" s="507">
        <v>0</v>
      </c>
      <c r="AL548" s="507">
        <v>0</v>
      </c>
      <c r="AM548" s="507">
        <v>0</v>
      </c>
      <c r="AN548" s="507"/>
      <c r="AO548" s="507"/>
    </row>
    <row r="549" spans="1:41">
      <c r="A549" s="2" t="s">
        <v>1192</v>
      </c>
      <c r="B549" s="2" t="s">
        <v>368</v>
      </c>
      <c r="C549" s="2" t="s">
        <v>328</v>
      </c>
      <c r="D549" s="2" t="s">
        <v>18</v>
      </c>
      <c r="E549" s="2" t="s">
        <v>19</v>
      </c>
      <c r="F549" s="2" t="s">
        <v>20</v>
      </c>
      <c r="G549" s="2" t="s">
        <v>21</v>
      </c>
      <c r="H549">
        <v>1</v>
      </c>
      <c r="I549" s="2" t="s">
        <v>526</v>
      </c>
      <c r="J549" s="3">
        <v>1</v>
      </c>
      <c r="K549" s="3">
        <v>5.2488000000000001</v>
      </c>
      <c r="L549" s="507">
        <v>2931.6984391316983</v>
      </c>
      <c r="M549" s="507">
        <v>0</v>
      </c>
      <c r="N549" s="507">
        <v>2931.6984391316983</v>
      </c>
      <c r="O549" s="507">
        <v>41.100709888058525</v>
      </c>
      <c r="P549">
        <v>1</v>
      </c>
      <c r="Q549" s="2" t="s">
        <v>526</v>
      </c>
      <c r="R549" s="3">
        <v>1</v>
      </c>
      <c r="S549" s="3">
        <v>5.2488000000000001</v>
      </c>
      <c r="T549" s="507">
        <v>2931.6984391316983</v>
      </c>
      <c r="U549" s="507">
        <v>0</v>
      </c>
      <c r="V549" s="507">
        <v>2931.6984391316983</v>
      </c>
      <c r="W549" s="507">
        <v>41.100709888058525</v>
      </c>
      <c r="X549" s="507">
        <v>2972.7991490197569</v>
      </c>
      <c r="Y549" s="507">
        <v>2972.7991490197569</v>
      </c>
      <c r="Z549" s="507">
        <v>15603.6281733749</v>
      </c>
      <c r="AA549" s="507">
        <v>15603.6281733749</v>
      </c>
      <c r="AB549" s="507">
        <v>15603.6281733749</v>
      </c>
      <c r="AC549" s="507">
        <v>0</v>
      </c>
      <c r="AD549" s="507">
        <v>0</v>
      </c>
      <c r="AE549" s="507">
        <v>0</v>
      </c>
      <c r="AF549" s="507"/>
      <c r="AG549" s="507"/>
      <c r="AH549" s="507">
        <v>0</v>
      </c>
      <c r="AI549" s="507">
        <v>0</v>
      </c>
      <c r="AJ549" s="507">
        <v>0</v>
      </c>
      <c r="AK549" s="507">
        <v>0</v>
      </c>
      <c r="AL549" s="507">
        <v>0</v>
      </c>
      <c r="AM549" s="507">
        <v>0</v>
      </c>
      <c r="AN549" s="507"/>
      <c r="AO549" s="507"/>
    </row>
    <row r="550" spans="1:41">
      <c r="A550" s="2" t="s">
        <v>1193</v>
      </c>
      <c r="B550" s="2" t="s">
        <v>368</v>
      </c>
      <c r="C550" s="2" t="s">
        <v>328</v>
      </c>
      <c r="D550" s="2" t="s">
        <v>18</v>
      </c>
      <c r="E550" s="2" t="s">
        <v>19</v>
      </c>
      <c r="F550" s="2" t="s">
        <v>20</v>
      </c>
      <c r="G550" s="2" t="s">
        <v>21</v>
      </c>
      <c r="H550">
        <v>1</v>
      </c>
      <c r="I550" s="2" t="s">
        <v>526</v>
      </c>
      <c r="J550" s="3">
        <v>1</v>
      </c>
      <c r="K550" s="3">
        <v>5.2488000000000001</v>
      </c>
      <c r="L550" s="507">
        <v>418.38468433704895</v>
      </c>
      <c r="M550" s="507">
        <v>0</v>
      </c>
      <c r="N550" s="507">
        <v>418.38468433704895</v>
      </c>
      <c r="O550" s="507">
        <v>5.8654370784559466</v>
      </c>
      <c r="P550">
        <v>1</v>
      </c>
      <c r="Q550" s="2" t="s">
        <v>526</v>
      </c>
      <c r="R550" s="3">
        <v>1</v>
      </c>
      <c r="S550" s="3">
        <v>5.2488000000000001</v>
      </c>
      <c r="T550" s="507">
        <v>418.38468433704895</v>
      </c>
      <c r="U550" s="507">
        <v>0</v>
      </c>
      <c r="V550" s="507">
        <v>418.38468433704895</v>
      </c>
      <c r="W550" s="507">
        <v>5.8654370784559466</v>
      </c>
      <c r="X550" s="507">
        <v>424.25012141550491</v>
      </c>
      <c r="Y550" s="507">
        <v>424.25012141550491</v>
      </c>
      <c r="Z550" s="507">
        <v>2226.8040372857022</v>
      </c>
      <c r="AA550" s="507">
        <v>2226.8040372857022</v>
      </c>
      <c r="AB550" s="507">
        <v>2226.8040372857022</v>
      </c>
      <c r="AC550" s="507">
        <v>0</v>
      </c>
      <c r="AD550" s="507">
        <v>0</v>
      </c>
      <c r="AE550" s="507">
        <v>0</v>
      </c>
      <c r="AF550" s="507"/>
      <c r="AG550" s="507"/>
      <c r="AH550" s="507">
        <v>0</v>
      </c>
      <c r="AI550" s="507">
        <v>0</v>
      </c>
      <c r="AJ550" s="507">
        <v>0</v>
      </c>
      <c r="AK550" s="507">
        <v>0</v>
      </c>
      <c r="AL550" s="507">
        <v>0</v>
      </c>
      <c r="AM550" s="507">
        <v>0</v>
      </c>
      <c r="AN550" s="507"/>
      <c r="AO550" s="507"/>
    </row>
    <row r="551" spans="1:41">
      <c r="A551" s="2" t="s">
        <v>1194</v>
      </c>
      <c r="B551" s="2" t="s">
        <v>1195</v>
      </c>
      <c r="C551" s="2" t="s">
        <v>328</v>
      </c>
      <c r="D551" s="2" t="s">
        <v>18</v>
      </c>
      <c r="E551" s="2" t="s">
        <v>19</v>
      </c>
      <c r="F551" s="2" t="s">
        <v>20</v>
      </c>
      <c r="G551" s="2" t="s">
        <v>21</v>
      </c>
      <c r="H551">
        <v>1</v>
      </c>
      <c r="I551" s="2" t="s">
        <v>526</v>
      </c>
      <c r="J551" s="3">
        <v>1</v>
      </c>
      <c r="K551" s="3">
        <v>5.2488000000000001</v>
      </c>
      <c r="L551" s="507">
        <v>92316.750794131629</v>
      </c>
      <c r="M551" s="507">
        <v>0</v>
      </c>
      <c r="N551" s="507">
        <v>92316.750794131629</v>
      </c>
      <c r="O551" s="507">
        <v>1306.7949356043746</v>
      </c>
      <c r="P551">
        <v>1</v>
      </c>
      <c r="Q551" s="2" t="s">
        <v>526</v>
      </c>
      <c r="R551" s="3">
        <v>1</v>
      </c>
      <c r="S551" s="3">
        <v>5.2488000000000001</v>
      </c>
      <c r="T551" s="507">
        <v>92316.750794131629</v>
      </c>
      <c r="U551" s="507">
        <v>0</v>
      </c>
      <c r="V551" s="507">
        <v>92316.750794131629</v>
      </c>
      <c r="W551" s="507">
        <v>1306.7949356043746</v>
      </c>
      <c r="X551" s="507">
        <v>93623.545729735997</v>
      </c>
      <c r="Y551" s="507">
        <v>93623.545729735997</v>
      </c>
      <c r="Z551" s="507">
        <v>491411.26682623831</v>
      </c>
      <c r="AA551" s="507">
        <v>491411.26682623831</v>
      </c>
      <c r="AB551" s="507">
        <v>491411.26682623831</v>
      </c>
      <c r="AC551" s="507">
        <v>0</v>
      </c>
      <c r="AD551" s="507">
        <v>0</v>
      </c>
      <c r="AE551" s="507">
        <v>0</v>
      </c>
      <c r="AF551" s="507"/>
      <c r="AG551" s="507"/>
      <c r="AH551" s="507">
        <v>0</v>
      </c>
      <c r="AI551" s="507">
        <v>0</v>
      </c>
      <c r="AJ551" s="507">
        <v>0</v>
      </c>
      <c r="AK551" s="507">
        <v>0</v>
      </c>
      <c r="AL551" s="507">
        <v>0</v>
      </c>
      <c r="AM551" s="507">
        <v>0</v>
      </c>
      <c r="AN551" s="507"/>
      <c r="AO551" s="507"/>
    </row>
    <row r="552" spans="1:41">
      <c r="A552" s="2" t="s">
        <v>1196</v>
      </c>
      <c r="B552" s="2" t="s">
        <v>373</v>
      </c>
      <c r="C552" s="2" t="s">
        <v>328</v>
      </c>
      <c r="D552" s="2" t="s">
        <v>18</v>
      </c>
      <c r="E552" s="2" t="s">
        <v>19</v>
      </c>
      <c r="F552" s="2" t="s">
        <v>20</v>
      </c>
      <c r="G552" s="2" t="s">
        <v>21</v>
      </c>
      <c r="H552">
        <v>1</v>
      </c>
      <c r="I552" s="2" t="s">
        <v>526</v>
      </c>
      <c r="J552" s="3">
        <v>1</v>
      </c>
      <c r="K552" s="3">
        <v>5.2488000000000001</v>
      </c>
      <c r="L552" s="507">
        <v>9005.9718863651069</v>
      </c>
      <c r="M552" s="507">
        <v>0</v>
      </c>
      <c r="N552" s="507">
        <v>9005.9718863651069</v>
      </c>
      <c r="O552" s="507">
        <v>127.48444774215289</v>
      </c>
      <c r="P552">
        <v>1</v>
      </c>
      <c r="Q552" s="2" t="s">
        <v>526</v>
      </c>
      <c r="R552" s="3">
        <v>1</v>
      </c>
      <c r="S552" s="3">
        <v>5.2488000000000001</v>
      </c>
      <c r="T552" s="507">
        <v>9005.9718863651069</v>
      </c>
      <c r="U552" s="507">
        <v>0</v>
      </c>
      <c r="V552" s="507">
        <v>9005.9718863651069</v>
      </c>
      <c r="W552" s="507">
        <v>127.48444774215289</v>
      </c>
      <c r="X552" s="507">
        <v>9133.456334107259</v>
      </c>
      <c r="Y552" s="507">
        <v>9133.456334107259</v>
      </c>
      <c r="Z552" s="507">
        <v>47939.685606462182</v>
      </c>
      <c r="AA552" s="507">
        <v>47939.685606462182</v>
      </c>
      <c r="AB552" s="507">
        <v>47939.685606462182</v>
      </c>
      <c r="AC552" s="507">
        <v>0</v>
      </c>
      <c r="AD552" s="507">
        <v>0</v>
      </c>
      <c r="AE552" s="507">
        <v>0</v>
      </c>
      <c r="AF552" s="507"/>
      <c r="AG552" s="507"/>
      <c r="AH552" s="507">
        <v>0</v>
      </c>
      <c r="AI552" s="507">
        <v>0</v>
      </c>
      <c r="AJ552" s="507">
        <v>0</v>
      </c>
      <c r="AK552" s="507">
        <v>0</v>
      </c>
      <c r="AL552" s="507">
        <v>0</v>
      </c>
      <c r="AM552" s="507">
        <v>0</v>
      </c>
      <c r="AN552" s="507"/>
      <c r="AO552" s="507"/>
    </row>
    <row r="553" spans="1:41">
      <c r="A553" s="2" t="s">
        <v>1197</v>
      </c>
      <c r="B553" s="2" t="s">
        <v>1195</v>
      </c>
      <c r="C553" s="2" t="s">
        <v>328</v>
      </c>
      <c r="D553" s="2" t="s">
        <v>18</v>
      </c>
      <c r="E553" s="2" t="s">
        <v>19</v>
      </c>
      <c r="F553" s="2" t="s">
        <v>20</v>
      </c>
      <c r="G553" s="2" t="s">
        <v>21</v>
      </c>
      <c r="H553">
        <v>1</v>
      </c>
      <c r="I553" s="2" t="s">
        <v>526</v>
      </c>
      <c r="J553" s="3">
        <v>1</v>
      </c>
      <c r="K553" s="3">
        <v>5.2488000000000001</v>
      </c>
      <c r="L553" s="507">
        <v>3210.5854969457537</v>
      </c>
      <c r="M553" s="507">
        <v>0</v>
      </c>
      <c r="N553" s="507">
        <v>3210.5854969457537</v>
      </c>
      <c r="O553" s="507">
        <v>45.447536415950999</v>
      </c>
      <c r="P553">
        <v>1</v>
      </c>
      <c r="Q553" s="2" t="s">
        <v>526</v>
      </c>
      <c r="R553" s="3">
        <v>1</v>
      </c>
      <c r="S553" s="3">
        <v>5.2488000000000001</v>
      </c>
      <c r="T553" s="507">
        <v>3210.5854969457537</v>
      </c>
      <c r="U553" s="507">
        <v>0</v>
      </c>
      <c r="V553" s="507">
        <v>3210.5854969457537</v>
      </c>
      <c r="W553" s="507">
        <v>45.447536415950999</v>
      </c>
      <c r="X553" s="507">
        <v>3256.0330333617048</v>
      </c>
      <c r="Y553" s="507">
        <v>3256.0330333617048</v>
      </c>
      <c r="Z553" s="507">
        <v>17090.266185508917</v>
      </c>
      <c r="AA553" s="507">
        <v>17090.266185508917</v>
      </c>
      <c r="AB553" s="507">
        <v>17090.266185508917</v>
      </c>
      <c r="AC553" s="507">
        <v>0</v>
      </c>
      <c r="AD553" s="507">
        <v>0</v>
      </c>
      <c r="AE553" s="507">
        <v>0</v>
      </c>
      <c r="AF553" s="507"/>
      <c r="AG553" s="507"/>
      <c r="AH553" s="507">
        <v>0</v>
      </c>
      <c r="AI553" s="507">
        <v>0</v>
      </c>
      <c r="AJ553" s="507">
        <v>0</v>
      </c>
      <c r="AK553" s="507">
        <v>0</v>
      </c>
      <c r="AL553" s="507">
        <v>0</v>
      </c>
      <c r="AM553" s="507">
        <v>0</v>
      </c>
      <c r="AN553" s="507"/>
      <c r="AO553" s="507"/>
    </row>
    <row r="554" spans="1:41">
      <c r="A554" s="2" t="s">
        <v>1198</v>
      </c>
      <c r="B554" s="2" t="s">
        <v>373</v>
      </c>
      <c r="C554" s="2" t="s">
        <v>328</v>
      </c>
      <c r="D554" s="2" t="s">
        <v>18</v>
      </c>
      <c r="E554" s="2" t="s">
        <v>19</v>
      </c>
      <c r="F554" s="2" t="s">
        <v>20</v>
      </c>
      <c r="G554" s="2" t="s">
        <v>21</v>
      </c>
      <c r="H554">
        <v>1</v>
      </c>
      <c r="I554" s="2" t="s">
        <v>526</v>
      </c>
      <c r="J554" s="3">
        <v>1</v>
      </c>
      <c r="K554" s="3">
        <v>5.2488000000000001</v>
      </c>
      <c r="L554" s="507">
        <v>3840.9576900318725</v>
      </c>
      <c r="M554" s="507">
        <v>0</v>
      </c>
      <c r="N554" s="507">
        <v>3840.9576900318725</v>
      </c>
      <c r="O554" s="507">
        <v>53.848176104715378</v>
      </c>
      <c r="P554">
        <v>1</v>
      </c>
      <c r="Q554" s="2" t="s">
        <v>526</v>
      </c>
      <c r="R554" s="3">
        <v>1</v>
      </c>
      <c r="S554" s="3">
        <v>5.2488000000000001</v>
      </c>
      <c r="T554" s="507">
        <v>3840.9576900318725</v>
      </c>
      <c r="U554" s="507">
        <v>0</v>
      </c>
      <c r="V554" s="507">
        <v>3840.9576900318725</v>
      </c>
      <c r="W554" s="507">
        <v>53.848176104715378</v>
      </c>
      <c r="X554" s="507">
        <v>3894.8058661365881</v>
      </c>
      <c r="Y554" s="507">
        <v>3894.8058661365881</v>
      </c>
      <c r="Z554" s="507">
        <v>20443.057030177722</v>
      </c>
      <c r="AA554" s="507">
        <v>20443.057030177722</v>
      </c>
      <c r="AB554" s="507">
        <v>20443.057030177722</v>
      </c>
      <c r="AC554" s="507">
        <v>0</v>
      </c>
      <c r="AD554" s="507">
        <v>0</v>
      </c>
      <c r="AE554" s="507">
        <v>0</v>
      </c>
      <c r="AF554" s="507"/>
      <c r="AG554" s="507"/>
      <c r="AH554" s="507">
        <v>0</v>
      </c>
      <c r="AI554" s="507">
        <v>0</v>
      </c>
      <c r="AJ554" s="507">
        <v>0</v>
      </c>
      <c r="AK554" s="507">
        <v>0</v>
      </c>
      <c r="AL554" s="507">
        <v>0</v>
      </c>
      <c r="AM554" s="507">
        <v>0</v>
      </c>
      <c r="AN554" s="507"/>
      <c r="AO554" s="507"/>
    </row>
    <row r="555" spans="1:41">
      <c r="A555" s="2" t="s">
        <v>1199</v>
      </c>
      <c r="B555" s="2" t="s">
        <v>373</v>
      </c>
      <c r="C555" s="2" t="s">
        <v>328</v>
      </c>
      <c r="D555" s="2" t="s">
        <v>18</v>
      </c>
      <c r="E555" s="2" t="s">
        <v>19</v>
      </c>
      <c r="F555" s="2" t="s">
        <v>20</v>
      </c>
      <c r="G555" s="2" t="s">
        <v>21</v>
      </c>
      <c r="H555">
        <v>1</v>
      </c>
      <c r="I555" s="2" t="s">
        <v>526</v>
      </c>
      <c r="J555" s="3">
        <v>1</v>
      </c>
      <c r="K555" s="3">
        <v>5.2488000000000001</v>
      </c>
      <c r="L555" s="507">
        <v>3840.9576900318725</v>
      </c>
      <c r="M555" s="507">
        <v>0</v>
      </c>
      <c r="N555" s="507">
        <v>3840.9576900318725</v>
      </c>
      <c r="O555" s="507">
        <v>43.392196276270454</v>
      </c>
      <c r="P555">
        <v>1</v>
      </c>
      <c r="Q555" s="2" t="s">
        <v>526</v>
      </c>
      <c r="R555" s="3">
        <v>1</v>
      </c>
      <c r="S555" s="3">
        <v>5.2488000000000001</v>
      </c>
      <c r="T555" s="507">
        <v>3840.9576900318725</v>
      </c>
      <c r="U555" s="507">
        <v>0</v>
      </c>
      <c r="V555" s="507">
        <v>3840.9576900318725</v>
      </c>
      <c r="W555" s="507">
        <v>43.392196276270454</v>
      </c>
      <c r="X555" s="507">
        <v>3884.3498863081431</v>
      </c>
      <c r="Y555" s="507">
        <v>3884.3498863081431</v>
      </c>
      <c r="Z555" s="507">
        <v>20388.175683254183</v>
      </c>
      <c r="AA555" s="507">
        <v>20388.175683254183</v>
      </c>
      <c r="AB555" s="507">
        <v>20388.175683254183</v>
      </c>
      <c r="AC555" s="507">
        <v>0</v>
      </c>
      <c r="AD555" s="507">
        <v>0</v>
      </c>
      <c r="AE555" s="507">
        <v>0</v>
      </c>
      <c r="AF555" s="507"/>
      <c r="AG555" s="507"/>
      <c r="AH555" s="507">
        <v>0</v>
      </c>
      <c r="AI555" s="507">
        <v>0</v>
      </c>
      <c r="AJ555" s="507">
        <v>0</v>
      </c>
      <c r="AK555" s="507">
        <v>0</v>
      </c>
      <c r="AL555" s="507">
        <v>0</v>
      </c>
      <c r="AM555" s="507">
        <v>0</v>
      </c>
      <c r="AN555" s="507"/>
      <c r="AO555" s="507"/>
    </row>
    <row r="556" spans="1:41">
      <c r="A556" s="2" t="s">
        <v>1200</v>
      </c>
      <c r="B556" s="2" t="s">
        <v>1093</v>
      </c>
      <c r="C556" s="2" t="s">
        <v>328</v>
      </c>
      <c r="D556" s="2" t="s">
        <v>18</v>
      </c>
      <c r="E556" s="2" t="s">
        <v>19</v>
      </c>
      <c r="F556" s="2" t="s">
        <v>20</v>
      </c>
      <c r="G556" s="2" t="s">
        <v>21</v>
      </c>
      <c r="H556">
        <v>1</v>
      </c>
      <c r="I556" s="2" t="s">
        <v>526</v>
      </c>
      <c r="J556" s="3">
        <v>1</v>
      </c>
      <c r="K556" s="3">
        <v>5.2488000000000001</v>
      </c>
      <c r="L556" s="507">
        <v>625.38893487825101</v>
      </c>
      <c r="M556" s="507">
        <v>0</v>
      </c>
      <c r="N556" s="507">
        <v>625.38893487825101</v>
      </c>
      <c r="O556" s="507">
        <v>8.3419262352593222</v>
      </c>
      <c r="P556">
        <v>1</v>
      </c>
      <c r="Q556" s="2" t="s">
        <v>526</v>
      </c>
      <c r="R556" s="3">
        <v>1</v>
      </c>
      <c r="S556" s="3">
        <v>5.2488000000000001</v>
      </c>
      <c r="T556" s="507">
        <v>625.38893487825101</v>
      </c>
      <c r="U556" s="507">
        <v>0</v>
      </c>
      <c r="V556" s="507">
        <v>625.38893487825101</v>
      </c>
      <c r="W556" s="507">
        <v>8.3419262352593222</v>
      </c>
      <c r="X556" s="507">
        <v>633.73086111351029</v>
      </c>
      <c r="Y556" s="507">
        <v>633.73086111351029</v>
      </c>
      <c r="Z556" s="507">
        <v>3326.3265438125927</v>
      </c>
      <c r="AA556" s="507">
        <v>3326.3265438125927</v>
      </c>
      <c r="AB556" s="507">
        <v>3326.3265438125927</v>
      </c>
      <c r="AC556" s="507">
        <v>0</v>
      </c>
      <c r="AD556" s="507">
        <v>0</v>
      </c>
      <c r="AE556" s="507">
        <v>0</v>
      </c>
      <c r="AF556" s="507"/>
      <c r="AG556" s="507"/>
      <c r="AH556" s="507">
        <v>0</v>
      </c>
      <c r="AI556" s="507">
        <v>0</v>
      </c>
      <c r="AJ556" s="507">
        <v>0</v>
      </c>
      <c r="AK556" s="507">
        <v>0</v>
      </c>
      <c r="AL556" s="507">
        <v>0</v>
      </c>
      <c r="AM556" s="507">
        <v>0</v>
      </c>
      <c r="AN556" s="507"/>
      <c r="AO556" s="507"/>
    </row>
    <row r="557" spans="1:41">
      <c r="A557" s="2" t="s">
        <v>1201</v>
      </c>
      <c r="B557" s="2" t="s">
        <v>369</v>
      </c>
      <c r="C557" s="2" t="s">
        <v>328</v>
      </c>
      <c r="D557" s="2" t="s">
        <v>30</v>
      </c>
      <c r="E557" s="2" t="s">
        <v>19</v>
      </c>
      <c r="F557" s="2" t="s">
        <v>20</v>
      </c>
      <c r="G557" s="2" t="s">
        <v>21</v>
      </c>
      <c r="H557">
        <v>1</v>
      </c>
      <c r="I557" s="2" t="s">
        <v>526</v>
      </c>
      <c r="J557" s="3">
        <v>1</v>
      </c>
      <c r="K557" s="3">
        <v>5.2488000000000001</v>
      </c>
      <c r="L557" s="507">
        <v>422.82659711825943</v>
      </c>
      <c r="M557" s="507">
        <v>0</v>
      </c>
      <c r="N557" s="507">
        <v>422.82659711825943</v>
      </c>
      <c r="O557" s="507">
        <v>5.6976052255122163</v>
      </c>
      <c r="P557">
        <v>1</v>
      </c>
      <c r="Q557" s="2" t="s">
        <v>526</v>
      </c>
      <c r="R557" s="3">
        <v>1</v>
      </c>
      <c r="S557" s="3">
        <v>5.2488000000000001</v>
      </c>
      <c r="T557" s="507">
        <v>422.82659711825943</v>
      </c>
      <c r="U557" s="507">
        <v>0</v>
      </c>
      <c r="V557" s="507">
        <v>422.82659711825943</v>
      </c>
      <c r="W557" s="507">
        <v>5.6976052255122163</v>
      </c>
      <c r="X557" s="507">
        <v>428.52420234377166</v>
      </c>
      <c r="Y557" s="507">
        <v>428.52420234377166</v>
      </c>
      <c r="Z557" s="507">
        <v>2249.2378332619887</v>
      </c>
      <c r="AA557" s="507">
        <v>2249.2378332619887</v>
      </c>
      <c r="AB557" s="507">
        <v>2249.2378332619887</v>
      </c>
      <c r="AC557" s="507">
        <v>0</v>
      </c>
      <c r="AD557" s="507">
        <v>0</v>
      </c>
      <c r="AE557" s="507">
        <v>0</v>
      </c>
      <c r="AF557" s="507"/>
      <c r="AG557" s="507"/>
      <c r="AH557" s="507">
        <v>0</v>
      </c>
      <c r="AI557" s="507">
        <v>0</v>
      </c>
      <c r="AJ557" s="507">
        <v>0</v>
      </c>
      <c r="AK557" s="507">
        <v>0</v>
      </c>
      <c r="AL557" s="507">
        <v>0</v>
      </c>
      <c r="AM557" s="507">
        <v>0</v>
      </c>
      <c r="AN557" s="507"/>
      <c r="AO557" s="507"/>
    </row>
    <row r="558" spans="1:41">
      <c r="A558" s="2" t="s">
        <v>1202</v>
      </c>
      <c r="B558" s="2" t="s">
        <v>344</v>
      </c>
      <c r="C558" s="2" t="s">
        <v>328</v>
      </c>
      <c r="D558" s="2" t="s">
        <v>18</v>
      </c>
      <c r="E558" s="2" t="s">
        <v>19</v>
      </c>
      <c r="F558" s="2" t="s">
        <v>20</v>
      </c>
      <c r="G558" s="2" t="s">
        <v>21</v>
      </c>
      <c r="H558">
        <v>1</v>
      </c>
      <c r="I558" s="2" t="s">
        <v>526</v>
      </c>
      <c r="J558" s="3">
        <v>1</v>
      </c>
      <c r="K558" s="3">
        <v>5.2488000000000001</v>
      </c>
      <c r="L558" s="507">
        <v>5623.8177390369774</v>
      </c>
      <c r="M558" s="507">
        <v>0</v>
      </c>
      <c r="N558" s="507">
        <v>5623.8177390369774</v>
      </c>
      <c r="O558" s="507">
        <v>129.86326577661606</v>
      </c>
      <c r="P558">
        <v>1</v>
      </c>
      <c r="Q558" s="2" t="s">
        <v>526</v>
      </c>
      <c r="R558" s="3">
        <v>1</v>
      </c>
      <c r="S558" s="3">
        <v>5.2488000000000001</v>
      </c>
      <c r="T558" s="507">
        <v>5623.8177390369774</v>
      </c>
      <c r="U558" s="507">
        <v>0</v>
      </c>
      <c r="V558" s="507">
        <v>5623.8177390369774</v>
      </c>
      <c r="W558" s="507">
        <v>129.86326577661606</v>
      </c>
      <c r="X558" s="507">
        <v>5753.6810048135931</v>
      </c>
      <c r="Y558" s="507">
        <v>5753.6810048135931</v>
      </c>
      <c r="Z558" s="507">
        <v>30199.920858065587</v>
      </c>
      <c r="AA558" s="507">
        <v>30199.920858065587</v>
      </c>
      <c r="AB558" s="507">
        <v>30199.920858065587</v>
      </c>
      <c r="AC558" s="507">
        <v>0</v>
      </c>
      <c r="AD558" s="507">
        <v>0</v>
      </c>
      <c r="AE558" s="507">
        <v>0</v>
      </c>
      <c r="AF558" s="507"/>
      <c r="AG558" s="507"/>
      <c r="AH558" s="507">
        <v>0</v>
      </c>
      <c r="AI558" s="507">
        <v>0</v>
      </c>
      <c r="AJ558" s="507">
        <v>0</v>
      </c>
      <c r="AK558" s="507">
        <v>0</v>
      </c>
      <c r="AL558" s="507">
        <v>0</v>
      </c>
      <c r="AM558" s="507">
        <v>0</v>
      </c>
      <c r="AN558" s="507"/>
      <c r="AO558" s="507"/>
    </row>
    <row r="559" spans="1:41">
      <c r="A559" s="2" t="s">
        <v>1203</v>
      </c>
      <c r="B559" s="2" t="s">
        <v>344</v>
      </c>
      <c r="C559" s="2" t="s">
        <v>328</v>
      </c>
      <c r="D559" s="2" t="s">
        <v>18</v>
      </c>
      <c r="E559" s="2" t="s">
        <v>19</v>
      </c>
      <c r="F559" s="2" t="s">
        <v>20</v>
      </c>
      <c r="G559" s="2" t="s">
        <v>21</v>
      </c>
      <c r="H559">
        <v>1</v>
      </c>
      <c r="I559" s="2" t="s">
        <v>526</v>
      </c>
      <c r="J559" s="3">
        <v>1</v>
      </c>
      <c r="K559" s="3">
        <v>5.2488000000000001</v>
      </c>
      <c r="L559" s="507">
        <v>85228.282937804863</v>
      </c>
      <c r="M559" s="507">
        <v>0</v>
      </c>
      <c r="N559" s="507">
        <v>85228.282937804863</v>
      </c>
      <c r="O559" s="507">
        <v>1968.0631449457683</v>
      </c>
      <c r="P559">
        <v>1</v>
      </c>
      <c r="Q559" s="2" t="s">
        <v>526</v>
      </c>
      <c r="R559" s="3">
        <v>1</v>
      </c>
      <c r="S559" s="3">
        <v>5.2488000000000001</v>
      </c>
      <c r="T559" s="507">
        <v>85228.282937804863</v>
      </c>
      <c r="U559" s="507">
        <v>0</v>
      </c>
      <c r="V559" s="507">
        <v>85228.282937804863</v>
      </c>
      <c r="W559" s="507">
        <v>1968.0631449457683</v>
      </c>
      <c r="X559" s="507">
        <v>87196.346082750635</v>
      </c>
      <c r="Y559" s="507">
        <v>87196.346082750635</v>
      </c>
      <c r="Z559" s="507">
        <v>457676.18131914153</v>
      </c>
      <c r="AA559" s="507">
        <v>457676.18131914153</v>
      </c>
      <c r="AB559" s="507">
        <v>457676.18131914153</v>
      </c>
      <c r="AC559" s="507">
        <v>0</v>
      </c>
      <c r="AD559" s="507">
        <v>0</v>
      </c>
      <c r="AE559" s="507">
        <v>0</v>
      </c>
      <c r="AF559" s="507"/>
      <c r="AG559" s="507"/>
      <c r="AH559" s="507">
        <v>0</v>
      </c>
      <c r="AI559" s="507">
        <v>0</v>
      </c>
      <c r="AJ559" s="507">
        <v>0</v>
      </c>
      <c r="AK559" s="507">
        <v>0</v>
      </c>
      <c r="AL559" s="507">
        <v>0</v>
      </c>
      <c r="AM559" s="507">
        <v>0</v>
      </c>
      <c r="AN559" s="507"/>
      <c r="AO559" s="507"/>
    </row>
    <row r="560" spans="1:41">
      <c r="A560" s="2" t="s">
        <v>1204</v>
      </c>
      <c r="B560" s="2" t="s">
        <v>344</v>
      </c>
      <c r="C560" s="2" t="s">
        <v>328</v>
      </c>
      <c r="D560" s="2" t="s">
        <v>18</v>
      </c>
      <c r="E560" s="2" t="s">
        <v>19</v>
      </c>
      <c r="F560" s="2" t="s">
        <v>20</v>
      </c>
      <c r="G560" s="2" t="s">
        <v>21</v>
      </c>
      <c r="H560">
        <v>1</v>
      </c>
      <c r="I560" s="2" t="s">
        <v>526</v>
      </c>
      <c r="J560" s="3">
        <v>1</v>
      </c>
      <c r="K560" s="3">
        <v>5.2488000000000001</v>
      </c>
      <c r="L560" s="507">
        <v>92316.750794131629</v>
      </c>
      <c r="M560" s="507">
        <v>0</v>
      </c>
      <c r="N560" s="507">
        <v>92316.750794131629</v>
      </c>
      <c r="O560" s="507">
        <v>2131.7475755433225</v>
      </c>
      <c r="P560">
        <v>1</v>
      </c>
      <c r="Q560" s="2" t="s">
        <v>526</v>
      </c>
      <c r="R560" s="3">
        <v>1</v>
      </c>
      <c r="S560" s="3">
        <v>5.2488000000000001</v>
      </c>
      <c r="T560" s="507">
        <v>92316.750794131629</v>
      </c>
      <c r="U560" s="507">
        <v>0</v>
      </c>
      <c r="V560" s="507">
        <v>92316.750794131629</v>
      </c>
      <c r="W560" s="507">
        <v>2131.7475755433225</v>
      </c>
      <c r="X560" s="507">
        <v>94448.498369674955</v>
      </c>
      <c r="Y560" s="507">
        <v>94448.498369674955</v>
      </c>
      <c r="Z560" s="507">
        <v>495741.27824274992</v>
      </c>
      <c r="AA560" s="507">
        <v>495741.27824274992</v>
      </c>
      <c r="AB560" s="507">
        <v>495741.27824274992</v>
      </c>
      <c r="AC560" s="507">
        <v>0</v>
      </c>
      <c r="AD560" s="507">
        <v>0</v>
      </c>
      <c r="AE560" s="507">
        <v>0</v>
      </c>
      <c r="AF560" s="507"/>
      <c r="AG560" s="507"/>
      <c r="AH560" s="507">
        <v>0</v>
      </c>
      <c r="AI560" s="507">
        <v>0</v>
      </c>
      <c r="AJ560" s="507">
        <v>0</v>
      </c>
      <c r="AK560" s="507">
        <v>0</v>
      </c>
      <c r="AL560" s="507">
        <v>0</v>
      </c>
      <c r="AM560" s="507">
        <v>0</v>
      </c>
      <c r="AN560" s="507"/>
      <c r="AO560" s="507"/>
    </row>
    <row r="561" spans="1:41">
      <c r="A561" s="2" t="s">
        <v>1205</v>
      </c>
      <c r="B561" s="2" t="s">
        <v>376</v>
      </c>
      <c r="C561" s="2" t="s">
        <v>328</v>
      </c>
      <c r="D561" s="2" t="s">
        <v>18</v>
      </c>
      <c r="E561" s="2" t="s">
        <v>19</v>
      </c>
      <c r="F561" s="2" t="s">
        <v>20</v>
      </c>
      <c r="G561" s="2" t="s">
        <v>21</v>
      </c>
      <c r="H561">
        <v>1</v>
      </c>
      <c r="I561" s="2" t="s">
        <v>526</v>
      </c>
      <c r="J561" s="3">
        <v>1</v>
      </c>
      <c r="K561" s="3">
        <v>5.2488000000000001</v>
      </c>
      <c r="L561" s="507">
        <v>3081.4991689438211</v>
      </c>
      <c r="M561" s="507">
        <v>0</v>
      </c>
      <c r="N561" s="507">
        <v>3081.4991689438211</v>
      </c>
      <c r="O561" s="507">
        <v>38.587294030937493</v>
      </c>
      <c r="P561">
        <v>1</v>
      </c>
      <c r="Q561" s="2" t="s">
        <v>526</v>
      </c>
      <c r="R561" s="3">
        <v>1</v>
      </c>
      <c r="S561" s="3">
        <v>5.2488000000000001</v>
      </c>
      <c r="T561" s="507">
        <v>3081.4991689438211</v>
      </c>
      <c r="U561" s="507">
        <v>0</v>
      </c>
      <c r="V561" s="507">
        <v>3081.4991689438211</v>
      </c>
      <c r="W561" s="507">
        <v>38.587294030937493</v>
      </c>
      <c r="X561" s="507">
        <v>3120.0864629747584</v>
      </c>
      <c r="Y561" s="507">
        <v>3120.0864629747584</v>
      </c>
      <c r="Z561" s="507">
        <v>16376.709826861912</v>
      </c>
      <c r="AA561" s="507">
        <v>16376.709826861912</v>
      </c>
      <c r="AB561" s="507">
        <v>16376.709826861912</v>
      </c>
      <c r="AC561" s="507">
        <v>0</v>
      </c>
      <c r="AD561" s="507">
        <v>0</v>
      </c>
      <c r="AE561" s="507">
        <v>0</v>
      </c>
      <c r="AF561" s="507"/>
      <c r="AG561" s="507"/>
      <c r="AH561" s="507">
        <v>0</v>
      </c>
      <c r="AI561" s="507">
        <v>0</v>
      </c>
      <c r="AJ561" s="507">
        <v>0</v>
      </c>
      <c r="AK561" s="507">
        <v>0</v>
      </c>
      <c r="AL561" s="507">
        <v>0</v>
      </c>
      <c r="AM561" s="507">
        <v>0</v>
      </c>
      <c r="AN561" s="507"/>
      <c r="AO561" s="507"/>
    </row>
    <row r="562" spans="1:41">
      <c r="A562" s="2" t="s">
        <v>1206</v>
      </c>
      <c r="B562" s="2" t="s">
        <v>361</v>
      </c>
      <c r="C562" s="2" t="s">
        <v>328</v>
      </c>
      <c r="D562" s="2" t="s">
        <v>18</v>
      </c>
      <c r="E562" s="2" t="s">
        <v>19</v>
      </c>
      <c r="F562" s="2" t="s">
        <v>20</v>
      </c>
      <c r="G562" s="2" t="s">
        <v>21</v>
      </c>
      <c r="H562">
        <v>1</v>
      </c>
      <c r="I562" s="2" t="s">
        <v>526</v>
      </c>
      <c r="J562" s="3">
        <v>1</v>
      </c>
      <c r="K562" s="3">
        <v>5.2488000000000001</v>
      </c>
      <c r="L562" s="507">
        <v>16819.926622655184</v>
      </c>
      <c r="M562" s="507">
        <v>0</v>
      </c>
      <c r="N562" s="507">
        <v>16819.926622655184</v>
      </c>
      <c r="O562" s="507">
        <v>210.62288253883034</v>
      </c>
      <c r="P562">
        <v>1</v>
      </c>
      <c r="Q562" s="2" t="s">
        <v>526</v>
      </c>
      <c r="R562" s="3">
        <v>1</v>
      </c>
      <c r="S562" s="3">
        <v>5.2488000000000001</v>
      </c>
      <c r="T562" s="507">
        <v>16819.926622655184</v>
      </c>
      <c r="U562" s="507">
        <v>0</v>
      </c>
      <c r="V562" s="507">
        <v>16819.926622655184</v>
      </c>
      <c r="W562" s="507">
        <v>210.62288253883034</v>
      </c>
      <c r="X562" s="507">
        <v>17030.549505194016</v>
      </c>
      <c r="Y562" s="507">
        <v>17030.549505194016</v>
      </c>
      <c r="Z562" s="507">
        <v>89389.94824286236</v>
      </c>
      <c r="AA562" s="507">
        <v>89389.94824286236</v>
      </c>
      <c r="AB562" s="507">
        <v>89389.94824286236</v>
      </c>
      <c r="AC562" s="507">
        <v>0</v>
      </c>
      <c r="AD562" s="507">
        <v>0</v>
      </c>
      <c r="AE562" s="507">
        <v>0</v>
      </c>
      <c r="AF562" s="507"/>
      <c r="AG562" s="507"/>
      <c r="AH562" s="507">
        <v>0</v>
      </c>
      <c r="AI562" s="507">
        <v>0</v>
      </c>
      <c r="AJ562" s="507">
        <v>0</v>
      </c>
      <c r="AK562" s="507">
        <v>0</v>
      </c>
      <c r="AL562" s="507">
        <v>0</v>
      </c>
      <c r="AM562" s="507">
        <v>0</v>
      </c>
      <c r="AN562" s="507"/>
      <c r="AO562" s="507"/>
    </row>
    <row r="563" spans="1:41">
      <c r="A563" s="2" t="s">
        <v>1207</v>
      </c>
      <c r="B563" s="2" t="s">
        <v>361</v>
      </c>
      <c r="C563" s="2" t="s">
        <v>328</v>
      </c>
      <c r="D563" s="2" t="s">
        <v>18</v>
      </c>
      <c r="E563" s="2" t="s">
        <v>19</v>
      </c>
      <c r="F563" s="2" t="s">
        <v>20</v>
      </c>
      <c r="G563" s="2" t="s">
        <v>21</v>
      </c>
      <c r="H563">
        <v>1</v>
      </c>
      <c r="I563" s="2" t="s">
        <v>526</v>
      </c>
      <c r="J563" s="3">
        <v>1</v>
      </c>
      <c r="K563" s="3">
        <v>5.2488000000000001</v>
      </c>
      <c r="L563" s="507">
        <v>5939.4939452100025</v>
      </c>
      <c r="M563" s="507">
        <v>0</v>
      </c>
      <c r="N563" s="507">
        <v>5939.4939452100025</v>
      </c>
      <c r="O563" s="507">
        <v>74.375728811298501</v>
      </c>
      <c r="P563">
        <v>1</v>
      </c>
      <c r="Q563" s="2" t="s">
        <v>526</v>
      </c>
      <c r="R563" s="3">
        <v>1</v>
      </c>
      <c r="S563" s="3">
        <v>5.2488000000000001</v>
      </c>
      <c r="T563" s="507">
        <v>5939.4939452100025</v>
      </c>
      <c r="U563" s="507">
        <v>0</v>
      </c>
      <c r="V563" s="507">
        <v>5939.4939452100025</v>
      </c>
      <c r="W563" s="507">
        <v>74.375728811298501</v>
      </c>
      <c r="X563" s="507">
        <v>6013.8696740213009</v>
      </c>
      <c r="Y563" s="507">
        <v>6013.8696740213009</v>
      </c>
      <c r="Z563" s="507">
        <v>31565.599145003005</v>
      </c>
      <c r="AA563" s="507">
        <v>31565.599145003005</v>
      </c>
      <c r="AB563" s="507">
        <v>31565.599145003005</v>
      </c>
      <c r="AC563" s="507">
        <v>0</v>
      </c>
      <c r="AD563" s="507">
        <v>0</v>
      </c>
      <c r="AE563" s="507">
        <v>0</v>
      </c>
      <c r="AF563" s="507"/>
      <c r="AG563" s="507"/>
      <c r="AH563" s="507">
        <v>0</v>
      </c>
      <c r="AI563" s="507">
        <v>0</v>
      </c>
      <c r="AJ563" s="507">
        <v>0</v>
      </c>
      <c r="AK563" s="507">
        <v>0</v>
      </c>
      <c r="AL563" s="507">
        <v>0</v>
      </c>
      <c r="AM563" s="507">
        <v>0</v>
      </c>
      <c r="AN563" s="507"/>
      <c r="AO563" s="507"/>
    </row>
    <row r="564" spans="1:41">
      <c r="A564" s="2" t="s">
        <v>1208</v>
      </c>
      <c r="B564" s="2" t="s">
        <v>1091</v>
      </c>
      <c r="C564" s="2" t="s">
        <v>328</v>
      </c>
      <c r="D564" s="2" t="s">
        <v>18</v>
      </c>
      <c r="E564" s="2" t="s">
        <v>19</v>
      </c>
      <c r="F564" s="2" t="s">
        <v>20</v>
      </c>
      <c r="G564" s="2" t="s">
        <v>21</v>
      </c>
      <c r="H564">
        <v>1</v>
      </c>
      <c r="I564" s="2" t="s">
        <v>526</v>
      </c>
      <c r="J564" s="3">
        <v>1</v>
      </c>
      <c r="K564" s="3">
        <v>5.2488000000000001</v>
      </c>
      <c r="L564" s="507">
        <v>235.13556474369457</v>
      </c>
      <c r="M564" s="507">
        <v>0</v>
      </c>
      <c r="N564" s="507">
        <v>235.13556474369457</v>
      </c>
      <c r="O564" s="507">
        <v>2.9443504498280335</v>
      </c>
      <c r="P564">
        <v>1</v>
      </c>
      <c r="Q564" s="2" t="s">
        <v>526</v>
      </c>
      <c r="R564" s="3">
        <v>1</v>
      </c>
      <c r="S564" s="3">
        <v>5.2488000000000001</v>
      </c>
      <c r="T564" s="507">
        <v>235.13556474369457</v>
      </c>
      <c r="U564" s="507">
        <v>0</v>
      </c>
      <c r="V564" s="507">
        <v>235.13556474369457</v>
      </c>
      <c r="W564" s="507">
        <v>2.9443504498280335</v>
      </c>
      <c r="X564" s="507">
        <v>238.0799151935226</v>
      </c>
      <c r="Y564" s="507">
        <v>238.0799151935226</v>
      </c>
      <c r="Z564" s="507">
        <v>1249.6338588677613</v>
      </c>
      <c r="AA564" s="507">
        <v>1249.6338588677613</v>
      </c>
      <c r="AB564" s="507">
        <v>1249.6338588677613</v>
      </c>
      <c r="AC564" s="507">
        <v>0</v>
      </c>
      <c r="AD564" s="507">
        <v>0</v>
      </c>
      <c r="AE564" s="507">
        <v>0</v>
      </c>
      <c r="AF564" s="507"/>
      <c r="AG564" s="507"/>
      <c r="AH564" s="507">
        <v>0</v>
      </c>
      <c r="AI564" s="507">
        <v>0</v>
      </c>
      <c r="AJ564" s="507">
        <v>0</v>
      </c>
      <c r="AK564" s="507">
        <v>0</v>
      </c>
      <c r="AL564" s="507">
        <v>0</v>
      </c>
      <c r="AM564" s="507">
        <v>0</v>
      </c>
      <c r="AN564" s="507"/>
      <c r="AO564" s="507"/>
    </row>
    <row r="565" spans="1:41">
      <c r="A565" s="2" t="s">
        <v>1209</v>
      </c>
      <c r="B565" s="2" t="s">
        <v>362</v>
      </c>
      <c r="C565" s="2" t="s">
        <v>328</v>
      </c>
      <c r="D565" s="2" t="s">
        <v>18</v>
      </c>
      <c r="E565" s="2" t="s">
        <v>19</v>
      </c>
      <c r="F565" s="2" t="s">
        <v>20</v>
      </c>
      <c r="G565" s="2" t="s">
        <v>21</v>
      </c>
      <c r="H565">
        <v>1</v>
      </c>
      <c r="I565" s="2" t="s">
        <v>526</v>
      </c>
      <c r="J565" s="3">
        <v>1</v>
      </c>
      <c r="K565" s="3">
        <v>5.2488000000000001</v>
      </c>
      <c r="L565" s="507">
        <v>8123.1615692009545</v>
      </c>
      <c r="M565" s="507">
        <v>0</v>
      </c>
      <c r="N565" s="507">
        <v>8123.1615692009545</v>
      </c>
      <c r="O565" s="507">
        <v>101.71995039652028</v>
      </c>
      <c r="P565">
        <v>1</v>
      </c>
      <c r="Q565" s="2" t="s">
        <v>526</v>
      </c>
      <c r="R565" s="3">
        <v>1</v>
      </c>
      <c r="S565" s="3">
        <v>5.2488000000000001</v>
      </c>
      <c r="T565" s="507">
        <v>8123.1615692009545</v>
      </c>
      <c r="U565" s="507">
        <v>0</v>
      </c>
      <c r="V565" s="507">
        <v>8123.1615692009545</v>
      </c>
      <c r="W565" s="507">
        <v>101.71995039652028</v>
      </c>
      <c r="X565" s="507">
        <v>8224.8815195974748</v>
      </c>
      <c r="Y565" s="507">
        <v>8224.8815195974748</v>
      </c>
      <c r="Z565" s="507">
        <v>43170.758120063227</v>
      </c>
      <c r="AA565" s="507">
        <v>43170.758120063227</v>
      </c>
      <c r="AB565" s="507">
        <v>43170.758120063227</v>
      </c>
      <c r="AC565" s="507">
        <v>0</v>
      </c>
      <c r="AD565" s="507">
        <v>0</v>
      </c>
      <c r="AE565" s="507">
        <v>0</v>
      </c>
      <c r="AF565" s="507"/>
      <c r="AG565" s="507"/>
      <c r="AH565" s="507">
        <v>0</v>
      </c>
      <c r="AI565" s="507">
        <v>0</v>
      </c>
      <c r="AJ565" s="507">
        <v>0</v>
      </c>
      <c r="AK565" s="507">
        <v>0</v>
      </c>
      <c r="AL565" s="507">
        <v>0</v>
      </c>
      <c r="AM565" s="507">
        <v>0</v>
      </c>
      <c r="AN565" s="507"/>
      <c r="AO565" s="507"/>
    </row>
    <row r="566" spans="1:41">
      <c r="A566" s="2" t="s">
        <v>1210</v>
      </c>
      <c r="B566" s="2" t="s">
        <v>1169</v>
      </c>
      <c r="C566" s="2" t="s">
        <v>328</v>
      </c>
      <c r="D566" s="2" t="s">
        <v>18</v>
      </c>
      <c r="E566" s="2" t="s">
        <v>19</v>
      </c>
      <c r="F566" s="2" t="s">
        <v>20</v>
      </c>
      <c r="G566" s="2" t="s">
        <v>21</v>
      </c>
      <c r="H566">
        <v>1</v>
      </c>
      <c r="I566" s="2" t="s">
        <v>526</v>
      </c>
      <c r="J566" s="3">
        <v>1</v>
      </c>
      <c r="K566" s="3">
        <v>5.2488000000000001</v>
      </c>
      <c r="L566" s="507">
        <v>7268.1716434226182</v>
      </c>
      <c r="M566" s="507">
        <v>0</v>
      </c>
      <c r="N566" s="507">
        <v>7268.1716434226182</v>
      </c>
      <c r="O566" s="507">
        <v>91.013607539921665</v>
      </c>
      <c r="P566">
        <v>1</v>
      </c>
      <c r="Q566" s="2" t="s">
        <v>526</v>
      </c>
      <c r="R566" s="3">
        <v>1</v>
      </c>
      <c r="S566" s="3">
        <v>5.2488000000000001</v>
      </c>
      <c r="T566" s="507">
        <v>7268.1716434226182</v>
      </c>
      <c r="U566" s="507">
        <v>0</v>
      </c>
      <c r="V566" s="507">
        <v>7268.1716434226182</v>
      </c>
      <c r="W566" s="507">
        <v>91.013607539921665</v>
      </c>
      <c r="X566" s="507">
        <v>7359.1852509625396</v>
      </c>
      <c r="Y566" s="507">
        <v>7359.1852509625396</v>
      </c>
      <c r="Z566" s="507">
        <v>38626.891545252176</v>
      </c>
      <c r="AA566" s="507">
        <v>38626.891545252176</v>
      </c>
      <c r="AB566" s="507">
        <v>38626.891545252176</v>
      </c>
      <c r="AC566" s="507">
        <v>0</v>
      </c>
      <c r="AD566" s="507">
        <v>0</v>
      </c>
      <c r="AE566" s="507">
        <v>0</v>
      </c>
      <c r="AF566" s="507"/>
      <c r="AG566" s="507"/>
      <c r="AH566" s="507">
        <v>0</v>
      </c>
      <c r="AI566" s="507">
        <v>0</v>
      </c>
      <c r="AJ566" s="507">
        <v>0</v>
      </c>
      <c r="AK566" s="507">
        <v>0</v>
      </c>
      <c r="AL566" s="507">
        <v>0</v>
      </c>
      <c r="AM566" s="507">
        <v>0</v>
      </c>
      <c r="AN566" s="507"/>
      <c r="AO566" s="507"/>
    </row>
    <row r="567" spans="1:41">
      <c r="A567" s="2" t="s">
        <v>1211</v>
      </c>
      <c r="B567" s="2" t="s">
        <v>1212</v>
      </c>
      <c r="C567" s="2" t="s">
        <v>328</v>
      </c>
      <c r="D567" s="2" t="s">
        <v>348</v>
      </c>
      <c r="E567" s="2" t="s">
        <v>19</v>
      </c>
      <c r="F567" s="2" t="s">
        <v>20</v>
      </c>
      <c r="G567" s="2" t="s">
        <v>21</v>
      </c>
      <c r="H567">
        <v>1</v>
      </c>
      <c r="I567" s="2" t="s">
        <v>526</v>
      </c>
      <c r="J567" s="3">
        <v>1</v>
      </c>
      <c r="K567" s="3">
        <v>5.2488000000000001</v>
      </c>
      <c r="L567" s="507">
        <v>433.67141510104921</v>
      </c>
      <c r="M567" s="507">
        <v>0</v>
      </c>
      <c r="N567" s="507">
        <v>433.67141510104921</v>
      </c>
      <c r="O567" s="507">
        <v>4.1909958525519873</v>
      </c>
      <c r="P567">
        <v>1</v>
      </c>
      <c r="Q567" s="2" t="s">
        <v>526</v>
      </c>
      <c r="R567" s="3">
        <v>1</v>
      </c>
      <c r="S567" s="3">
        <v>5.2488000000000001</v>
      </c>
      <c r="T567" s="507">
        <v>433.67141510104921</v>
      </c>
      <c r="U567" s="507">
        <v>0</v>
      </c>
      <c r="V567" s="507">
        <v>433.67141510104921</v>
      </c>
      <c r="W567" s="507">
        <v>4.1909958525519873</v>
      </c>
      <c r="X567" s="507">
        <v>437.86241095360117</v>
      </c>
      <c r="Y567" s="507">
        <v>437.86241095360117</v>
      </c>
      <c r="Z567" s="507">
        <v>2298.2522226132619</v>
      </c>
      <c r="AA567" s="507">
        <v>2298.2522226132619</v>
      </c>
      <c r="AB567" s="507">
        <v>2298.2522226132619</v>
      </c>
      <c r="AC567" s="507">
        <v>0</v>
      </c>
      <c r="AD567" s="507">
        <v>0</v>
      </c>
      <c r="AE567" s="507">
        <v>0</v>
      </c>
      <c r="AF567" s="507"/>
      <c r="AG567" s="507"/>
      <c r="AH567" s="507">
        <v>0</v>
      </c>
      <c r="AI567" s="507">
        <v>0</v>
      </c>
      <c r="AJ567" s="507">
        <v>0</v>
      </c>
      <c r="AK567" s="507">
        <v>0</v>
      </c>
      <c r="AL567" s="507">
        <v>0</v>
      </c>
      <c r="AM567" s="507">
        <v>0</v>
      </c>
      <c r="AN567" s="507"/>
      <c r="AO567" s="507"/>
    </row>
    <row r="568" spans="1:41">
      <c r="A568" s="2" t="s">
        <v>1213</v>
      </c>
      <c r="B568" s="2" t="s">
        <v>1214</v>
      </c>
      <c r="C568" s="2" t="s">
        <v>328</v>
      </c>
      <c r="D568" s="2" t="s">
        <v>25</v>
      </c>
      <c r="E568" s="2" t="s">
        <v>19</v>
      </c>
      <c r="F568" s="2" t="s">
        <v>20</v>
      </c>
      <c r="G568" s="2" t="s">
        <v>21</v>
      </c>
      <c r="H568">
        <v>1</v>
      </c>
      <c r="I568" s="2" t="s">
        <v>526</v>
      </c>
      <c r="J568" s="3">
        <v>1</v>
      </c>
      <c r="K568" s="3">
        <v>5.2488000000000001</v>
      </c>
      <c r="L568" s="507">
        <v>55322.743326379939</v>
      </c>
      <c r="M568" s="507">
        <v>0</v>
      </c>
      <c r="N568" s="507">
        <v>55322.743326379939</v>
      </c>
      <c r="O568" s="507">
        <v>1487.5671218105683</v>
      </c>
      <c r="P568">
        <v>1</v>
      </c>
      <c r="Q568" s="2" t="s">
        <v>526</v>
      </c>
      <c r="R568" s="3">
        <v>1</v>
      </c>
      <c r="S568" s="3">
        <v>5.2488000000000001</v>
      </c>
      <c r="T568" s="507">
        <v>55322.743326379939</v>
      </c>
      <c r="U568" s="507">
        <v>0</v>
      </c>
      <c r="V568" s="507">
        <v>55322.743326379939</v>
      </c>
      <c r="W568" s="507">
        <v>1487.5671218105683</v>
      </c>
      <c r="X568" s="507">
        <v>56810.31044819051</v>
      </c>
      <c r="Y568" s="507">
        <v>56810.31044819051</v>
      </c>
      <c r="Z568" s="507">
        <v>298185.95748046238</v>
      </c>
      <c r="AA568" s="507">
        <v>298185.95748046238</v>
      </c>
      <c r="AB568" s="507">
        <v>298185.95748046238</v>
      </c>
      <c r="AC568" s="507">
        <v>0</v>
      </c>
      <c r="AD568" s="507">
        <v>0</v>
      </c>
      <c r="AE568" s="507">
        <v>0</v>
      </c>
      <c r="AF568" s="507"/>
      <c r="AG568" s="507"/>
      <c r="AH568" s="507">
        <v>0</v>
      </c>
      <c r="AI568" s="507">
        <v>0</v>
      </c>
      <c r="AJ568" s="507">
        <v>0</v>
      </c>
      <c r="AK568" s="507">
        <v>0</v>
      </c>
      <c r="AL568" s="507">
        <v>0</v>
      </c>
      <c r="AM568" s="507">
        <v>0</v>
      </c>
      <c r="AN568" s="507"/>
      <c r="AO568" s="507"/>
    </row>
    <row r="569" spans="1:41">
      <c r="A569" s="2" t="s">
        <v>1215</v>
      </c>
      <c r="B569" s="2" t="s">
        <v>1216</v>
      </c>
      <c r="C569" s="2" t="s">
        <v>328</v>
      </c>
      <c r="D569" s="2" t="s">
        <v>18</v>
      </c>
      <c r="E569" s="2" t="s">
        <v>19</v>
      </c>
      <c r="F569" s="2" t="s">
        <v>20</v>
      </c>
      <c r="G569" s="2" t="s">
        <v>21</v>
      </c>
      <c r="H569">
        <v>1</v>
      </c>
      <c r="I569" s="2" t="s">
        <v>526</v>
      </c>
      <c r="J569" s="3">
        <v>1</v>
      </c>
      <c r="K569" s="3">
        <v>5.2488000000000001</v>
      </c>
      <c r="L569" s="507">
        <v>25025.706700093786</v>
      </c>
      <c r="M569" s="507">
        <v>0</v>
      </c>
      <c r="N569" s="507">
        <v>25025.706700093786</v>
      </c>
      <c r="O569" s="507">
        <v>653.79664071992761</v>
      </c>
      <c r="P569">
        <v>1</v>
      </c>
      <c r="Q569" s="2" t="s">
        <v>526</v>
      </c>
      <c r="R569" s="3">
        <v>1</v>
      </c>
      <c r="S569" s="3">
        <v>5.2488000000000001</v>
      </c>
      <c r="T569" s="507">
        <v>25025.706700093786</v>
      </c>
      <c r="U569" s="507">
        <v>0</v>
      </c>
      <c r="V569" s="507">
        <v>25025.706700093786</v>
      </c>
      <c r="W569" s="507">
        <v>653.79664071992761</v>
      </c>
      <c r="X569" s="507">
        <v>25679.503340813713</v>
      </c>
      <c r="Y569" s="507">
        <v>25679.503340813713</v>
      </c>
      <c r="Z569" s="507">
        <v>134786.57713526301</v>
      </c>
      <c r="AA569" s="507">
        <v>134786.57713526301</v>
      </c>
      <c r="AB569" s="507">
        <v>134786.57713526301</v>
      </c>
      <c r="AC569" s="507">
        <v>0</v>
      </c>
      <c r="AD569" s="507">
        <v>0</v>
      </c>
      <c r="AE569" s="507">
        <v>0</v>
      </c>
      <c r="AF569" s="507"/>
      <c r="AG569" s="507"/>
      <c r="AH569" s="507">
        <v>0</v>
      </c>
      <c r="AI569" s="507">
        <v>0</v>
      </c>
      <c r="AJ569" s="507">
        <v>0</v>
      </c>
      <c r="AK569" s="507">
        <v>0</v>
      </c>
      <c r="AL569" s="507">
        <v>0</v>
      </c>
      <c r="AM569" s="507">
        <v>0</v>
      </c>
      <c r="AN569" s="507"/>
      <c r="AO569" s="507"/>
    </row>
    <row r="570" spans="1:41">
      <c r="A570" s="2" t="s">
        <v>1217</v>
      </c>
      <c r="B570" s="2" t="s">
        <v>1216</v>
      </c>
      <c r="C570" s="2" t="s">
        <v>328</v>
      </c>
      <c r="D570" s="2" t="s">
        <v>18</v>
      </c>
      <c r="E570" s="2" t="s">
        <v>19</v>
      </c>
      <c r="F570" s="2" t="s">
        <v>20</v>
      </c>
      <c r="G570" s="2" t="s">
        <v>21</v>
      </c>
      <c r="H570">
        <v>1</v>
      </c>
      <c r="I570" s="2" t="s">
        <v>526</v>
      </c>
      <c r="J570" s="3">
        <v>1</v>
      </c>
      <c r="K570" s="3">
        <v>5.2488000000000001</v>
      </c>
      <c r="L570" s="507">
        <v>35218.528232871249</v>
      </c>
      <c r="M570" s="507">
        <v>0</v>
      </c>
      <c r="N570" s="507">
        <v>35218.528232871249</v>
      </c>
      <c r="O570" s="507">
        <v>920.08405008376133</v>
      </c>
      <c r="P570">
        <v>1</v>
      </c>
      <c r="Q570" s="2" t="s">
        <v>526</v>
      </c>
      <c r="R570" s="3">
        <v>1</v>
      </c>
      <c r="S570" s="3">
        <v>5.2488000000000001</v>
      </c>
      <c r="T570" s="507">
        <v>35218.528232871249</v>
      </c>
      <c r="U570" s="507">
        <v>0</v>
      </c>
      <c r="V570" s="507">
        <v>35218.528232871249</v>
      </c>
      <c r="W570" s="507">
        <v>920.08405008376133</v>
      </c>
      <c r="X570" s="507">
        <v>36138.612282955008</v>
      </c>
      <c r="Y570" s="507">
        <v>36138.612282955008</v>
      </c>
      <c r="Z570" s="507">
        <v>189684.34815077425</v>
      </c>
      <c r="AA570" s="507">
        <v>189684.34815077425</v>
      </c>
      <c r="AB570" s="507">
        <v>189684.34815077425</v>
      </c>
      <c r="AC570" s="507">
        <v>0</v>
      </c>
      <c r="AD570" s="507">
        <v>0</v>
      </c>
      <c r="AE570" s="507">
        <v>0</v>
      </c>
      <c r="AF570" s="507"/>
      <c r="AG570" s="507"/>
      <c r="AH570" s="507">
        <v>0</v>
      </c>
      <c r="AI570" s="507">
        <v>0</v>
      </c>
      <c r="AJ570" s="507">
        <v>0</v>
      </c>
      <c r="AK570" s="507">
        <v>0</v>
      </c>
      <c r="AL570" s="507">
        <v>0</v>
      </c>
      <c r="AM570" s="507">
        <v>0</v>
      </c>
      <c r="AN570" s="507"/>
      <c r="AO570" s="507"/>
    </row>
    <row r="571" spans="1:41">
      <c r="A571" s="2" t="s">
        <v>1218</v>
      </c>
      <c r="B571" s="2" t="s">
        <v>351</v>
      </c>
      <c r="C571" s="2" t="s">
        <v>328</v>
      </c>
      <c r="D571" s="2" t="s">
        <v>18</v>
      </c>
      <c r="E571" s="2" t="s">
        <v>19</v>
      </c>
      <c r="F571" s="2" t="s">
        <v>20</v>
      </c>
      <c r="G571" s="2" t="s">
        <v>21</v>
      </c>
      <c r="H571">
        <v>1</v>
      </c>
      <c r="I571" s="2" t="s">
        <v>526</v>
      </c>
      <c r="J571" s="3">
        <v>1</v>
      </c>
      <c r="K571" s="3">
        <v>5.2488000000000001</v>
      </c>
      <c r="L571" s="507">
        <v>69475.186412142808</v>
      </c>
      <c r="M571" s="507">
        <v>0</v>
      </c>
      <c r="N571" s="507">
        <v>69475.186412142808</v>
      </c>
      <c r="O571" s="507">
        <v>1751.9326450545598</v>
      </c>
      <c r="P571">
        <v>1</v>
      </c>
      <c r="Q571" s="2" t="s">
        <v>526</v>
      </c>
      <c r="R571" s="3">
        <v>1</v>
      </c>
      <c r="S571" s="3">
        <v>5.2488000000000001</v>
      </c>
      <c r="T571" s="507">
        <v>69475.186412142808</v>
      </c>
      <c r="U571" s="507">
        <v>0</v>
      </c>
      <c r="V571" s="507">
        <v>69475.186412142808</v>
      </c>
      <c r="W571" s="507">
        <v>1751.9326450545598</v>
      </c>
      <c r="X571" s="507">
        <v>71227.119057197371</v>
      </c>
      <c r="Y571" s="507">
        <v>71227.119057197371</v>
      </c>
      <c r="Z571" s="507">
        <v>373856.90250741754</v>
      </c>
      <c r="AA571" s="507">
        <v>373856.90250741754</v>
      </c>
      <c r="AB571" s="507">
        <v>373856.90250741754</v>
      </c>
      <c r="AC571" s="507">
        <v>0</v>
      </c>
      <c r="AD571" s="507">
        <v>0</v>
      </c>
      <c r="AE571" s="507">
        <v>0</v>
      </c>
      <c r="AF571" s="507"/>
      <c r="AG571" s="507"/>
      <c r="AH571" s="507">
        <v>0</v>
      </c>
      <c r="AI571" s="507">
        <v>0</v>
      </c>
      <c r="AJ571" s="507">
        <v>0</v>
      </c>
      <c r="AK571" s="507">
        <v>0</v>
      </c>
      <c r="AL571" s="507">
        <v>0</v>
      </c>
      <c r="AM571" s="507">
        <v>0</v>
      </c>
      <c r="AN571" s="507"/>
      <c r="AO571" s="507"/>
    </row>
    <row r="572" spans="1:41">
      <c r="A572" s="2" t="s">
        <v>1219</v>
      </c>
      <c r="B572" s="2" t="s">
        <v>351</v>
      </c>
      <c r="C572" s="2" t="s">
        <v>328</v>
      </c>
      <c r="D572" s="2" t="s">
        <v>18</v>
      </c>
      <c r="E572" s="2" t="s">
        <v>19</v>
      </c>
      <c r="F572" s="2" t="s">
        <v>20</v>
      </c>
      <c r="G572" s="2" t="s">
        <v>21</v>
      </c>
      <c r="H572">
        <v>1</v>
      </c>
      <c r="I572" s="2" t="s">
        <v>526</v>
      </c>
      <c r="J572" s="3">
        <v>1</v>
      </c>
      <c r="K572" s="3">
        <v>5.2488000000000001</v>
      </c>
      <c r="L572" s="507">
        <v>20223.830596470416</v>
      </c>
      <c r="M572" s="507">
        <v>0</v>
      </c>
      <c r="N572" s="507">
        <v>20223.830596470416</v>
      </c>
      <c r="O572" s="507">
        <v>509.97767180495464</v>
      </c>
      <c r="P572">
        <v>1</v>
      </c>
      <c r="Q572" s="2" t="s">
        <v>526</v>
      </c>
      <c r="R572" s="3">
        <v>1</v>
      </c>
      <c r="S572" s="3">
        <v>5.2488000000000001</v>
      </c>
      <c r="T572" s="507">
        <v>20223.830596470416</v>
      </c>
      <c r="U572" s="507">
        <v>0</v>
      </c>
      <c r="V572" s="507">
        <v>20223.830596470416</v>
      </c>
      <c r="W572" s="507">
        <v>509.97767180495464</v>
      </c>
      <c r="X572" s="507">
        <v>20733.80826827537</v>
      </c>
      <c r="Y572" s="507">
        <v>20733.80826827537</v>
      </c>
      <c r="Z572" s="507">
        <v>108827.61283852377</v>
      </c>
      <c r="AA572" s="507">
        <v>108827.61283852377</v>
      </c>
      <c r="AB572" s="507">
        <v>108827.61283852377</v>
      </c>
      <c r="AC572" s="507">
        <v>0</v>
      </c>
      <c r="AD572" s="507">
        <v>0</v>
      </c>
      <c r="AE572" s="507">
        <v>0</v>
      </c>
      <c r="AF572" s="507"/>
      <c r="AG572" s="507"/>
      <c r="AH572" s="507">
        <v>0</v>
      </c>
      <c r="AI572" s="507">
        <v>0</v>
      </c>
      <c r="AJ572" s="507">
        <v>0</v>
      </c>
      <c r="AK572" s="507">
        <v>0</v>
      </c>
      <c r="AL572" s="507">
        <v>0</v>
      </c>
      <c r="AM572" s="507">
        <v>0</v>
      </c>
      <c r="AN572" s="507"/>
      <c r="AO572" s="507"/>
    </row>
    <row r="573" spans="1:41">
      <c r="A573" s="2" t="s">
        <v>1335</v>
      </c>
      <c r="B573" s="2" t="s">
        <v>382</v>
      </c>
      <c r="C573" s="2" t="s">
        <v>379</v>
      </c>
      <c r="D573" s="2" t="s">
        <v>30</v>
      </c>
      <c r="E573" s="2" t="s">
        <v>19</v>
      </c>
      <c r="F573" s="2" t="s">
        <v>380</v>
      </c>
      <c r="G573" s="2" t="s">
        <v>57</v>
      </c>
      <c r="H573">
        <v>1</v>
      </c>
      <c r="I573" s="2" t="s">
        <v>526</v>
      </c>
      <c r="J573" s="3">
        <v>0.15684552284455039</v>
      </c>
      <c r="K573" s="3">
        <v>5.2488000000000001</v>
      </c>
      <c r="L573" s="507">
        <v>184973.0194832581</v>
      </c>
      <c r="M573" s="507">
        <v>0</v>
      </c>
      <c r="N573" s="507">
        <v>184973.0194832581</v>
      </c>
      <c r="O573" s="507">
        <v>0</v>
      </c>
      <c r="P573">
        <v>1</v>
      </c>
      <c r="Q573" s="2" t="s">
        <v>526</v>
      </c>
      <c r="R573" s="3">
        <v>0.15702038124548567</v>
      </c>
      <c r="S573" s="3">
        <v>5.2488000000000001</v>
      </c>
      <c r="T573" s="507">
        <v>5599.4161401096117</v>
      </c>
      <c r="U573" s="507">
        <v>0</v>
      </c>
      <c r="V573" s="507">
        <v>5599.4161401096117</v>
      </c>
      <c r="W573" s="507">
        <v>0</v>
      </c>
      <c r="X573" s="507">
        <v>184973.0194832581</v>
      </c>
      <c r="Y573" s="507">
        <v>5599.4161401096117</v>
      </c>
      <c r="Z573" s="507">
        <v>970886.38466372516</v>
      </c>
      <c r="AA573" s="507">
        <v>29390.215436207331</v>
      </c>
      <c r="AB573" s="507">
        <v>29422.980962319369</v>
      </c>
      <c r="AC573" s="507">
        <v>941496.17</v>
      </c>
      <c r="AD573" s="507">
        <v>941463.4</v>
      </c>
      <c r="AE573" s="507">
        <v>32.770000000000003</v>
      </c>
      <c r="AF573" s="507">
        <v>941463.4</v>
      </c>
      <c r="AG573" s="507"/>
      <c r="AH573" s="507">
        <v>0</v>
      </c>
      <c r="AI573" s="507">
        <v>0</v>
      </c>
      <c r="AJ573" s="507">
        <v>0</v>
      </c>
      <c r="AK573" s="507">
        <v>0</v>
      </c>
      <c r="AL573" s="507">
        <v>0</v>
      </c>
      <c r="AM573" s="507">
        <v>0</v>
      </c>
      <c r="AN573" s="507"/>
      <c r="AO573" s="507"/>
    </row>
    <row r="574" spans="1:41">
      <c r="A574" s="2" t="s">
        <v>378</v>
      </c>
      <c r="B574" s="2" t="s">
        <v>236</v>
      </c>
      <c r="C574" s="2" t="s">
        <v>379</v>
      </c>
      <c r="D574" s="2" t="s">
        <v>25</v>
      </c>
      <c r="E574" s="2" t="s">
        <v>19</v>
      </c>
      <c r="F574" s="2" t="s">
        <v>380</v>
      </c>
      <c r="G574" s="2" t="s">
        <v>21</v>
      </c>
      <c r="H574">
        <v>1</v>
      </c>
      <c r="I574" s="2" t="s">
        <v>526</v>
      </c>
      <c r="J574" s="3">
        <v>1</v>
      </c>
      <c r="K574" s="3">
        <v>5.2488000000000001</v>
      </c>
      <c r="L574" s="507">
        <v>5931.2541212444394</v>
      </c>
      <c r="M574" s="507">
        <v>0</v>
      </c>
      <c r="N574" s="507">
        <v>5931.2541212444394</v>
      </c>
      <c r="O574" s="507">
        <v>0</v>
      </c>
      <c r="P574">
        <v>1</v>
      </c>
      <c r="Q574" s="2" t="s">
        <v>526</v>
      </c>
      <c r="R574" s="3">
        <v>1</v>
      </c>
      <c r="S574" s="3">
        <v>5.2488000000000001</v>
      </c>
      <c r="T574" s="507">
        <v>184973.0194832581</v>
      </c>
      <c r="U574" s="507">
        <v>0</v>
      </c>
      <c r="V574" s="507">
        <v>184973.0194832581</v>
      </c>
      <c r="W574" s="507">
        <v>0</v>
      </c>
      <c r="X574" s="507">
        <v>5931.2541212444394</v>
      </c>
      <c r="Y574" s="507">
        <v>184973.0194832581</v>
      </c>
      <c r="Z574" s="507">
        <v>31131.966631587813</v>
      </c>
      <c r="AA574" s="507">
        <v>970886.38466372516</v>
      </c>
      <c r="AB574" s="507">
        <v>970886.38466372516</v>
      </c>
      <c r="AC574" s="507">
        <v>-939754.42</v>
      </c>
      <c r="AD574" s="507">
        <v>-939754.42</v>
      </c>
      <c r="AE574" s="507">
        <v>0</v>
      </c>
      <c r="AF574" s="507"/>
      <c r="AG574" s="507">
        <v>-939754.42</v>
      </c>
      <c r="AH574" s="507">
        <v>0</v>
      </c>
      <c r="AI574" s="507">
        <v>0</v>
      </c>
      <c r="AJ574" s="507">
        <v>0</v>
      </c>
      <c r="AK574" s="507">
        <v>0</v>
      </c>
      <c r="AL574" s="507">
        <v>0</v>
      </c>
      <c r="AM574" s="507">
        <v>0</v>
      </c>
      <c r="AN574" s="507"/>
      <c r="AO574" s="507"/>
    </row>
    <row r="575" spans="1:41">
      <c r="A575" s="2" t="s">
        <v>381</v>
      </c>
      <c r="B575" s="2" t="s">
        <v>382</v>
      </c>
      <c r="C575" s="2" t="s">
        <v>379</v>
      </c>
      <c r="D575" s="2" t="s">
        <v>30</v>
      </c>
      <c r="E575" s="2" t="s">
        <v>19</v>
      </c>
      <c r="F575" s="2" t="s">
        <v>380</v>
      </c>
      <c r="G575" s="2" t="s">
        <v>21</v>
      </c>
      <c r="H575">
        <v>1</v>
      </c>
      <c r="I575" s="2" t="s">
        <v>526</v>
      </c>
      <c r="J575" s="3">
        <v>1</v>
      </c>
      <c r="K575" s="3">
        <v>5.2488000000000001</v>
      </c>
      <c r="L575" s="507">
        <v>1861.5297810720767</v>
      </c>
      <c r="M575" s="507">
        <v>0</v>
      </c>
      <c r="N575" s="507">
        <v>1861.5297810720767</v>
      </c>
      <c r="O575" s="507">
        <v>0</v>
      </c>
      <c r="P575">
        <v>1</v>
      </c>
      <c r="Q575" s="2" t="s">
        <v>526</v>
      </c>
      <c r="R575" s="3">
        <v>1</v>
      </c>
      <c r="S575" s="3">
        <v>5.2488000000000001</v>
      </c>
      <c r="T575" s="507">
        <v>5931.2541212444394</v>
      </c>
      <c r="U575" s="507">
        <v>0</v>
      </c>
      <c r="V575" s="507">
        <v>5931.2541212444394</v>
      </c>
      <c r="W575" s="507">
        <v>0</v>
      </c>
      <c r="X575" s="507">
        <v>1861.5297810720767</v>
      </c>
      <c r="Y575" s="507">
        <v>5931.2541212444394</v>
      </c>
      <c r="Z575" s="507">
        <v>9770.7975148911173</v>
      </c>
      <c r="AA575" s="507">
        <v>31131.966631587813</v>
      </c>
      <c r="AB575" s="507">
        <v>31131.966631587813</v>
      </c>
      <c r="AC575" s="507">
        <v>-21361.17</v>
      </c>
      <c r="AD575" s="507">
        <v>-21361.17</v>
      </c>
      <c r="AE575" s="507">
        <v>0</v>
      </c>
      <c r="AF575" s="507"/>
      <c r="AG575" s="507">
        <v>-21361.17</v>
      </c>
      <c r="AH575" s="507">
        <v>0</v>
      </c>
      <c r="AI575" s="507">
        <v>0</v>
      </c>
      <c r="AJ575" s="507">
        <v>0</v>
      </c>
      <c r="AK575" s="507">
        <v>0</v>
      </c>
      <c r="AL575" s="507">
        <v>0</v>
      </c>
      <c r="AM575" s="507">
        <v>0</v>
      </c>
      <c r="AN575" s="507"/>
      <c r="AO575" s="507"/>
    </row>
    <row r="576" spans="1:41">
      <c r="A576" s="2" t="s">
        <v>383</v>
      </c>
      <c r="B576" s="2" t="s">
        <v>382</v>
      </c>
      <c r="C576" s="2" t="s">
        <v>379</v>
      </c>
      <c r="D576" s="2" t="s">
        <v>30</v>
      </c>
      <c r="E576" s="2" t="s">
        <v>19</v>
      </c>
      <c r="F576" s="2" t="s">
        <v>380</v>
      </c>
      <c r="G576" s="2" t="s">
        <v>21</v>
      </c>
      <c r="H576">
        <v>1</v>
      </c>
      <c r="I576" s="2" t="s">
        <v>526</v>
      </c>
      <c r="J576" s="3">
        <v>1</v>
      </c>
      <c r="K576" s="3">
        <v>5.2488000000000001</v>
      </c>
      <c r="L576" s="507">
        <v>652.16144445407542</v>
      </c>
      <c r="M576" s="507">
        <v>0</v>
      </c>
      <c r="N576" s="507">
        <v>652.16144445407542</v>
      </c>
      <c r="O576" s="507">
        <v>0</v>
      </c>
      <c r="P576">
        <v>1</v>
      </c>
      <c r="Q576" s="2" t="s">
        <v>526</v>
      </c>
      <c r="R576" s="3">
        <v>1</v>
      </c>
      <c r="S576" s="3">
        <v>5.2488000000000001</v>
      </c>
      <c r="T576" s="507">
        <v>1861.5297810720767</v>
      </c>
      <c r="U576" s="507">
        <v>0</v>
      </c>
      <c r="V576" s="507">
        <v>1861.5297810720767</v>
      </c>
      <c r="W576" s="507">
        <v>0</v>
      </c>
      <c r="X576" s="507">
        <v>652.16144445407542</v>
      </c>
      <c r="Y576" s="507">
        <v>1861.5297810720767</v>
      </c>
      <c r="Z576" s="507">
        <v>3423.0649896505511</v>
      </c>
      <c r="AA576" s="507">
        <v>9770.7975148911173</v>
      </c>
      <c r="AB576" s="507">
        <v>9770.7975148911173</v>
      </c>
      <c r="AC576" s="507">
        <v>-6347.73</v>
      </c>
      <c r="AD576" s="507">
        <v>-6347.73</v>
      </c>
      <c r="AE576" s="507">
        <v>0</v>
      </c>
      <c r="AF576" s="507"/>
      <c r="AG576" s="507">
        <v>-6347.73</v>
      </c>
      <c r="AH576" s="507">
        <v>0</v>
      </c>
      <c r="AI576" s="507">
        <v>0</v>
      </c>
      <c r="AJ576" s="507">
        <v>0</v>
      </c>
      <c r="AK576" s="507">
        <v>0</v>
      </c>
      <c r="AL576" s="507">
        <v>0</v>
      </c>
      <c r="AM576" s="507">
        <v>0</v>
      </c>
      <c r="AN576" s="507"/>
      <c r="AO576" s="507"/>
    </row>
    <row r="577" spans="1:41">
      <c r="A577" s="2" t="s">
        <v>384</v>
      </c>
      <c r="B577" s="2" t="s">
        <v>382</v>
      </c>
      <c r="C577" s="2" t="s">
        <v>379</v>
      </c>
      <c r="D577" s="2" t="s">
        <v>30</v>
      </c>
      <c r="E577" s="2" t="s">
        <v>19</v>
      </c>
      <c r="F577" s="2" t="s">
        <v>380</v>
      </c>
      <c r="G577" s="2" t="s">
        <v>21</v>
      </c>
      <c r="H577">
        <v>1</v>
      </c>
      <c r="I577" s="2" t="s">
        <v>526</v>
      </c>
      <c r="J577" s="3">
        <v>1</v>
      </c>
      <c r="K577" s="3">
        <v>5.2488000000000001</v>
      </c>
      <c r="L577" s="507">
        <v>532.12613467798042</v>
      </c>
      <c r="M577" s="507">
        <v>0</v>
      </c>
      <c r="N577" s="507">
        <v>532.12613467798042</v>
      </c>
      <c r="O577" s="507">
        <v>0</v>
      </c>
      <c r="P577">
        <v>1</v>
      </c>
      <c r="Q577" s="2" t="s">
        <v>526</v>
      </c>
      <c r="R577" s="3">
        <v>1</v>
      </c>
      <c r="S577" s="3">
        <v>5.2488000000000001</v>
      </c>
      <c r="T577" s="507">
        <v>652.16144445407542</v>
      </c>
      <c r="U577" s="507">
        <v>0</v>
      </c>
      <c r="V577" s="507">
        <v>652.16144445407542</v>
      </c>
      <c r="W577" s="507">
        <v>0</v>
      </c>
      <c r="X577" s="507">
        <v>532.12613467798042</v>
      </c>
      <c r="Y577" s="507">
        <v>652.16144445407542</v>
      </c>
      <c r="Z577" s="507">
        <v>2793.0236556977839</v>
      </c>
      <c r="AA577" s="507">
        <v>3423.0649896505511</v>
      </c>
      <c r="AB577" s="507">
        <v>3423.0649896505511</v>
      </c>
      <c r="AC577" s="507">
        <v>-630.04</v>
      </c>
      <c r="AD577" s="507">
        <v>-630.04</v>
      </c>
      <c r="AE577" s="507">
        <v>0</v>
      </c>
      <c r="AF577" s="507"/>
      <c r="AG577" s="507">
        <v>-630.04</v>
      </c>
      <c r="AH577" s="507">
        <v>0</v>
      </c>
      <c r="AI577" s="507">
        <v>0</v>
      </c>
      <c r="AJ577" s="507">
        <v>0</v>
      </c>
      <c r="AK577" s="507">
        <v>0</v>
      </c>
      <c r="AL577" s="507">
        <v>0</v>
      </c>
      <c r="AM577" s="507">
        <v>0</v>
      </c>
      <c r="AN577" s="507"/>
      <c r="AO577" s="507"/>
    </row>
    <row r="578" spans="1:41">
      <c r="A578" s="2" t="s">
        <v>385</v>
      </c>
      <c r="B578" s="2" t="s">
        <v>382</v>
      </c>
      <c r="C578" s="2" t="s">
        <v>379</v>
      </c>
      <c r="D578" s="2" t="s">
        <v>30</v>
      </c>
      <c r="E578" s="2" t="s">
        <v>19</v>
      </c>
      <c r="F578" s="2" t="s">
        <v>380</v>
      </c>
      <c r="G578" s="2" t="s">
        <v>21</v>
      </c>
      <c r="H578">
        <v>1</v>
      </c>
      <c r="I578" s="2" t="s">
        <v>526</v>
      </c>
      <c r="J578" s="3">
        <v>1</v>
      </c>
      <c r="K578" s="3">
        <v>5.2488000000000001</v>
      </c>
      <c r="L578" s="507">
        <v>69415.661036417645</v>
      </c>
      <c r="M578" s="507">
        <v>0</v>
      </c>
      <c r="N578" s="507">
        <v>69415.661036417645</v>
      </c>
      <c r="O578" s="507">
        <v>0</v>
      </c>
      <c r="P578">
        <v>1</v>
      </c>
      <c r="Q578" s="2" t="s">
        <v>526</v>
      </c>
      <c r="R578" s="3">
        <v>1</v>
      </c>
      <c r="S578" s="3">
        <v>5.2488000000000001</v>
      </c>
      <c r="T578" s="507">
        <v>532.12613467798042</v>
      </c>
      <c r="U578" s="507">
        <v>0</v>
      </c>
      <c r="V578" s="507">
        <v>532.12613467798042</v>
      </c>
      <c r="W578" s="507">
        <v>0</v>
      </c>
      <c r="X578" s="507">
        <v>69415.661036417645</v>
      </c>
      <c r="Y578" s="507">
        <v>532.12613467798042</v>
      </c>
      <c r="Z578" s="507">
        <v>364348.92164794897</v>
      </c>
      <c r="AA578" s="507">
        <v>2793.0236556977839</v>
      </c>
      <c r="AB578" s="507">
        <v>2793.0236556977839</v>
      </c>
      <c r="AC578" s="507">
        <v>361555.9</v>
      </c>
      <c r="AD578" s="507">
        <v>361555.9</v>
      </c>
      <c r="AE578" s="507">
        <v>0</v>
      </c>
      <c r="AF578" s="507">
        <v>361555.9</v>
      </c>
      <c r="AG578" s="507"/>
      <c r="AH578" s="507">
        <v>0</v>
      </c>
      <c r="AI578" s="507">
        <v>0</v>
      </c>
      <c r="AJ578" s="507">
        <v>0</v>
      </c>
      <c r="AK578" s="507">
        <v>0</v>
      </c>
      <c r="AL578" s="507">
        <v>0</v>
      </c>
      <c r="AM578" s="507">
        <v>0</v>
      </c>
      <c r="AN578" s="507"/>
      <c r="AO578" s="507"/>
    </row>
    <row r="579" spans="1:41">
      <c r="A579" s="2" t="s">
        <v>386</v>
      </c>
      <c r="B579" s="2" t="s">
        <v>382</v>
      </c>
      <c r="C579" s="2" t="s">
        <v>379</v>
      </c>
      <c r="D579" s="2" t="s">
        <v>30</v>
      </c>
      <c r="E579" s="2" t="s">
        <v>19</v>
      </c>
      <c r="F579" s="2" t="s">
        <v>380</v>
      </c>
      <c r="G579" s="2" t="s">
        <v>21</v>
      </c>
      <c r="H579">
        <v>1</v>
      </c>
      <c r="I579" s="2" t="s">
        <v>526</v>
      </c>
      <c r="J579" s="3">
        <v>1</v>
      </c>
      <c r="K579" s="3">
        <v>5.2488000000000001</v>
      </c>
      <c r="L579" s="507">
        <v>2551.0267394911016</v>
      </c>
      <c r="M579" s="507">
        <v>0</v>
      </c>
      <c r="N579" s="507">
        <v>2551.0267394911016</v>
      </c>
      <c r="O579" s="507">
        <v>0</v>
      </c>
      <c r="P579">
        <v>1</v>
      </c>
      <c r="Q579" s="2" t="s">
        <v>526</v>
      </c>
      <c r="R579" s="3">
        <v>1</v>
      </c>
      <c r="S579" s="3">
        <v>5.2488000000000001</v>
      </c>
      <c r="T579" s="507">
        <v>69415.661036417645</v>
      </c>
      <c r="U579" s="507">
        <v>0</v>
      </c>
      <c r="V579" s="507">
        <v>69415.661036417645</v>
      </c>
      <c r="W579" s="507">
        <v>0</v>
      </c>
      <c r="X579" s="507">
        <v>2551.0267394911016</v>
      </c>
      <c r="Y579" s="507">
        <v>69415.661036417645</v>
      </c>
      <c r="Z579" s="507">
        <v>13389.829150240894</v>
      </c>
      <c r="AA579" s="507">
        <v>364348.92164794897</v>
      </c>
      <c r="AB579" s="507">
        <v>364348.92164794897</v>
      </c>
      <c r="AC579" s="507">
        <v>-350959.09</v>
      </c>
      <c r="AD579" s="507">
        <v>-350959.09</v>
      </c>
      <c r="AE579" s="507">
        <v>0</v>
      </c>
      <c r="AF579" s="507"/>
      <c r="AG579" s="507">
        <v>-350959.09</v>
      </c>
      <c r="AH579" s="507">
        <v>0</v>
      </c>
      <c r="AI579" s="507">
        <v>0</v>
      </c>
      <c r="AJ579" s="507">
        <v>0</v>
      </c>
      <c r="AK579" s="507">
        <v>0</v>
      </c>
      <c r="AL579" s="507">
        <v>0</v>
      </c>
      <c r="AM579" s="507">
        <v>0</v>
      </c>
      <c r="AN579" s="507"/>
      <c r="AO579" s="507"/>
    </row>
    <row r="580" spans="1:41">
      <c r="A580" s="2" t="s">
        <v>387</v>
      </c>
      <c r="B580" s="2" t="s">
        <v>382</v>
      </c>
      <c r="C580" s="2" t="s">
        <v>379</v>
      </c>
      <c r="D580" s="2" t="s">
        <v>30</v>
      </c>
      <c r="E580" s="2" t="s">
        <v>19</v>
      </c>
      <c r="F580" s="2" t="s">
        <v>380</v>
      </c>
      <c r="G580" s="2" t="s">
        <v>21</v>
      </c>
      <c r="H580">
        <v>1</v>
      </c>
      <c r="I580" s="2" t="s">
        <v>526</v>
      </c>
      <c r="J580" s="3">
        <v>1</v>
      </c>
      <c r="K580" s="3">
        <v>5.2488000000000001</v>
      </c>
      <c r="L580" s="507">
        <v>86177.751321682852</v>
      </c>
      <c r="M580" s="507">
        <v>0</v>
      </c>
      <c r="N580" s="507">
        <v>86177.751321682852</v>
      </c>
      <c r="O580" s="507">
        <v>0</v>
      </c>
      <c r="P580">
        <v>1</v>
      </c>
      <c r="Q580" s="2" t="s">
        <v>526</v>
      </c>
      <c r="R580" s="3">
        <v>1</v>
      </c>
      <c r="S580" s="3">
        <v>5.2488000000000001</v>
      </c>
      <c r="T580" s="507">
        <v>2551.0267394911016</v>
      </c>
      <c r="U580" s="507">
        <v>0</v>
      </c>
      <c r="V580" s="507">
        <v>2551.0267394911016</v>
      </c>
      <c r="W580" s="507">
        <v>0</v>
      </c>
      <c r="X580" s="507">
        <v>86177.751321682852</v>
      </c>
      <c r="Y580" s="507">
        <v>2551.0267394911016</v>
      </c>
      <c r="Z580" s="507">
        <v>452329.78113724897</v>
      </c>
      <c r="AA580" s="507">
        <v>13389.829150240894</v>
      </c>
      <c r="AB580" s="507">
        <v>13389.829150240894</v>
      </c>
      <c r="AC580" s="507">
        <v>438939.95</v>
      </c>
      <c r="AD580" s="507">
        <v>438939.95</v>
      </c>
      <c r="AE580" s="507">
        <v>0</v>
      </c>
      <c r="AF580" s="507">
        <v>438939.95</v>
      </c>
      <c r="AG580" s="507"/>
      <c r="AH580" s="507">
        <v>0</v>
      </c>
      <c r="AI580" s="507">
        <v>0</v>
      </c>
      <c r="AJ580" s="507">
        <v>0</v>
      </c>
      <c r="AK580" s="507">
        <v>0</v>
      </c>
      <c r="AL580" s="507">
        <v>0</v>
      </c>
      <c r="AM580" s="507">
        <v>0</v>
      </c>
      <c r="AN580" s="507"/>
      <c r="AO580" s="507"/>
    </row>
    <row r="581" spans="1:41">
      <c r="A581" s="2" t="s">
        <v>388</v>
      </c>
      <c r="B581" s="2" t="s">
        <v>382</v>
      </c>
      <c r="C581" s="2" t="s">
        <v>379</v>
      </c>
      <c r="D581" s="2" t="s">
        <v>30</v>
      </c>
      <c r="E581" s="2" t="s">
        <v>19</v>
      </c>
      <c r="F581" s="2" t="s">
        <v>380</v>
      </c>
      <c r="G581" s="2" t="s">
        <v>21</v>
      </c>
      <c r="H581">
        <v>1</v>
      </c>
      <c r="I581" s="2" t="s">
        <v>526</v>
      </c>
      <c r="J581" s="3">
        <v>1</v>
      </c>
      <c r="K581" s="3">
        <v>5.2488000000000001</v>
      </c>
      <c r="L581" s="507">
        <v>51.689412121726356</v>
      </c>
      <c r="M581" s="507">
        <v>0</v>
      </c>
      <c r="N581" s="507">
        <v>51.689412121726356</v>
      </c>
      <c r="O581" s="507">
        <v>0</v>
      </c>
      <c r="P581">
        <v>1</v>
      </c>
      <c r="Q581" s="2" t="s">
        <v>526</v>
      </c>
      <c r="R581" s="3">
        <v>1</v>
      </c>
      <c r="S581" s="3">
        <v>5.2488000000000001</v>
      </c>
      <c r="T581" s="507">
        <v>86177.751321682852</v>
      </c>
      <c r="U581" s="507">
        <v>0</v>
      </c>
      <c r="V581" s="507">
        <v>86177.751321682852</v>
      </c>
      <c r="W581" s="507">
        <v>0</v>
      </c>
      <c r="X581" s="507">
        <v>51.689412121726356</v>
      </c>
      <c r="Y581" s="507">
        <v>86177.751321682852</v>
      </c>
      <c r="Z581" s="507">
        <v>271.30738634451728</v>
      </c>
      <c r="AA581" s="507">
        <v>452329.78113724897</v>
      </c>
      <c r="AB581" s="507">
        <v>452329.78113724897</v>
      </c>
      <c r="AC581" s="507">
        <v>-452058.47</v>
      </c>
      <c r="AD581" s="507">
        <v>-452058.47</v>
      </c>
      <c r="AE581" s="507">
        <v>0</v>
      </c>
      <c r="AF581" s="507"/>
      <c r="AG581" s="507">
        <v>-452058.47</v>
      </c>
      <c r="AH581" s="507">
        <v>0</v>
      </c>
      <c r="AI581" s="507">
        <v>0</v>
      </c>
      <c r="AJ581" s="507">
        <v>0</v>
      </c>
      <c r="AK581" s="507">
        <v>0</v>
      </c>
      <c r="AL581" s="507">
        <v>0</v>
      </c>
      <c r="AM581" s="507">
        <v>0</v>
      </c>
      <c r="AN581" s="507"/>
      <c r="AO581" s="507"/>
    </row>
    <row r="582" spans="1:41">
      <c r="A582" s="2" t="s">
        <v>389</v>
      </c>
      <c r="B582" s="2" t="s">
        <v>382</v>
      </c>
      <c r="C582" s="2" t="s">
        <v>379</v>
      </c>
      <c r="D582" s="2" t="s">
        <v>30</v>
      </c>
      <c r="E582" s="2" t="s">
        <v>19</v>
      </c>
      <c r="F582" s="2" t="s">
        <v>380</v>
      </c>
      <c r="G582" s="2" t="s">
        <v>21</v>
      </c>
      <c r="H582">
        <v>1</v>
      </c>
      <c r="I582" s="2" t="s">
        <v>526</v>
      </c>
      <c r="J582" s="3">
        <v>1</v>
      </c>
      <c r="K582" s="3">
        <v>5.2488000000000001</v>
      </c>
      <c r="L582" s="507">
        <v>9885.8030737466561</v>
      </c>
      <c r="M582" s="507">
        <v>0</v>
      </c>
      <c r="N582" s="507">
        <v>9885.8030737466561</v>
      </c>
      <c r="O582" s="507">
        <v>0</v>
      </c>
      <c r="P582">
        <v>1</v>
      </c>
      <c r="Q582" s="2" t="s">
        <v>526</v>
      </c>
      <c r="R582" s="3">
        <v>1</v>
      </c>
      <c r="S582" s="3">
        <v>5.2488000000000001</v>
      </c>
      <c r="T582" s="507">
        <v>51.689412121726356</v>
      </c>
      <c r="U582" s="507">
        <v>0</v>
      </c>
      <c r="V582" s="507">
        <v>51.689412121726356</v>
      </c>
      <c r="W582" s="507">
        <v>0</v>
      </c>
      <c r="X582" s="507">
        <v>9885.8030737466561</v>
      </c>
      <c r="Y582" s="507">
        <v>51.689412121726356</v>
      </c>
      <c r="Z582" s="507">
        <v>51888.603173481453</v>
      </c>
      <c r="AA582" s="507">
        <v>271.30738634451728</v>
      </c>
      <c r="AB582" s="507">
        <v>271.30738634451728</v>
      </c>
      <c r="AC582" s="507">
        <v>51617.3</v>
      </c>
      <c r="AD582" s="507">
        <v>51617.3</v>
      </c>
      <c r="AE582" s="507">
        <v>0</v>
      </c>
      <c r="AF582" s="507">
        <v>51617.3</v>
      </c>
      <c r="AG582" s="507"/>
      <c r="AH582" s="507">
        <v>0</v>
      </c>
      <c r="AI582" s="507">
        <v>0</v>
      </c>
      <c r="AJ582" s="507">
        <v>0</v>
      </c>
      <c r="AK582" s="507">
        <v>0</v>
      </c>
      <c r="AL582" s="507">
        <v>0</v>
      </c>
      <c r="AM582" s="507">
        <v>0</v>
      </c>
      <c r="AN582" s="507"/>
      <c r="AO582" s="507"/>
    </row>
    <row r="583" spans="1:41">
      <c r="A583" s="2" t="s">
        <v>390</v>
      </c>
      <c r="B583" s="2" t="s">
        <v>382</v>
      </c>
      <c r="C583" s="2" t="s">
        <v>379</v>
      </c>
      <c r="D583" s="2" t="s">
        <v>30</v>
      </c>
      <c r="E583" s="2" t="s">
        <v>19</v>
      </c>
      <c r="F583" s="2" t="s">
        <v>380</v>
      </c>
      <c r="G583" s="2" t="s">
        <v>21</v>
      </c>
      <c r="H583">
        <v>1</v>
      </c>
      <c r="I583" s="2" t="s">
        <v>526</v>
      </c>
      <c r="J583" s="3">
        <v>1</v>
      </c>
      <c r="K583" s="3">
        <v>5.2488000000000001</v>
      </c>
      <c r="L583" s="507">
        <v>1283.5513531416859</v>
      </c>
      <c r="M583" s="507">
        <v>0</v>
      </c>
      <c r="N583" s="507">
        <v>1283.5513531416859</v>
      </c>
      <c r="O583" s="507">
        <v>0</v>
      </c>
      <c r="P583">
        <v>1</v>
      </c>
      <c r="Q583" s="2" t="s">
        <v>526</v>
      </c>
      <c r="R583" s="3">
        <v>1</v>
      </c>
      <c r="S583" s="3">
        <v>5.2488000000000001</v>
      </c>
      <c r="T583" s="507">
        <v>9885.8030737466561</v>
      </c>
      <c r="U583" s="507">
        <v>0</v>
      </c>
      <c r="V583" s="507">
        <v>9885.8030737466561</v>
      </c>
      <c r="W583" s="507">
        <v>0</v>
      </c>
      <c r="X583" s="507">
        <v>1283.5513531416859</v>
      </c>
      <c r="Y583" s="507">
        <v>9885.8030737466561</v>
      </c>
      <c r="Z583" s="507">
        <v>6737.1043423700812</v>
      </c>
      <c r="AA583" s="507">
        <v>51888.603173481453</v>
      </c>
      <c r="AB583" s="507">
        <v>51888.603173481453</v>
      </c>
      <c r="AC583" s="507">
        <v>-45151.5</v>
      </c>
      <c r="AD583" s="507">
        <v>-45151.5</v>
      </c>
      <c r="AE583" s="507">
        <v>0</v>
      </c>
      <c r="AF583" s="507"/>
      <c r="AG583" s="507">
        <v>-45151.5</v>
      </c>
      <c r="AH583" s="507">
        <v>0</v>
      </c>
      <c r="AI583" s="507">
        <v>0</v>
      </c>
      <c r="AJ583" s="507">
        <v>0</v>
      </c>
      <c r="AK583" s="507">
        <v>0</v>
      </c>
      <c r="AL583" s="507">
        <v>0</v>
      </c>
      <c r="AM583" s="507">
        <v>0</v>
      </c>
      <c r="AN583" s="507"/>
      <c r="AO583" s="507"/>
    </row>
    <row r="584" spans="1:41">
      <c r="A584" s="2" t="s">
        <v>391</v>
      </c>
      <c r="B584" s="2" t="s">
        <v>382</v>
      </c>
      <c r="C584" s="2" t="s">
        <v>379</v>
      </c>
      <c r="D584" s="2" t="s">
        <v>30</v>
      </c>
      <c r="E584" s="2" t="s">
        <v>19</v>
      </c>
      <c r="F584" s="2" t="s">
        <v>380</v>
      </c>
      <c r="G584" s="2" t="s">
        <v>21</v>
      </c>
      <c r="H584">
        <v>1</v>
      </c>
      <c r="I584" s="2" t="s">
        <v>526</v>
      </c>
      <c r="J584" s="3">
        <v>1</v>
      </c>
      <c r="K584" s="3">
        <v>5.2488000000000001</v>
      </c>
      <c r="L584" s="507">
        <v>18290.568775607306</v>
      </c>
      <c r="M584" s="507">
        <v>0</v>
      </c>
      <c r="N584" s="507">
        <v>18290.568775607306</v>
      </c>
      <c r="O584" s="507">
        <v>0</v>
      </c>
      <c r="P584">
        <v>1</v>
      </c>
      <c r="Q584" s="2" t="s">
        <v>526</v>
      </c>
      <c r="R584" s="3">
        <v>1</v>
      </c>
      <c r="S584" s="3">
        <v>5.2488000000000001</v>
      </c>
      <c r="T584" s="507">
        <v>1283.5513531416859</v>
      </c>
      <c r="U584" s="507">
        <v>0</v>
      </c>
      <c r="V584" s="507">
        <v>1283.5513531416859</v>
      </c>
      <c r="W584" s="507">
        <v>0</v>
      </c>
      <c r="X584" s="507">
        <v>18290.568775607306</v>
      </c>
      <c r="Y584" s="507">
        <v>1283.5513531416859</v>
      </c>
      <c r="Z584" s="507">
        <v>96003.537389407633</v>
      </c>
      <c r="AA584" s="507">
        <v>6737.1043423700812</v>
      </c>
      <c r="AB584" s="507">
        <v>6737.1043423700812</v>
      </c>
      <c r="AC584" s="507">
        <v>89266.43</v>
      </c>
      <c r="AD584" s="507">
        <v>89266.43</v>
      </c>
      <c r="AE584" s="507">
        <v>0</v>
      </c>
      <c r="AF584" s="507">
        <v>89266.43</v>
      </c>
      <c r="AG584" s="507"/>
      <c r="AH584" s="507">
        <v>0</v>
      </c>
      <c r="AI584" s="507">
        <v>0</v>
      </c>
      <c r="AJ584" s="507">
        <v>0</v>
      </c>
      <c r="AK584" s="507">
        <v>0</v>
      </c>
      <c r="AL584" s="507">
        <v>0</v>
      </c>
      <c r="AM584" s="507">
        <v>0</v>
      </c>
      <c r="AN584" s="507"/>
      <c r="AO584" s="507"/>
    </row>
    <row r="585" spans="1:41">
      <c r="A585" s="2" t="s">
        <v>392</v>
      </c>
      <c r="B585" s="2" t="s">
        <v>382</v>
      </c>
      <c r="C585" s="2" t="s">
        <v>379</v>
      </c>
      <c r="D585" s="2" t="s">
        <v>30</v>
      </c>
      <c r="E585" s="2" t="s">
        <v>19</v>
      </c>
      <c r="F585" s="2" t="s">
        <v>380</v>
      </c>
      <c r="G585" s="2" t="s">
        <v>21</v>
      </c>
      <c r="H585">
        <v>1</v>
      </c>
      <c r="I585" s="2" t="s">
        <v>526</v>
      </c>
      <c r="J585" s="3">
        <v>1</v>
      </c>
      <c r="K585" s="3">
        <v>5.2488000000000001</v>
      </c>
      <c r="L585" s="507">
        <v>1527.7367881375105</v>
      </c>
      <c r="M585" s="507">
        <v>0</v>
      </c>
      <c r="N585" s="507">
        <v>1527.7367881375105</v>
      </c>
      <c r="O585" s="507">
        <v>0</v>
      </c>
      <c r="P585">
        <v>1</v>
      </c>
      <c r="Q585" s="2" t="s">
        <v>526</v>
      </c>
      <c r="R585" s="3">
        <v>1</v>
      </c>
      <c r="S585" s="3">
        <v>5.2488000000000001</v>
      </c>
      <c r="T585" s="507">
        <v>18290.568775607306</v>
      </c>
      <c r="U585" s="507">
        <v>0</v>
      </c>
      <c r="V585" s="507">
        <v>18290.568775607306</v>
      </c>
      <c r="W585" s="507">
        <v>0</v>
      </c>
      <c r="X585" s="507">
        <v>1527.7367881375105</v>
      </c>
      <c r="Y585" s="507">
        <v>18290.568775607306</v>
      </c>
      <c r="Z585" s="507">
        <v>8018.7848535761659</v>
      </c>
      <c r="AA585" s="507">
        <v>96003.537389407633</v>
      </c>
      <c r="AB585" s="507">
        <v>96003.537389407633</v>
      </c>
      <c r="AC585" s="507">
        <v>-87984.75</v>
      </c>
      <c r="AD585" s="507">
        <v>-87984.75</v>
      </c>
      <c r="AE585" s="507">
        <v>0</v>
      </c>
      <c r="AF585" s="507"/>
      <c r="AG585" s="507">
        <v>-87984.75</v>
      </c>
      <c r="AH585" s="507">
        <v>0</v>
      </c>
      <c r="AI585" s="507">
        <v>0</v>
      </c>
      <c r="AJ585" s="507">
        <v>0</v>
      </c>
      <c r="AK585" s="507">
        <v>0</v>
      </c>
      <c r="AL585" s="507">
        <v>0</v>
      </c>
      <c r="AM585" s="507">
        <v>0</v>
      </c>
      <c r="AN585" s="507"/>
      <c r="AO585" s="507"/>
    </row>
    <row r="586" spans="1:41">
      <c r="A586" s="2" t="s">
        <v>393</v>
      </c>
      <c r="B586" s="2" t="s">
        <v>382</v>
      </c>
      <c r="C586" s="2" t="s">
        <v>379</v>
      </c>
      <c r="D586" s="2" t="s">
        <v>30</v>
      </c>
      <c r="E586" s="2" t="s">
        <v>19</v>
      </c>
      <c r="F586" s="2" t="s">
        <v>380</v>
      </c>
      <c r="G586" s="2" t="s">
        <v>21</v>
      </c>
      <c r="H586">
        <v>1</v>
      </c>
      <c r="I586" s="2" t="s">
        <v>526</v>
      </c>
      <c r="J586" s="3">
        <v>1</v>
      </c>
      <c r="K586" s="3">
        <v>5.2488000000000001</v>
      </c>
      <c r="L586" s="507">
        <v>1550.4029633278101</v>
      </c>
      <c r="M586" s="507">
        <v>0</v>
      </c>
      <c r="N586" s="507">
        <v>1550.4029633278101</v>
      </c>
      <c r="O586" s="507">
        <v>0</v>
      </c>
      <c r="P586">
        <v>1</v>
      </c>
      <c r="Q586" s="2" t="s">
        <v>526</v>
      </c>
      <c r="R586" s="3">
        <v>1</v>
      </c>
      <c r="S586" s="3">
        <v>5.2488000000000001</v>
      </c>
      <c r="T586" s="507">
        <v>1527.7367881375105</v>
      </c>
      <c r="U586" s="507">
        <v>0</v>
      </c>
      <c r="V586" s="507">
        <v>1527.7367881375105</v>
      </c>
      <c r="W586" s="507">
        <v>0</v>
      </c>
      <c r="X586" s="507">
        <v>1550.4029633278101</v>
      </c>
      <c r="Y586" s="507">
        <v>1527.7367881375105</v>
      </c>
      <c r="Z586" s="507">
        <v>8137.7550739150101</v>
      </c>
      <c r="AA586" s="507">
        <v>8018.7848535761659</v>
      </c>
      <c r="AB586" s="507">
        <v>8018.7848535761659</v>
      </c>
      <c r="AC586" s="507">
        <v>118.97</v>
      </c>
      <c r="AD586" s="507">
        <v>118.97</v>
      </c>
      <c r="AE586" s="507">
        <v>0</v>
      </c>
      <c r="AF586" s="507">
        <v>118.97</v>
      </c>
      <c r="AG586" s="507"/>
      <c r="AH586" s="507">
        <v>0</v>
      </c>
      <c r="AI586" s="507">
        <v>0</v>
      </c>
      <c r="AJ586" s="507">
        <v>0</v>
      </c>
      <c r="AK586" s="507">
        <v>0</v>
      </c>
      <c r="AL586" s="507">
        <v>0</v>
      </c>
      <c r="AM586" s="507">
        <v>0</v>
      </c>
      <c r="AN586" s="507"/>
      <c r="AO586" s="507"/>
    </row>
    <row r="587" spans="1:41">
      <c r="A587" s="2" t="s">
        <v>394</v>
      </c>
      <c r="B587" s="2" t="s">
        <v>382</v>
      </c>
      <c r="C587" s="2" t="s">
        <v>379</v>
      </c>
      <c r="D587" s="2" t="s">
        <v>30</v>
      </c>
      <c r="E587" s="2" t="s">
        <v>19</v>
      </c>
      <c r="F587" s="2" t="s">
        <v>380</v>
      </c>
      <c r="G587" s="2" t="s">
        <v>21</v>
      </c>
      <c r="H587">
        <v>1</v>
      </c>
      <c r="I587" s="2" t="s">
        <v>526</v>
      </c>
      <c r="J587" s="3">
        <v>1</v>
      </c>
      <c r="K587" s="3">
        <v>5.2488000000000001</v>
      </c>
      <c r="L587" s="507">
        <v>2843.3643550280367</v>
      </c>
      <c r="M587" s="507">
        <v>0</v>
      </c>
      <c r="N587" s="507">
        <v>2843.3643550280367</v>
      </c>
      <c r="O587" s="507">
        <v>0</v>
      </c>
      <c r="P587">
        <v>1</v>
      </c>
      <c r="Q587" s="2" t="s">
        <v>526</v>
      </c>
      <c r="R587" s="3">
        <v>1</v>
      </c>
      <c r="S587" s="3">
        <v>5.2488000000000001</v>
      </c>
      <c r="T587" s="507">
        <v>1550.4029633278101</v>
      </c>
      <c r="U587" s="507">
        <v>0</v>
      </c>
      <c r="V587" s="507">
        <v>1550.4029633278101</v>
      </c>
      <c r="W587" s="507">
        <v>0</v>
      </c>
      <c r="X587" s="507">
        <v>2843.3643550280367</v>
      </c>
      <c r="Y587" s="507">
        <v>1550.4029633278101</v>
      </c>
      <c r="Z587" s="507">
        <v>14924.250826671159</v>
      </c>
      <c r="AA587" s="507">
        <v>8137.7550739150101</v>
      </c>
      <c r="AB587" s="507">
        <v>8137.7550739150101</v>
      </c>
      <c r="AC587" s="507">
        <v>6786.5</v>
      </c>
      <c r="AD587" s="507">
        <v>6786.5</v>
      </c>
      <c r="AE587" s="507">
        <v>0</v>
      </c>
      <c r="AF587" s="507">
        <v>6786.5</v>
      </c>
      <c r="AG587" s="507"/>
      <c r="AH587" s="507">
        <v>0</v>
      </c>
      <c r="AI587" s="507">
        <v>0</v>
      </c>
      <c r="AJ587" s="507">
        <v>0</v>
      </c>
      <c r="AK587" s="507">
        <v>0</v>
      </c>
      <c r="AL587" s="507">
        <v>0</v>
      </c>
      <c r="AM587" s="507">
        <v>0</v>
      </c>
      <c r="AN587" s="507"/>
      <c r="AO587" s="507"/>
    </row>
    <row r="588" spans="1:41">
      <c r="A588" s="2" t="s">
        <v>395</v>
      </c>
      <c r="B588" s="2" t="s">
        <v>382</v>
      </c>
      <c r="C588" s="2" t="s">
        <v>379</v>
      </c>
      <c r="D588" s="2" t="s">
        <v>30</v>
      </c>
      <c r="E588" s="2" t="s">
        <v>19</v>
      </c>
      <c r="F588" s="2" t="s">
        <v>380</v>
      </c>
      <c r="G588" s="2" t="s">
        <v>21</v>
      </c>
      <c r="H588">
        <v>1</v>
      </c>
      <c r="I588" s="2" t="s">
        <v>526</v>
      </c>
      <c r="J588" s="3">
        <v>1</v>
      </c>
      <c r="K588" s="3">
        <v>5.2488000000000001</v>
      </c>
      <c r="L588" s="507">
        <v>22283.64386311893</v>
      </c>
      <c r="M588" s="507">
        <v>0</v>
      </c>
      <c r="N588" s="507">
        <v>22283.64386311893</v>
      </c>
      <c r="O588" s="507">
        <v>0</v>
      </c>
      <c r="P588">
        <v>1</v>
      </c>
      <c r="Q588" s="2" t="s">
        <v>526</v>
      </c>
      <c r="R588" s="3">
        <v>1</v>
      </c>
      <c r="S588" s="3">
        <v>5.2488000000000001</v>
      </c>
      <c r="T588" s="507">
        <v>2843.3643550280367</v>
      </c>
      <c r="U588" s="507">
        <v>0</v>
      </c>
      <c r="V588" s="507">
        <v>2843.3643550280367</v>
      </c>
      <c r="W588" s="507">
        <v>0</v>
      </c>
      <c r="X588" s="507">
        <v>22283.64386311893</v>
      </c>
      <c r="Y588" s="507">
        <v>2843.3643550280367</v>
      </c>
      <c r="Z588" s="507">
        <v>116962.38990873864</v>
      </c>
      <c r="AA588" s="507">
        <v>14924.250826671159</v>
      </c>
      <c r="AB588" s="507">
        <v>14924.250826671159</v>
      </c>
      <c r="AC588" s="507">
        <v>102038.14</v>
      </c>
      <c r="AD588" s="507">
        <v>102038.14</v>
      </c>
      <c r="AE588" s="507">
        <v>0</v>
      </c>
      <c r="AF588" s="507">
        <v>102038.14</v>
      </c>
      <c r="AG588" s="507"/>
      <c r="AH588" s="507">
        <v>0</v>
      </c>
      <c r="AI588" s="507">
        <v>0</v>
      </c>
      <c r="AJ588" s="507">
        <v>0</v>
      </c>
      <c r="AK588" s="507">
        <v>0</v>
      </c>
      <c r="AL588" s="507">
        <v>0</v>
      </c>
      <c r="AM588" s="507">
        <v>0</v>
      </c>
      <c r="AN588" s="507"/>
      <c r="AO588" s="507"/>
    </row>
    <row r="589" spans="1:41">
      <c r="A589" s="2" t="s">
        <v>396</v>
      </c>
      <c r="B589" s="2" t="s">
        <v>382</v>
      </c>
      <c r="C589" s="2" t="s">
        <v>379</v>
      </c>
      <c r="D589" s="2" t="s">
        <v>30</v>
      </c>
      <c r="E589" s="2" t="s">
        <v>19</v>
      </c>
      <c r="F589" s="2" t="s">
        <v>380</v>
      </c>
      <c r="G589" s="2" t="s">
        <v>21</v>
      </c>
      <c r="H589">
        <v>1</v>
      </c>
      <c r="I589" s="2" t="s">
        <v>526</v>
      </c>
      <c r="J589" s="3">
        <v>1</v>
      </c>
      <c r="K589" s="3">
        <v>5.2488000000000001</v>
      </c>
      <c r="L589" s="507">
        <v>898.16192499992815</v>
      </c>
      <c r="M589" s="507">
        <v>0</v>
      </c>
      <c r="N589" s="507">
        <v>898.16192499992815</v>
      </c>
      <c r="O589" s="507">
        <v>0</v>
      </c>
      <c r="P589">
        <v>1</v>
      </c>
      <c r="Q589" s="2" t="s">
        <v>526</v>
      </c>
      <c r="R589" s="3">
        <v>1</v>
      </c>
      <c r="S589" s="3">
        <v>5.2488000000000001</v>
      </c>
      <c r="T589" s="507">
        <v>22283.64386311893</v>
      </c>
      <c r="U589" s="507">
        <v>0</v>
      </c>
      <c r="V589" s="507">
        <v>22283.64386311893</v>
      </c>
      <c r="W589" s="507">
        <v>0</v>
      </c>
      <c r="X589" s="507">
        <v>898.16192499992815</v>
      </c>
      <c r="Y589" s="507">
        <v>22283.64386311893</v>
      </c>
      <c r="Z589" s="507">
        <v>4714.2723119396233</v>
      </c>
      <c r="AA589" s="507">
        <v>116962.38990873864</v>
      </c>
      <c r="AB589" s="507">
        <v>116962.38990873864</v>
      </c>
      <c r="AC589" s="507">
        <v>-112248.12</v>
      </c>
      <c r="AD589" s="507">
        <v>-112248.12</v>
      </c>
      <c r="AE589" s="507">
        <v>0</v>
      </c>
      <c r="AF589" s="507"/>
      <c r="AG589" s="507">
        <v>-112248.12</v>
      </c>
      <c r="AH589" s="507">
        <v>0</v>
      </c>
      <c r="AI589" s="507">
        <v>0</v>
      </c>
      <c r="AJ589" s="507">
        <v>0</v>
      </c>
      <c r="AK589" s="507">
        <v>0</v>
      </c>
      <c r="AL589" s="507">
        <v>0</v>
      </c>
      <c r="AM589" s="507">
        <v>0</v>
      </c>
      <c r="AN589" s="507"/>
      <c r="AO589" s="507"/>
    </row>
    <row r="590" spans="1:41">
      <c r="A590" s="2" t="s">
        <v>397</v>
      </c>
      <c r="B590" s="2" t="s">
        <v>382</v>
      </c>
      <c r="C590" s="2" t="s">
        <v>379</v>
      </c>
      <c r="D590" s="2" t="s">
        <v>30</v>
      </c>
      <c r="E590" s="2" t="s">
        <v>19</v>
      </c>
      <c r="F590" s="2" t="s">
        <v>380</v>
      </c>
      <c r="G590" s="2" t="s">
        <v>21</v>
      </c>
      <c r="H590">
        <v>1</v>
      </c>
      <c r="I590" s="2" t="s">
        <v>526</v>
      </c>
      <c r="J590" s="3">
        <v>1</v>
      </c>
      <c r="K590" s="3">
        <v>5.2488000000000001</v>
      </c>
      <c r="L590" s="507">
        <v>7146.0245105129861</v>
      </c>
      <c r="M590" s="507">
        <v>0</v>
      </c>
      <c r="N590" s="507">
        <v>7146.0245105129861</v>
      </c>
      <c r="O590" s="507">
        <v>0</v>
      </c>
      <c r="P590">
        <v>1</v>
      </c>
      <c r="Q590" s="2" t="s">
        <v>526</v>
      </c>
      <c r="R590" s="3">
        <v>1</v>
      </c>
      <c r="S590" s="3">
        <v>5.2488000000000001</v>
      </c>
      <c r="T590" s="507">
        <v>898.16192499992815</v>
      </c>
      <c r="U590" s="507">
        <v>0</v>
      </c>
      <c r="V590" s="507">
        <v>898.16192499992815</v>
      </c>
      <c r="W590" s="507">
        <v>0</v>
      </c>
      <c r="X590" s="507">
        <v>7146.0245105129861</v>
      </c>
      <c r="Y590" s="507">
        <v>898.16192499992815</v>
      </c>
      <c r="Z590" s="507">
        <v>37508.053450780564</v>
      </c>
      <c r="AA590" s="507">
        <v>4714.2723119396233</v>
      </c>
      <c r="AB590" s="507">
        <v>4714.2723119396233</v>
      </c>
      <c r="AC590" s="507">
        <v>32793.78</v>
      </c>
      <c r="AD590" s="507">
        <v>32793.78</v>
      </c>
      <c r="AE590" s="507">
        <v>0</v>
      </c>
      <c r="AF590" s="507">
        <v>32793.78</v>
      </c>
      <c r="AG590" s="507"/>
      <c r="AH590" s="507">
        <v>0</v>
      </c>
      <c r="AI590" s="507">
        <v>0</v>
      </c>
      <c r="AJ590" s="507">
        <v>0</v>
      </c>
      <c r="AK590" s="507">
        <v>0</v>
      </c>
      <c r="AL590" s="507">
        <v>0</v>
      </c>
      <c r="AM590" s="507">
        <v>0</v>
      </c>
      <c r="AN590" s="507"/>
      <c r="AO590" s="507"/>
    </row>
    <row r="591" spans="1:41">
      <c r="A591" s="2" t="s">
        <v>398</v>
      </c>
      <c r="B591" s="2" t="s">
        <v>382</v>
      </c>
      <c r="C591" s="2" t="s">
        <v>379</v>
      </c>
      <c r="D591" s="2" t="s">
        <v>30</v>
      </c>
      <c r="E591" s="2" t="s">
        <v>19</v>
      </c>
      <c r="F591" s="2" t="s">
        <v>380</v>
      </c>
      <c r="G591" s="2" t="s">
        <v>21</v>
      </c>
      <c r="H591">
        <v>1</v>
      </c>
      <c r="I591" s="2" t="s">
        <v>526</v>
      </c>
      <c r="J591" s="3">
        <v>1</v>
      </c>
      <c r="K591" s="3">
        <v>5.2488000000000001</v>
      </c>
      <c r="L591" s="507">
        <v>38107.560923039222</v>
      </c>
      <c r="M591" s="507">
        <v>0</v>
      </c>
      <c r="N591" s="507">
        <v>38107.560923039222</v>
      </c>
      <c r="O591" s="507">
        <v>0</v>
      </c>
      <c r="P591">
        <v>1</v>
      </c>
      <c r="Q591" s="2" t="s">
        <v>526</v>
      </c>
      <c r="R591" s="3">
        <v>1</v>
      </c>
      <c r="S591" s="3">
        <v>5.2488000000000001</v>
      </c>
      <c r="T591" s="507">
        <v>7146.0245105129861</v>
      </c>
      <c r="U591" s="507">
        <v>0</v>
      </c>
      <c r="V591" s="507">
        <v>7146.0245105129861</v>
      </c>
      <c r="W591" s="507">
        <v>0</v>
      </c>
      <c r="X591" s="507">
        <v>38107.560923039222</v>
      </c>
      <c r="Y591" s="507">
        <v>7146.0245105129861</v>
      </c>
      <c r="Z591" s="507">
        <v>200018.96577284829</v>
      </c>
      <c r="AA591" s="507">
        <v>37508.053450780564</v>
      </c>
      <c r="AB591" s="507">
        <v>37508.053450780564</v>
      </c>
      <c r="AC591" s="507">
        <v>162510.91</v>
      </c>
      <c r="AD591" s="507">
        <v>162510.91</v>
      </c>
      <c r="AE591" s="507">
        <v>0</v>
      </c>
      <c r="AF591" s="507">
        <v>162510.91</v>
      </c>
      <c r="AG591" s="507"/>
      <c r="AH591" s="507">
        <v>0</v>
      </c>
      <c r="AI591" s="507">
        <v>0</v>
      </c>
      <c r="AJ591" s="507">
        <v>0</v>
      </c>
      <c r="AK591" s="507">
        <v>0</v>
      </c>
      <c r="AL591" s="507">
        <v>0</v>
      </c>
      <c r="AM591" s="507">
        <v>0</v>
      </c>
      <c r="AN591" s="507"/>
      <c r="AO591" s="507"/>
    </row>
    <row r="592" spans="1:41">
      <c r="A592" s="2" t="s">
        <v>399</v>
      </c>
      <c r="B592" s="2" t="s">
        <v>382</v>
      </c>
      <c r="C592" s="2" t="s">
        <v>379</v>
      </c>
      <c r="D592" s="2" t="s">
        <v>30</v>
      </c>
      <c r="E592" s="2" t="s">
        <v>19</v>
      </c>
      <c r="F592" s="2" t="s">
        <v>380</v>
      </c>
      <c r="G592" s="2" t="s">
        <v>21</v>
      </c>
      <c r="H592">
        <v>1</v>
      </c>
      <c r="I592" s="2" t="s">
        <v>526</v>
      </c>
      <c r="J592" s="3">
        <v>1</v>
      </c>
      <c r="K592" s="3">
        <v>5.2488000000000001</v>
      </c>
      <c r="L592" s="507">
        <v>72285.058105749762</v>
      </c>
      <c r="M592" s="507">
        <v>0</v>
      </c>
      <c r="N592" s="507">
        <v>72285.058105749762</v>
      </c>
      <c r="O592" s="507">
        <v>0</v>
      </c>
      <c r="P592">
        <v>1</v>
      </c>
      <c r="Q592" s="2" t="s">
        <v>526</v>
      </c>
      <c r="R592" s="3">
        <v>1</v>
      </c>
      <c r="S592" s="3">
        <v>5.2488000000000001</v>
      </c>
      <c r="T592" s="507">
        <v>38107.560923039222</v>
      </c>
      <c r="U592" s="507">
        <v>0</v>
      </c>
      <c r="V592" s="507">
        <v>38107.560923039222</v>
      </c>
      <c r="W592" s="507">
        <v>0</v>
      </c>
      <c r="X592" s="507">
        <v>72285.058105749762</v>
      </c>
      <c r="Y592" s="507">
        <v>38107.560923039222</v>
      </c>
      <c r="Z592" s="507">
        <v>379409.81298545934</v>
      </c>
      <c r="AA592" s="507">
        <v>200018.96577284829</v>
      </c>
      <c r="AB592" s="507">
        <v>200018.96577284829</v>
      </c>
      <c r="AC592" s="507">
        <v>179390.85</v>
      </c>
      <c r="AD592" s="507">
        <v>179390.85</v>
      </c>
      <c r="AE592" s="507">
        <v>0</v>
      </c>
      <c r="AF592" s="507">
        <v>179390.85</v>
      </c>
      <c r="AG592" s="507"/>
      <c r="AH592" s="507">
        <v>0</v>
      </c>
      <c r="AI592" s="507">
        <v>0</v>
      </c>
      <c r="AJ592" s="507">
        <v>0</v>
      </c>
      <c r="AK592" s="507">
        <v>0</v>
      </c>
      <c r="AL592" s="507">
        <v>0</v>
      </c>
      <c r="AM592" s="507">
        <v>0</v>
      </c>
      <c r="AN592" s="507"/>
      <c r="AO592" s="507"/>
    </row>
    <row r="593" spans="1:41">
      <c r="A593" s="2"/>
      <c r="B593" s="2"/>
      <c r="C593" s="2"/>
      <c r="D593" s="2"/>
      <c r="E593" s="2"/>
      <c r="F593" s="2"/>
      <c r="G593" s="2"/>
      <c r="I593" s="2"/>
      <c r="J593" s="3"/>
      <c r="K593" s="3"/>
      <c r="L593" s="507"/>
      <c r="M593" s="507"/>
      <c r="N593" s="507"/>
      <c r="O593" s="507"/>
      <c r="P593">
        <v>1</v>
      </c>
      <c r="Q593" s="2" t="s">
        <v>526</v>
      </c>
      <c r="R593" s="3">
        <v>1</v>
      </c>
      <c r="S593" s="3">
        <v>5.2488000000000001</v>
      </c>
      <c r="T593" s="507">
        <v>187372.20282186419</v>
      </c>
      <c r="U593" s="507">
        <v>0</v>
      </c>
      <c r="V593" s="507">
        <v>187372.20282186419</v>
      </c>
      <c r="W593" s="507">
        <v>3798.4511420634608</v>
      </c>
      <c r="X593" s="507"/>
      <c r="Y593" s="507">
        <v>191170.65396392765</v>
      </c>
      <c r="Z593" s="507"/>
      <c r="AA593" s="507">
        <v>1003416.5285258634</v>
      </c>
      <c r="AB593" s="507"/>
      <c r="AC593" s="507"/>
      <c r="AD593" s="507"/>
      <c r="AE593" s="507"/>
      <c r="AF593" s="507"/>
      <c r="AG593" s="507"/>
      <c r="AH593" s="507"/>
      <c r="AI593" s="507">
        <v>0</v>
      </c>
      <c r="AJ593" s="507"/>
      <c r="AK593" s="507"/>
      <c r="AL593" s="507"/>
      <c r="AM593" s="507"/>
      <c r="AN593" s="507"/>
      <c r="AO593" s="507"/>
    </row>
    <row r="594" spans="1:41">
      <c r="A594" s="2" t="s">
        <v>400</v>
      </c>
      <c r="B594" s="2" t="s">
        <v>382</v>
      </c>
      <c r="C594" s="2" t="s">
        <v>379</v>
      </c>
      <c r="D594" s="2" t="s">
        <v>30</v>
      </c>
      <c r="E594" s="2" t="s">
        <v>19</v>
      </c>
      <c r="F594" s="2" t="s">
        <v>380</v>
      </c>
      <c r="G594" s="2" t="s">
        <v>21</v>
      </c>
      <c r="H594">
        <v>1</v>
      </c>
      <c r="I594" s="2" t="s">
        <v>526</v>
      </c>
      <c r="J594" s="3">
        <v>1</v>
      </c>
      <c r="K594" s="3">
        <v>5.2488000000000001</v>
      </c>
      <c r="L594" s="507">
        <v>122185.18714824546</v>
      </c>
      <c r="M594" s="507">
        <v>0</v>
      </c>
      <c r="N594" s="507">
        <v>122185.18714824546</v>
      </c>
      <c r="O594" s="507">
        <v>0</v>
      </c>
      <c r="P594">
        <v>1</v>
      </c>
      <c r="Q594" s="2" t="s">
        <v>526</v>
      </c>
      <c r="R594" s="3">
        <v>1</v>
      </c>
      <c r="S594" s="3">
        <v>5.2488000000000001</v>
      </c>
      <c r="T594" s="507">
        <v>72285.058105749762</v>
      </c>
      <c r="U594" s="507">
        <v>0</v>
      </c>
      <c r="V594" s="507">
        <v>72285.058105749762</v>
      </c>
      <c r="W594" s="507">
        <v>0</v>
      </c>
      <c r="X594" s="507">
        <v>122185.18714824546</v>
      </c>
      <c r="Y594" s="507">
        <v>72285.058105749762</v>
      </c>
      <c r="Z594" s="507">
        <v>641325.6103037108</v>
      </c>
      <c r="AA594" s="507">
        <v>379409.81298545934</v>
      </c>
      <c r="AB594" s="507">
        <v>379409.81298545934</v>
      </c>
      <c r="AC594" s="507">
        <v>261915.8</v>
      </c>
      <c r="AD594" s="507">
        <v>261915.8</v>
      </c>
      <c r="AE594" s="507">
        <v>0</v>
      </c>
      <c r="AF594" s="507">
        <v>261915.8</v>
      </c>
      <c r="AG594" s="507"/>
      <c r="AH594" s="507">
        <v>0</v>
      </c>
      <c r="AI594" s="507">
        <v>0</v>
      </c>
      <c r="AJ594" s="507">
        <v>0</v>
      </c>
      <c r="AK594" s="507">
        <v>0</v>
      </c>
      <c r="AL594" s="507">
        <v>0</v>
      </c>
      <c r="AM594" s="507">
        <v>0</v>
      </c>
      <c r="AN594" s="507"/>
      <c r="AO594" s="507"/>
    </row>
    <row r="595" spans="1:41">
      <c r="A595" s="2" t="s">
        <v>401</v>
      </c>
      <c r="B595" s="2" t="s">
        <v>382</v>
      </c>
      <c r="C595" s="2" t="s">
        <v>379</v>
      </c>
      <c r="D595" s="2" t="s">
        <v>30</v>
      </c>
      <c r="E595" s="2" t="s">
        <v>19</v>
      </c>
      <c r="F595" s="2" t="s">
        <v>380</v>
      </c>
      <c r="G595" s="2" t="s">
        <v>21</v>
      </c>
      <c r="H595">
        <v>1</v>
      </c>
      <c r="I595" s="2" t="s">
        <v>526</v>
      </c>
      <c r="J595" s="3">
        <v>1</v>
      </c>
      <c r="K595" s="3">
        <v>5.2488000000000001</v>
      </c>
      <c r="L595" s="507">
        <v>286.14702003925555</v>
      </c>
      <c r="M595" s="507">
        <v>0</v>
      </c>
      <c r="N595" s="507">
        <v>286.14702003925555</v>
      </c>
      <c r="O595" s="507">
        <v>0</v>
      </c>
      <c r="P595">
        <v>1</v>
      </c>
      <c r="Q595" s="2" t="s">
        <v>526</v>
      </c>
      <c r="R595" s="3">
        <v>1</v>
      </c>
      <c r="S595" s="3">
        <v>5.2488000000000001</v>
      </c>
      <c r="T595" s="507">
        <v>122185.18714824546</v>
      </c>
      <c r="U595" s="507">
        <v>0</v>
      </c>
      <c r="V595" s="507">
        <v>122185.18714824546</v>
      </c>
      <c r="W595" s="507">
        <v>0</v>
      </c>
      <c r="X595" s="507">
        <v>286.14702003925555</v>
      </c>
      <c r="Y595" s="507">
        <v>122185.18714824546</v>
      </c>
      <c r="Z595" s="507">
        <v>1501.9284787820445</v>
      </c>
      <c r="AA595" s="507">
        <v>641325.6103037108</v>
      </c>
      <c r="AB595" s="507">
        <v>641325.6103037108</v>
      </c>
      <c r="AC595" s="507">
        <v>-639823.68000000005</v>
      </c>
      <c r="AD595" s="507">
        <v>-639823.68000000005</v>
      </c>
      <c r="AE595" s="507">
        <v>0</v>
      </c>
      <c r="AF595" s="507"/>
      <c r="AG595" s="507">
        <v>-639823.68000000005</v>
      </c>
      <c r="AH595" s="507">
        <v>0</v>
      </c>
      <c r="AI595" s="507">
        <v>0</v>
      </c>
      <c r="AJ595" s="507">
        <v>0</v>
      </c>
      <c r="AK595" s="507">
        <v>0</v>
      </c>
      <c r="AL595" s="507">
        <v>0</v>
      </c>
      <c r="AM595" s="507">
        <v>0</v>
      </c>
      <c r="AN595" s="507"/>
      <c r="AO595" s="507"/>
    </row>
    <row r="596" spans="1:41">
      <c r="A596" s="2" t="s">
        <v>402</v>
      </c>
      <c r="B596" s="2" t="s">
        <v>382</v>
      </c>
      <c r="C596" s="2" t="s">
        <v>379</v>
      </c>
      <c r="D596" s="2" t="s">
        <v>30</v>
      </c>
      <c r="E596" s="2" t="s">
        <v>19</v>
      </c>
      <c r="F596" s="2" t="s">
        <v>380</v>
      </c>
      <c r="G596" s="2" t="s">
        <v>21</v>
      </c>
      <c r="H596">
        <v>1</v>
      </c>
      <c r="I596" s="2" t="s">
        <v>526</v>
      </c>
      <c r="J596" s="3">
        <v>1</v>
      </c>
      <c r="K596" s="3">
        <v>5.2488000000000001</v>
      </c>
      <c r="L596" s="507">
        <v>31.201150717347623</v>
      </c>
      <c r="M596" s="507">
        <v>0</v>
      </c>
      <c r="N596" s="507">
        <v>31.201150717347623</v>
      </c>
      <c r="O596" s="507">
        <v>0</v>
      </c>
      <c r="P596">
        <v>1</v>
      </c>
      <c r="Q596" s="2" t="s">
        <v>526</v>
      </c>
      <c r="R596" s="3">
        <v>1</v>
      </c>
      <c r="S596" s="3">
        <v>5.2488000000000001</v>
      </c>
      <c r="T596" s="507">
        <v>286.14702003925555</v>
      </c>
      <c r="U596" s="507">
        <v>0</v>
      </c>
      <c r="V596" s="507">
        <v>286.14702003925555</v>
      </c>
      <c r="W596" s="507">
        <v>0</v>
      </c>
      <c r="X596" s="507">
        <v>31.201150717347623</v>
      </c>
      <c r="Y596" s="507">
        <v>286.14702003925555</v>
      </c>
      <c r="Z596" s="507">
        <v>163.7685998852142</v>
      </c>
      <c r="AA596" s="507">
        <v>1501.9284787820445</v>
      </c>
      <c r="AB596" s="507">
        <v>1501.9284787820445</v>
      </c>
      <c r="AC596" s="507">
        <v>-1338.16</v>
      </c>
      <c r="AD596" s="507">
        <v>-1338.16</v>
      </c>
      <c r="AE596" s="507">
        <v>0</v>
      </c>
      <c r="AF596" s="507"/>
      <c r="AG596" s="507">
        <v>-1338.16</v>
      </c>
      <c r="AH596" s="507">
        <v>0</v>
      </c>
      <c r="AI596" s="507">
        <v>0</v>
      </c>
      <c r="AJ596" s="507">
        <v>0</v>
      </c>
      <c r="AK596" s="507">
        <v>0</v>
      </c>
      <c r="AL596" s="507">
        <v>0</v>
      </c>
      <c r="AM596" s="507">
        <v>0</v>
      </c>
      <c r="AN596" s="507"/>
      <c r="AO596" s="507"/>
    </row>
    <row r="597" spans="1:41">
      <c r="A597" s="2" t="s">
        <v>403</v>
      </c>
      <c r="B597" s="2" t="s">
        <v>382</v>
      </c>
      <c r="C597" s="2" t="s">
        <v>379</v>
      </c>
      <c r="D597" s="2" t="s">
        <v>30</v>
      </c>
      <c r="E597" s="2" t="s">
        <v>19</v>
      </c>
      <c r="F597" s="2" t="s">
        <v>380</v>
      </c>
      <c r="G597" s="2" t="s">
        <v>21</v>
      </c>
      <c r="H597">
        <v>1</v>
      </c>
      <c r="I597" s="2" t="s">
        <v>526</v>
      </c>
      <c r="J597" s="3">
        <v>1</v>
      </c>
      <c r="K597" s="3">
        <v>5.2488000000000001</v>
      </c>
      <c r="L597" s="507">
        <v>271.72350659167137</v>
      </c>
      <c r="M597" s="507">
        <v>0</v>
      </c>
      <c r="N597" s="507">
        <v>271.72350659167137</v>
      </c>
      <c r="O597" s="507">
        <v>0</v>
      </c>
      <c r="P597">
        <v>1</v>
      </c>
      <c r="Q597" s="2" t="s">
        <v>526</v>
      </c>
      <c r="R597" s="3">
        <v>1</v>
      </c>
      <c r="S597" s="3">
        <v>5.2488000000000001</v>
      </c>
      <c r="T597" s="507">
        <v>31.201150717347623</v>
      </c>
      <c r="U597" s="507">
        <v>0</v>
      </c>
      <c r="V597" s="507">
        <v>31.201150717347623</v>
      </c>
      <c r="W597" s="507">
        <v>0</v>
      </c>
      <c r="X597" s="507">
        <v>271.72350659167137</v>
      </c>
      <c r="Y597" s="507">
        <v>31.201150717347623</v>
      </c>
      <c r="Z597" s="507">
        <v>1426.2223413983647</v>
      </c>
      <c r="AA597" s="507">
        <v>163.7685998852142</v>
      </c>
      <c r="AB597" s="507">
        <v>163.7685998852142</v>
      </c>
      <c r="AC597" s="507">
        <v>1262.45</v>
      </c>
      <c r="AD597" s="507">
        <v>1262.45</v>
      </c>
      <c r="AE597" s="507">
        <v>0</v>
      </c>
      <c r="AF597" s="507">
        <v>1262.45</v>
      </c>
      <c r="AG597" s="507"/>
      <c r="AH597" s="507">
        <v>0</v>
      </c>
      <c r="AI597" s="507">
        <v>0</v>
      </c>
      <c r="AJ597" s="507">
        <v>0</v>
      </c>
      <c r="AK597" s="507">
        <v>0</v>
      </c>
      <c r="AL597" s="507">
        <v>0</v>
      </c>
      <c r="AM597" s="507">
        <v>0</v>
      </c>
      <c r="AN597" s="507"/>
      <c r="AO597" s="507"/>
    </row>
    <row r="598" spans="1:41">
      <c r="A598" s="2" t="s">
        <v>404</v>
      </c>
      <c r="B598" s="2" t="s">
        <v>382</v>
      </c>
      <c r="C598" s="2" t="s">
        <v>379</v>
      </c>
      <c r="D598" s="2" t="s">
        <v>30</v>
      </c>
      <c r="E598" s="2" t="s">
        <v>19</v>
      </c>
      <c r="F598" s="2" t="s">
        <v>380</v>
      </c>
      <c r="G598" s="2" t="s">
        <v>21</v>
      </c>
      <c r="H598">
        <v>1</v>
      </c>
      <c r="I598" s="2" t="s">
        <v>526</v>
      </c>
      <c r="J598" s="3">
        <v>1</v>
      </c>
      <c r="K598" s="3">
        <v>5.2488000000000001</v>
      </c>
      <c r="L598" s="507">
        <v>194.89217413996877</v>
      </c>
      <c r="M598" s="507">
        <v>0</v>
      </c>
      <c r="N598" s="507">
        <v>194.89217413996877</v>
      </c>
      <c r="O598" s="507">
        <v>0</v>
      </c>
      <c r="P598">
        <v>1</v>
      </c>
      <c r="Q598" s="2" t="s">
        <v>526</v>
      </c>
      <c r="R598" s="3">
        <v>1</v>
      </c>
      <c r="S598" s="3">
        <v>5.2488000000000001</v>
      </c>
      <c r="T598" s="507">
        <v>271.72350659167137</v>
      </c>
      <c r="U598" s="507">
        <v>0</v>
      </c>
      <c r="V598" s="507">
        <v>271.72350659167137</v>
      </c>
      <c r="W598" s="507">
        <v>0</v>
      </c>
      <c r="X598" s="507">
        <v>194.89217413996877</v>
      </c>
      <c r="Y598" s="507">
        <v>271.72350659167137</v>
      </c>
      <c r="Z598" s="507">
        <v>1022.9500436258681</v>
      </c>
      <c r="AA598" s="507">
        <v>1426.2223413983647</v>
      </c>
      <c r="AB598" s="507">
        <v>1426.2223413983647</v>
      </c>
      <c r="AC598" s="507">
        <v>-403.27</v>
      </c>
      <c r="AD598" s="507">
        <v>-403.27</v>
      </c>
      <c r="AE598" s="507">
        <v>0</v>
      </c>
      <c r="AF598" s="507"/>
      <c r="AG598" s="507">
        <v>-403.27</v>
      </c>
      <c r="AH598" s="507">
        <v>0</v>
      </c>
      <c r="AI598" s="507">
        <v>0</v>
      </c>
      <c r="AJ598" s="507">
        <v>0</v>
      </c>
      <c r="AK598" s="507">
        <v>0</v>
      </c>
      <c r="AL598" s="507">
        <v>0</v>
      </c>
      <c r="AM598" s="507">
        <v>0</v>
      </c>
      <c r="AN598" s="507"/>
      <c r="AO598" s="507"/>
    </row>
    <row r="599" spans="1:41">
      <c r="A599" s="2" t="s">
        <v>405</v>
      </c>
      <c r="B599" s="2" t="s">
        <v>382</v>
      </c>
      <c r="C599" s="2" t="s">
        <v>379</v>
      </c>
      <c r="D599" s="2" t="s">
        <v>30</v>
      </c>
      <c r="E599" s="2" t="s">
        <v>19</v>
      </c>
      <c r="F599" s="2" t="s">
        <v>380</v>
      </c>
      <c r="G599" s="2" t="s">
        <v>21</v>
      </c>
      <c r="H599">
        <v>1</v>
      </c>
      <c r="I599" s="2" t="s">
        <v>526</v>
      </c>
      <c r="J599" s="3">
        <v>1</v>
      </c>
      <c r="K599" s="3">
        <v>5.2488000000000001</v>
      </c>
      <c r="L599" s="507">
        <v>158.24929123026612</v>
      </c>
      <c r="M599" s="507">
        <v>0</v>
      </c>
      <c r="N599" s="507">
        <v>158.24929123026612</v>
      </c>
      <c r="O599" s="507">
        <v>0</v>
      </c>
      <c r="P599">
        <v>1</v>
      </c>
      <c r="Q599" s="2" t="s">
        <v>526</v>
      </c>
      <c r="R599" s="3">
        <v>1</v>
      </c>
      <c r="S599" s="3">
        <v>5.2488000000000001</v>
      </c>
      <c r="T599" s="507">
        <v>194.89217413996877</v>
      </c>
      <c r="U599" s="507">
        <v>0</v>
      </c>
      <c r="V599" s="507">
        <v>194.89217413996877</v>
      </c>
      <c r="W599" s="507">
        <v>0</v>
      </c>
      <c r="X599" s="507">
        <v>158.24929123026612</v>
      </c>
      <c r="Y599" s="507">
        <v>194.89217413996877</v>
      </c>
      <c r="Z599" s="507">
        <v>830.61887980942083</v>
      </c>
      <c r="AA599" s="507">
        <v>1022.9500436258681</v>
      </c>
      <c r="AB599" s="507">
        <v>1022.9500436258681</v>
      </c>
      <c r="AC599" s="507">
        <v>-192.33</v>
      </c>
      <c r="AD599" s="507">
        <v>-192.33</v>
      </c>
      <c r="AE599" s="507">
        <v>0</v>
      </c>
      <c r="AF599" s="507"/>
      <c r="AG599" s="507">
        <v>-192.33</v>
      </c>
      <c r="AH599" s="507">
        <v>0</v>
      </c>
      <c r="AI599" s="507">
        <v>0</v>
      </c>
      <c r="AJ599" s="507">
        <v>0</v>
      </c>
      <c r="AK599" s="507">
        <v>0</v>
      </c>
      <c r="AL599" s="507">
        <v>0</v>
      </c>
      <c r="AM599" s="507">
        <v>0</v>
      </c>
      <c r="AN599" s="507"/>
      <c r="AO599" s="507"/>
    </row>
    <row r="600" spans="1:41">
      <c r="A600" s="2" t="s">
        <v>406</v>
      </c>
      <c r="B600" s="2" t="s">
        <v>382</v>
      </c>
      <c r="C600" s="2" t="s">
        <v>379</v>
      </c>
      <c r="D600" s="2" t="s">
        <v>30</v>
      </c>
      <c r="E600" s="2" t="s">
        <v>19</v>
      </c>
      <c r="F600" s="2" t="s">
        <v>380</v>
      </c>
      <c r="G600" s="2" t="s">
        <v>21</v>
      </c>
      <c r="H600">
        <v>1</v>
      </c>
      <c r="I600" s="2" t="s">
        <v>526</v>
      </c>
      <c r="J600" s="3">
        <v>1</v>
      </c>
      <c r="K600" s="3">
        <v>5.2488000000000001</v>
      </c>
      <c r="L600" s="507">
        <v>239.90098364120183</v>
      </c>
      <c r="M600" s="507">
        <v>0</v>
      </c>
      <c r="N600" s="507">
        <v>239.90098364120183</v>
      </c>
      <c r="O600" s="507">
        <v>0</v>
      </c>
      <c r="P600">
        <v>1</v>
      </c>
      <c r="Q600" s="2" t="s">
        <v>526</v>
      </c>
      <c r="R600" s="3">
        <v>1</v>
      </c>
      <c r="S600" s="3">
        <v>5.2488000000000001</v>
      </c>
      <c r="T600" s="507">
        <v>158.24929123026612</v>
      </c>
      <c r="U600" s="507">
        <v>0</v>
      </c>
      <c r="V600" s="507">
        <v>158.24929123026612</v>
      </c>
      <c r="W600" s="507">
        <v>0</v>
      </c>
      <c r="X600" s="507">
        <v>239.90098364120183</v>
      </c>
      <c r="Y600" s="507">
        <v>158.24929123026612</v>
      </c>
      <c r="Z600" s="507">
        <v>1259.1922829359403</v>
      </c>
      <c r="AA600" s="507">
        <v>830.61887980942083</v>
      </c>
      <c r="AB600" s="507">
        <v>830.61887980942083</v>
      </c>
      <c r="AC600" s="507">
        <v>428.57</v>
      </c>
      <c r="AD600" s="507">
        <v>428.57</v>
      </c>
      <c r="AE600" s="507">
        <v>0</v>
      </c>
      <c r="AF600" s="507">
        <v>428.57</v>
      </c>
      <c r="AG600" s="507"/>
      <c r="AH600" s="507">
        <v>0</v>
      </c>
      <c r="AI600" s="507">
        <v>0</v>
      </c>
      <c r="AJ600" s="507">
        <v>0</v>
      </c>
      <c r="AK600" s="507">
        <v>0</v>
      </c>
      <c r="AL600" s="507">
        <v>0</v>
      </c>
      <c r="AM600" s="507">
        <v>0</v>
      </c>
      <c r="AN600" s="507"/>
      <c r="AO600" s="507"/>
    </row>
    <row r="601" spans="1:41">
      <c r="A601" s="2" t="s">
        <v>407</v>
      </c>
      <c r="B601" s="2" t="s">
        <v>382</v>
      </c>
      <c r="C601" s="2" t="s">
        <v>379</v>
      </c>
      <c r="D601" s="2" t="s">
        <v>30</v>
      </c>
      <c r="E601" s="2" t="s">
        <v>19</v>
      </c>
      <c r="F601" s="2" t="s">
        <v>380</v>
      </c>
      <c r="G601" s="2" t="s">
        <v>21</v>
      </c>
      <c r="H601">
        <v>1</v>
      </c>
      <c r="I601" s="2" t="s">
        <v>526</v>
      </c>
      <c r="J601" s="3">
        <v>1</v>
      </c>
      <c r="K601" s="3">
        <v>5.2488000000000001</v>
      </c>
      <c r="L601" s="507">
        <v>3348.2481363522325</v>
      </c>
      <c r="M601" s="507">
        <v>0</v>
      </c>
      <c r="N601" s="507">
        <v>3348.2481363522325</v>
      </c>
      <c r="O601" s="507">
        <v>0</v>
      </c>
      <c r="P601">
        <v>1</v>
      </c>
      <c r="Q601" s="2" t="s">
        <v>526</v>
      </c>
      <c r="R601" s="3">
        <v>1</v>
      </c>
      <c r="S601" s="3">
        <v>5.2488000000000001</v>
      </c>
      <c r="T601" s="507">
        <v>239.90098364120183</v>
      </c>
      <c r="U601" s="507">
        <v>0</v>
      </c>
      <c r="V601" s="507">
        <v>239.90098364120183</v>
      </c>
      <c r="W601" s="507">
        <v>0</v>
      </c>
      <c r="X601" s="507">
        <v>3348.2481363522325</v>
      </c>
      <c r="Y601" s="507">
        <v>239.90098364120183</v>
      </c>
      <c r="Z601" s="507">
        <v>17574.284818085598</v>
      </c>
      <c r="AA601" s="507">
        <v>1259.1922829359403</v>
      </c>
      <c r="AB601" s="507">
        <v>1259.1922829359403</v>
      </c>
      <c r="AC601" s="507">
        <v>16315.09</v>
      </c>
      <c r="AD601" s="507">
        <v>16315.09</v>
      </c>
      <c r="AE601" s="507">
        <v>0</v>
      </c>
      <c r="AF601" s="507">
        <v>16315.09</v>
      </c>
      <c r="AG601" s="507"/>
      <c r="AH601" s="507">
        <v>0</v>
      </c>
      <c r="AI601" s="507">
        <v>0</v>
      </c>
      <c r="AJ601" s="507">
        <v>0</v>
      </c>
      <c r="AK601" s="507">
        <v>0</v>
      </c>
      <c r="AL601" s="507">
        <v>0</v>
      </c>
      <c r="AM601" s="507">
        <v>0</v>
      </c>
      <c r="AN601" s="507"/>
      <c r="AO601" s="507"/>
    </row>
    <row r="602" spans="1:41">
      <c r="A602" s="2" t="s">
        <v>408</v>
      </c>
      <c r="B602" s="2" t="s">
        <v>382</v>
      </c>
      <c r="C602" s="2" t="s">
        <v>379</v>
      </c>
      <c r="D602" s="2" t="s">
        <v>30</v>
      </c>
      <c r="E602" s="2" t="s">
        <v>19</v>
      </c>
      <c r="F602" s="2" t="s">
        <v>380</v>
      </c>
      <c r="G602" s="2" t="s">
        <v>21</v>
      </c>
      <c r="H602">
        <v>1</v>
      </c>
      <c r="I602" s="2" t="s">
        <v>526</v>
      </c>
      <c r="J602" s="3">
        <v>1</v>
      </c>
      <c r="K602" s="3">
        <v>5.2488000000000001</v>
      </c>
      <c r="L602" s="507">
        <v>353.0927464061794</v>
      </c>
      <c r="M602" s="507">
        <v>0</v>
      </c>
      <c r="N602" s="507">
        <v>353.0927464061794</v>
      </c>
      <c r="O602" s="507">
        <v>0</v>
      </c>
      <c r="P602">
        <v>1</v>
      </c>
      <c r="Q602" s="2" t="s">
        <v>526</v>
      </c>
      <c r="R602" s="3">
        <v>1</v>
      </c>
      <c r="S602" s="3">
        <v>5.2488000000000001</v>
      </c>
      <c r="T602" s="507">
        <v>3348.2481363522325</v>
      </c>
      <c r="U602" s="507">
        <v>0</v>
      </c>
      <c r="V602" s="507">
        <v>3348.2481363522325</v>
      </c>
      <c r="W602" s="507">
        <v>0</v>
      </c>
      <c r="X602" s="507">
        <v>353.0927464061794</v>
      </c>
      <c r="Y602" s="507">
        <v>3348.2481363522325</v>
      </c>
      <c r="Z602" s="507">
        <v>1853.3132073367544</v>
      </c>
      <c r="AA602" s="507">
        <v>17574.284818085598</v>
      </c>
      <c r="AB602" s="507">
        <v>17574.284818085598</v>
      </c>
      <c r="AC602" s="507">
        <v>-15720.97</v>
      </c>
      <c r="AD602" s="507">
        <v>-15720.97</v>
      </c>
      <c r="AE602" s="507">
        <v>0</v>
      </c>
      <c r="AF602" s="507"/>
      <c r="AG602" s="507">
        <v>-15720.97</v>
      </c>
      <c r="AH602" s="507">
        <v>0</v>
      </c>
      <c r="AI602" s="507">
        <v>0</v>
      </c>
      <c r="AJ602" s="507">
        <v>0</v>
      </c>
      <c r="AK602" s="507">
        <v>0</v>
      </c>
      <c r="AL602" s="507">
        <v>0</v>
      </c>
      <c r="AM602" s="507">
        <v>0</v>
      </c>
      <c r="AN602" s="507"/>
      <c r="AO602" s="507"/>
    </row>
    <row r="603" spans="1:41">
      <c r="A603" s="2" t="s">
        <v>409</v>
      </c>
      <c r="B603" s="2" t="s">
        <v>382</v>
      </c>
      <c r="C603" s="2" t="s">
        <v>379</v>
      </c>
      <c r="D603" s="2" t="s">
        <v>30</v>
      </c>
      <c r="E603" s="2" t="s">
        <v>19</v>
      </c>
      <c r="F603" s="2" t="s">
        <v>380</v>
      </c>
      <c r="G603" s="2" t="s">
        <v>21</v>
      </c>
      <c r="H603">
        <v>1</v>
      </c>
      <c r="I603" s="2" t="s">
        <v>526</v>
      </c>
      <c r="J603" s="3">
        <v>1</v>
      </c>
      <c r="K603" s="3">
        <v>5.2488000000000001</v>
      </c>
      <c r="L603" s="507">
        <v>1168.0027664673646</v>
      </c>
      <c r="M603" s="507">
        <v>0</v>
      </c>
      <c r="N603" s="507">
        <v>1168.0027664673646</v>
      </c>
      <c r="O603" s="507">
        <v>0</v>
      </c>
      <c r="P603">
        <v>1</v>
      </c>
      <c r="Q603" s="2" t="s">
        <v>526</v>
      </c>
      <c r="R603" s="3">
        <v>1</v>
      </c>
      <c r="S603" s="3">
        <v>5.2488000000000001</v>
      </c>
      <c r="T603" s="507">
        <v>353.0927464061794</v>
      </c>
      <c r="U603" s="507">
        <v>0</v>
      </c>
      <c r="V603" s="507">
        <v>353.0927464061794</v>
      </c>
      <c r="W603" s="507">
        <v>0</v>
      </c>
      <c r="X603" s="507">
        <v>1168.0027664673646</v>
      </c>
      <c r="Y603" s="507">
        <v>353.0927464061794</v>
      </c>
      <c r="Z603" s="507">
        <v>6130.6129206339037</v>
      </c>
      <c r="AA603" s="507">
        <v>1853.3132073367544</v>
      </c>
      <c r="AB603" s="507">
        <v>1853.3132073367544</v>
      </c>
      <c r="AC603" s="507">
        <v>4277.3</v>
      </c>
      <c r="AD603" s="507">
        <v>4277.3</v>
      </c>
      <c r="AE603" s="507">
        <v>0</v>
      </c>
      <c r="AF603" s="507">
        <v>4277.3</v>
      </c>
      <c r="AG603" s="507"/>
      <c r="AH603" s="507">
        <v>0</v>
      </c>
      <c r="AI603" s="507">
        <v>0</v>
      </c>
      <c r="AJ603" s="507">
        <v>0</v>
      </c>
      <c r="AK603" s="507">
        <v>0</v>
      </c>
      <c r="AL603" s="507">
        <v>0</v>
      </c>
      <c r="AM603" s="507">
        <v>0</v>
      </c>
      <c r="AN603" s="507"/>
      <c r="AO603" s="507"/>
    </row>
    <row r="604" spans="1:41">
      <c r="A604" s="2" t="s">
        <v>410</v>
      </c>
      <c r="B604" s="2" t="s">
        <v>382</v>
      </c>
      <c r="C604" s="2" t="s">
        <v>379</v>
      </c>
      <c r="D604" s="2" t="s">
        <v>30</v>
      </c>
      <c r="E604" s="2" t="s">
        <v>19</v>
      </c>
      <c r="F604" s="2" t="s">
        <v>380</v>
      </c>
      <c r="G604" s="2" t="s">
        <v>21</v>
      </c>
      <c r="H604">
        <v>1</v>
      </c>
      <c r="I604" s="2" t="s">
        <v>526</v>
      </c>
      <c r="J604" s="3">
        <v>1</v>
      </c>
      <c r="K604" s="3">
        <v>5.2488000000000001</v>
      </c>
      <c r="L604" s="507">
        <v>137.24672191859338</v>
      </c>
      <c r="M604" s="507">
        <v>0</v>
      </c>
      <c r="N604" s="507">
        <v>137.24672191859338</v>
      </c>
      <c r="O604" s="507">
        <v>0</v>
      </c>
      <c r="P604">
        <v>1</v>
      </c>
      <c r="Q604" s="2" t="s">
        <v>526</v>
      </c>
      <c r="R604" s="3">
        <v>1</v>
      </c>
      <c r="S604" s="3">
        <v>5.2488000000000001</v>
      </c>
      <c r="T604" s="507">
        <v>1168.0027664673646</v>
      </c>
      <c r="U604" s="507">
        <v>0</v>
      </c>
      <c r="V604" s="507">
        <v>1168.0027664673646</v>
      </c>
      <c r="W604" s="507">
        <v>0</v>
      </c>
      <c r="X604" s="507">
        <v>137.24672191859338</v>
      </c>
      <c r="Y604" s="507">
        <v>1168.0027664673646</v>
      </c>
      <c r="Z604" s="507">
        <v>720.380594006313</v>
      </c>
      <c r="AA604" s="507">
        <v>6130.6129206339037</v>
      </c>
      <c r="AB604" s="507">
        <v>6130.6129206339037</v>
      </c>
      <c r="AC604" s="507">
        <v>-5410.23</v>
      </c>
      <c r="AD604" s="507">
        <v>-5410.23</v>
      </c>
      <c r="AE604" s="507">
        <v>0</v>
      </c>
      <c r="AF604" s="507"/>
      <c r="AG604" s="507">
        <v>-5410.23</v>
      </c>
      <c r="AH604" s="507">
        <v>0</v>
      </c>
      <c r="AI604" s="507">
        <v>0</v>
      </c>
      <c r="AJ604" s="507">
        <v>0</v>
      </c>
      <c r="AK604" s="507">
        <v>0</v>
      </c>
      <c r="AL604" s="507">
        <v>0</v>
      </c>
      <c r="AM604" s="507">
        <v>0</v>
      </c>
      <c r="AN604" s="507"/>
      <c r="AO604" s="507"/>
    </row>
    <row r="605" spans="1:41">
      <c r="A605" s="2" t="s">
        <v>411</v>
      </c>
      <c r="B605" s="2" t="s">
        <v>382</v>
      </c>
      <c r="C605" s="2" t="s">
        <v>379</v>
      </c>
      <c r="D605" s="2" t="s">
        <v>30</v>
      </c>
      <c r="E605" s="2" t="s">
        <v>19</v>
      </c>
      <c r="F605" s="2" t="s">
        <v>380</v>
      </c>
      <c r="G605" s="2" t="s">
        <v>21</v>
      </c>
      <c r="H605">
        <v>1</v>
      </c>
      <c r="I605" s="2" t="s">
        <v>526</v>
      </c>
      <c r="J605" s="3">
        <v>1</v>
      </c>
      <c r="K605" s="3">
        <v>5.2488000000000001</v>
      </c>
      <c r="L605" s="507">
        <v>1168.7578517126774</v>
      </c>
      <c r="M605" s="507">
        <v>0</v>
      </c>
      <c r="N605" s="507">
        <v>1168.7578517126774</v>
      </c>
      <c r="O605" s="507">
        <v>0</v>
      </c>
      <c r="P605">
        <v>1</v>
      </c>
      <c r="Q605" s="2" t="s">
        <v>526</v>
      </c>
      <c r="R605" s="3">
        <v>1</v>
      </c>
      <c r="S605" s="3">
        <v>5.2488000000000001</v>
      </c>
      <c r="T605" s="507">
        <v>137.24672191859338</v>
      </c>
      <c r="U605" s="507">
        <v>0</v>
      </c>
      <c r="V605" s="507">
        <v>137.24672191859338</v>
      </c>
      <c r="W605" s="507">
        <v>0</v>
      </c>
      <c r="X605" s="507">
        <v>1168.7578517126774</v>
      </c>
      <c r="Y605" s="507">
        <v>137.24672191859338</v>
      </c>
      <c r="Z605" s="507">
        <v>6134.5762120695017</v>
      </c>
      <c r="AA605" s="507">
        <v>720.380594006313</v>
      </c>
      <c r="AB605" s="507">
        <v>720.380594006313</v>
      </c>
      <c r="AC605" s="507">
        <v>5414.2</v>
      </c>
      <c r="AD605" s="507">
        <v>5414.2</v>
      </c>
      <c r="AE605" s="507">
        <v>0</v>
      </c>
      <c r="AF605" s="507">
        <v>5414.2</v>
      </c>
      <c r="AG605" s="507"/>
      <c r="AH605" s="507">
        <v>0</v>
      </c>
      <c r="AI605" s="507">
        <v>0</v>
      </c>
      <c r="AJ605" s="507">
        <v>0</v>
      </c>
      <c r="AK605" s="507">
        <v>0</v>
      </c>
      <c r="AL605" s="507">
        <v>0</v>
      </c>
      <c r="AM605" s="507">
        <v>0</v>
      </c>
      <c r="AN605" s="507"/>
      <c r="AO605" s="507"/>
    </row>
    <row r="606" spans="1:41">
      <c r="A606" s="2" t="s">
        <v>412</v>
      </c>
      <c r="B606" s="2" t="s">
        <v>382</v>
      </c>
      <c r="C606" s="2" t="s">
        <v>379</v>
      </c>
      <c r="D606" s="2" t="s">
        <v>30</v>
      </c>
      <c r="E606" s="2" t="s">
        <v>19</v>
      </c>
      <c r="F606" s="2" t="s">
        <v>380</v>
      </c>
      <c r="G606" s="2" t="s">
        <v>21</v>
      </c>
      <c r="H606">
        <v>1</v>
      </c>
      <c r="I606" s="2" t="s">
        <v>526</v>
      </c>
      <c r="J606" s="3">
        <v>1</v>
      </c>
      <c r="K606" s="3">
        <v>5.2488000000000001</v>
      </c>
      <c r="L606" s="507">
        <v>84081.796333739214</v>
      </c>
      <c r="M606" s="507">
        <v>0</v>
      </c>
      <c r="N606" s="507">
        <v>84081.796333739214</v>
      </c>
      <c r="O606" s="507">
        <v>0</v>
      </c>
      <c r="P606">
        <v>1</v>
      </c>
      <c r="Q606" s="2" t="s">
        <v>526</v>
      </c>
      <c r="R606" s="3">
        <v>1</v>
      </c>
      <c r="S606" s="3">
        <v>5.2488000000000001</v>
      </c>
      <c r="T606" s="507">
        <v>1168.7578517126774</v>
      </c>
      <c r="U606" s="507">
        <v>0</v>
      </c>
      <c r="V606" s="507">
        <v>1168.7578517126774</v>
      </c>
      <c r="W606" s="507">
        <v>0</v>
      </c>
      <c r="X606" s="507">
        <v>84081.796333739214</v>
      </c>
      <c r="Y606" s="507">
        <v>1168.7578517126774</v>
      </c>
      <c r="Z606" s="507">
        <v>441328.53259653039</v>
      </c>
      <c r="AA606" s="507">
        <v>6134.5762120695017</v>
      </c>
      <c r="AB606" s="507">
        <v>6134.5762120695017</v>
      </c>
      <c r="AC606" s="507">
        <v>435193.96</v>
      </c>
      <c r="AD606" s="507">
        <v>435193.96</v>
      </c>
      <c r="AE606" s="507">
        <v>0</v>
      </c>
      <c r="AF606" s="507">
        <v>435193.96</v>
      </c>
      <c r="AG606" s="507"/>
      <c r="AH606" s="507">
        <v>0</v>
      </c>
      <c r="AI606" s="507">
        <v>0</v>
      </c>
      <c r="AJ606" s="507">
        <v>0</v>
      </c>
      <c r="AK606" s="507">
        <v>0</v>
      </c>
      <c r="AL606" s="507">
        <v>0</v>
      </c>
      <c r="AM606" s="507">
        <v>0</v>
      </c>
      <c r="AN606" s="507"/>
      <c r="AO606" s="507"/>
    </row>
    <row r="607" spans="1:41">
      <c r="A607" s="2" t="s">
        <v>413</v>
      </c>
      <c r="B607" s="2" t="s">
        <v>382</v>
      </c>
      <c r="C607" s="2" t="s">
        <v>379</v>
      </c>
      <c r="D607" s="2" t="s">
        <v>30</v>
      </c>
      <c r="E607" s="2" t="s">
        <v>19</v>
      </c>
      <c r="F607" s="2" t="s">
        <v>380</v>
      </c>
      <c r="G607" s="2" t="s">
        <v>21</v>
      </c>
      <c r="H607">
        <v>1</v>
      </c>
      <c r="I607" s="2" t="s">
        <v>526</v>
      </c>
      <c r="J607" s="3">
        <v>1</v>
      </c>
      <c r="K607" s="3">
        <v>5.2488000000000001</v>
      </c>
      <c r="L607" s="507">
        <v>28147.325720379184</v>
      </c>
      <c r="M607" s="507">
        <v>0</v>
      </c>
      <c r="N607" s="507">
        <v>28147.325720379184</v>
      </c>
      <c r="O607" s="507">
        <v>0</v>
      </c>
      <c r="P607">
        <v>1</v>
      </c>
      <c r="Q607" s="2" t="s">
        <v>526</v>
      </c>
      <c r="R607" s="3">
        <v>1</v>
      </c>
      <c r="S607" s="3">
        <v>5.2488000000000001</v>
      </c>
      <c r="T607" s="507">
        <v>84081.796333739214</v>
      </c>
      <c r="U607" s="507">
        <v>0</v>
      </c>
      <c r="V607" s="507">
        <v>84081.796333739214</v>
      </c>
      <c r="W607" s="507">
        <v>0</v>
      </c>
      <c r="X607" s="507">
        <v>28147.325720379184</v>
      </c>
      <c r="Y607" s="507">
        <v>84081.796333739214</v>
      </c>
      <c r="Z607" s="507">
        <v>147739.68324112627</v>
      </c>
      <c r="AA607" s="507">
        <v>441328.53259653039</v>
      </c>
      <c r="AB607" s="507">
        <v>441328.53259653039</v>
      </c>
      <c r="AC607" s="507">
        <v>-293588.84999999998</v>
      </c>
      <c r="AD607" s="507">
        <v>-293588.84999999998</v>
      </c>
      <c r="AE607" s="507">
        <v>0</v>
      </c>
      <c r="AF607" s="507"/>
      <c r="AG607" s="507">
        <v>-293588.84999999998</v>
      </c>
      <c r="AH607" s="507">
        <v>0</v>
      </c>
      <c r="AI607" s="507">
        <v>0</v>
      </c>
      <c r="AJ607" s="507">
        <v>0</v>
      </c>
      <c r="AK607" s="507">
        <v>0</v>
      </c>
      <c r="AL607" s="507">
        <v>0</v>
      </c>
      <c r="AM607" s="507">
        <v>0</v>
      </c>
      <c r="AN607" s="507"/>
      <c r="AO607" s="507"/>
    </row>
    <row r="608" spans="1:41">
      <c r="A608" s="2" t="s">
        <v>414</v>
      </c>
      <c r="B608" s="2" t="s">
        <v>382</v>
      </c>
      <c r="C608" s="2" t="s">
        <v>379</v>
      </c>
      <c r="D608" s="2" t="s">
        <v>30</v>
      </c>
      <c r="E608" s="2" t="s">
        <v>19</v>
      </c>
      <c r="F608" s="2" t="s">
        <v>380</v>
      </c>
      <c r="G608" s="2" t="s">
        <v>21</v>
      </c>
      <c r="H608">
        <v>1</v>
      </c>
      <c r="I608" s="2" t="s">
        <v>526</v>
      </c>
      <c r="J608" s="3">
        <v>1</v>
      </c>
      <c r="K608" s="3">
        <v>5.2488000000000001</v>
      </c>
      <c r="L608" s="507">
        <v>109234.84395771063</v>
      </c>
      <c r="M608" s="507">
        <v>0</v>
      </c>
      <c r="N608" s="507">
        <v>109234.84395771063</v>
      </c>
      <c r="O608" s="507">
        <v>0</v>
      </c>
      <c r="P608">
        <v>1</v>
      </c>
      <c r="Q608" s="2" t="s">
        <v>526</v>
      </c>
      <c r="R608" s="3">
        <v>1</v>
      </c>
      <c r="S608" s="3">
        <v>5.2488000000000001</v>
      </c>
      <c r="T608" s="507">
        <v>28147.325720379184</v>
      </c>
      <c r="U608" s="507">
        <v>0</v>
      </c>
      <c r="V608" s="507">
        <v>28147.325720379184</v>
      </c>
      <c r="W608" s="507">
        <v>0</v>
      </c>
      <c r="X608" s="507">
        <v>109234.84395771063</v>
      </c>
      <c r="Y608" s="507">
        <v>28147.325720379184</v>
      </c>
      <c r="Z608" s="507">
        <v>573351.84896523156</v>
      </c>
      <c r="AA608" s="507">
        <v>147739.68324112627</v>
      </c>
      <c r="AB608" s="507">
        <v>147739.68324112627</v>
      </c>
      <c r="AC608" s="507">
        <v>425612.17</v>
      </c>
      <c r="AD608" s="507">
        <v>425612.17</v>
      </c>
      <c r="AE608" s="507">
        <v>0</v>
      </c>
      <c r="AF608" s="507">
        <v>425612.17</v>
      </c>
      <c r="AG608" s="507"/>
      <c r="AH608" s="507">
        <v>0</v>
      </c>
      <c r="AI608" s="507">
        <v>0</v>
      </c>
      <c r="AJ608" s="507">
        <v>0</v>
      </c>
      <c r="AK608" s="507">
        <v>0</v>
      </c>
      <c r="AL608" s="507">
        <v>0</v>
      </c>
      <c r="AM608" s="507">
        <v>0</v>
      </c>
      <c r="AN608" s="507"/>
      <c r="AO608" s="507"/>
    </row>
    <row r="609" spans="1:41">
      <c r="A609" s="2" t="s">
        <v>415</v>
      </c>
      <c r="B609" s="2" t="s">
        <v>382</v>
      </c>
      <c r="C609" s="2" t="s">
        <v>379</v>
      </c>
      <c r="D609" s="2" t="s">
        <v>30</v>
      </c>
      <c r="E609" s="2" t="s">
        <v>19</v>
      </c>
      <c r="F609" s="2" t="s">
        <v>380</v>
      </c>
      <c r="G609" s="2" t="s">
        <v>21</v>
      </c>
      <c r="H609">
        <v>1</v>
      </c>
      <c r="I609" s="2" t="s">
        <v>526</v>
      </c>
      <c r="J609" s="3">
        <v>1</v>
      </c>
      <c r="K609" s="3">
        <v>5.2488000000000001</v>
      </c>
      <c r="L609" s="507">
        <v>2276.0126484115385</v>
      </c>
      <c r="M609" s="507">
        <v>0</v>
      </c>
      <c r="N609" s="507">
        <v>2276.0126484115385</v>
      </c>
      <c r="O609" s="507">
        <v>0</v>
      </c>
      <c r="P609">
        <v>1</v>
      </c>
      <c r="Q609" s="2" t="s">
        <v>526</v>
      </c>
      <c r="R609" s="3">
        <v>1</v>
      </c>
      <c r="S609" s="3">
        <v>5.2488000000000001</v>
      </c>
      <c r="T609" s="507">
        <v>109234.84395771063</v>
      </c>
      <c r="U609" s="507">
        <v>0</v>
      </c>
      <c r="V609" s="507">
        <v>109234.84395771063</v>
      </c>
      <c r="W609" s="507">
        <v>0</v>
      </c>
      <c r="X609" s="507">
        <v>2276.0126484115385</v>
      </c>
      <c r="Y609" s="507">
        <v>109234.84395771063</v>
      </c>
      <c r="Z609" s="507">
        <v>11946.335188982484</v>
      </c>
      <c r="AA609" s="507">
        <v>573351.84896523156</v>
      </c>
      <c r="AB609" s="507">
        <v>573351.84896523156</v>
      </c>
      <c r="AC609" s="507">
        <v>-561405.51</v>
      </c>
      <c r="AD609" s="507">
        <v>-561405.51</v>
      </c>
      <c r="AE609" s="507">
        <v>0</v>
      </c>
      <c r="AF609" s="507"/>
      <c r="AG609" s="507">
        <v>-561405.51</v>
      </c>
      <c r="AH609" s="507">
        <v>0</v>
      </c>
      <c r="AI609" s="507">
        <v>0</v>
      </c>
      <c r="AJ609" s="507">
        <v>0</v>
      </c>
      <c r="AK609" s="507">
        <v>0</v>
      </c>
      <c r="AL609" s="507">
        <v>0</v>
      </c>
      <c r="AM609" s="507">
        <v>0</v>
      </c>
      <c r="AN609" s="507"/>
      <c r="AO609" s="507"/>
    </row>
    <row r="610" spans="1:41">
      <c r="A610" s="2" t="s">
        <v>416</v>
      </c>
      <c r="B610" s="2" t="s">
        <v>382</v>
      </c>
      <c r="C610" s="2" t="s">
        <v>379</v>
      </c>
      <c r="D610" s="2" t="s">
        <v>30</v>
      </c>
      <c r="E610" s="2" t="s">
        <v>19</v>
      </c>
      <c r="F610" s="2" t="s">
        <v>380</v>
      </c>
      <c r="G610" s="2" t="s">
        <v>21</v>
      </c>
      <c r="H610">
        <v>1</v>
      </c>
      <c r="I610" s="2" t="s">
        <v>526</v>
      </c>
      <c r="J610" s="3">
        <v>1</v>
      </c>
      <c r="K610" s="3">
        <v>5.2488000000000001</v>
      </c>
      <c r="L610" s="507">
        <v>1099.7006571830989</v>
      </c>
      <c r="M610" s="507">
        <v>0</v>
      </c>
      <c r="N610" s="507">
        <v>1099.7006571830989</v>
      </c>
      <c r="O610" s="507">
        <v>0</v>
      </c>
      <c r="P610">
        <v>1</v>
      </c>
      <c r="Q610" s="2" t="s">
        <v>526</v>
      </c>
      <c r="R610" s="3">
        <v>1</v>
      </c>
      <c r="S610" s="3">
        <v>5.2488000000000001</v>
      </c>
      <c r="T610" s="507">
        <v>2276.0126484115385</v>
      </c>
      <c r="U610" s="507">
        <v>0</v>
      </c>
      <c r="V610" s="507">
        <v>2276.0126484115385</v>
      </c>
      <c r="W610" s="507">
        <v>0</v>
      </c>
      <c r="X610" s="507">
        <v>1099.7006571830989</v>
      </c>
      <c r="Y610" s="507">
        <v>2276.0126484115385</v>
      </c>
      <c r="Z610" s="507">
        <v>5772.1088094226498</v>
      </c>
      <c r="AA610" s="507">
        <v>11946.335188982484</v>
      </c>
      <c r="AB610" s="507">
        <v>11946.335188982484</v>
      </c>
      <c r="AC610" s="507">
        <v>-6174.23</v>
      </c>
      <c r="AD610" s="507">
        <v>-6174.23</v>
      </c>
      <c r="AE610" s="507">
        <v>0</v>
      </c>
      <c r="AF610" s="507"/>
      <c r="AG610" s="507">
        <v>-6174.23</v>
      </c>
      <c r="AH610" s="507">
        <v>0</v>
      </c>
      <c r="AI610" s="507">
        <v>0</v>
      </c>
      <c r="AJ610" s="507">
        <v>0</v>
      </c>
      <c r="AK610" s="507">
        <v>0</v>
      </c>
      <c r="AL610" s="507">
        <v>0</v>
      </c>
      <c r="AM610" s="507">
        <v>0</v>
      </c>
      <c r="AN610" s="507"/>
      <c r="AO610" s="507"/>
    </row>
    <row r="611" spans="1:41">
      <c r="A611" s="2" t="s">
        <v>417</v>
      </c>
      <c r="B611" s="2" t="s">
        <v>382</v>
      </c>
      <c r="C611" s="2" t="s">
        <v>379</v>
      </c>
      <c r="D611" s="2" t="s">
        <v>30</v>
      </c>
      <c r="E611" s="2" t="s">
        <v>19</v>
      </c>
      <c r="F611" s="2" t="s">
        <v>380</v>
      </c>
      <c r="G611" s="2" t="s">
        <v>21</v>
      </c>
      <c r="H611">
        <v>1</v>
      </c>
      <c r="I611" s="2" t="s">
        <v>526</v>
      </c>
      <c r="J611" s="3">
        <v>1</v>
      </c>
      <c r="K611" s="3">
        <v>5.2488000000000001</v>
      </c>
      <c r="L611" s="507">
        <v>4049.7362992639851</v>
      </c>
      <c r="M611" s="507">
        <v>0</v>
      </c>
      <c r="N611" s="507">
        <v>4049.7362992639851</v>
      </c>
      <c r="O611" s="507">
        <v>0</v>
      </c>
      <c r="P611">
        <v>1</v>
      </c>
      <c r="Q611" s="2" t="s">
        <v>526</v>
      </c>
      <c r="R611" s="3">
        <v>1</v>
      </c>
      <c r="S611" s="3">
        <v>5.2488000000000001</v>
      </c>
      <c r="T611" s="507">
        <v>1099.7006571830989</v>
      </c>
      <c r="U611" s="507">
        <v>0</v>
      </c>
      <c r="V611" s="507">
        <v>1099.7006571830989</v>
      </c>
      <c r="W611" s="507">
        <v>0</v>
      </c>
      <c r="X611" s="507">
        <v>4049.7362992639851</v>
      </c>
      <c r="Y611" s="507">
        <v>1099.7006571830989</v>
      </c>
      <c r="Z611" s="507">
        <v>21256.255887576805</v>
      </c>
      <c r="AA611" s="507">
        <v>5772.1088094226498</v>
      </c>
      <c r="AB611" s="507">
        <v>5772.1088094226498</v>
      </c>
      <c r="AC611" s="507">
        <v>15484.15</v>
      </c>
      <c r="AD611" s="507">
        <v>15484.15</v>
      </c>
      <c r="AE611" s="507">
        <v>0</v>
      </c>
      <c r="AF611" s="507">
        <v>15484.15</v>
      </c>
      <c r="AG611" s="507"/>
      <c r="AH611" s="507">
        <v>0</v>
      </c>
      <c r="AI611" s="507">
        <v>0</v>
      </c>
      <c r="AJ611" s="507">
        <v>0</v>
      </c>
      <c r="AK611" s="507">
        <v>0</v>
      </c>
      <c r="AL611" s="507">
        <v>0</v>
      </c>
      <c r="AM611" s="507">
        <v>0</v>
      </c>
      <c r="AN611" s="507"/>
      <c r="AO611" s="507"/>
    </row>
    <row r="612" spans="1:41">
      <c r="A612" s="2" t="s">
        <v>418</v>
      </c>
      <c r="B612" s="2" t="s">
        <v>382</v>
      </c>
      <c r="C612" s="2" t="s">
        <v>379</v>
      </c>
      <c r="D612" s="2" t="s">
        <v>30</v>
      </c>
      <c r="E612" s="2" t="s">
        <v>19</v>
      </c>
      <c r="F612" s="2" t="s">
        <v>380</v>
      </c>
      <c r="G612" s="2" t="s">
        <v>21</v>
      </c>
      <c r="H612">
        <v>1</v>
      </c>
      <c r="I612" s="2" t="s">
        <v>526</v>
      </c>
      <c r="J612" s="3">
        <v>1</v>
      </c>
      <c r="K612" s="3">
        <v>5.2488000000000001</v>
      </c>
      <c r="L612" s="507">
        <v>7416.4256787646073</v>
      </c>
      <c r="M612" s="507">
        <v>0</v>
      </c>
      <c r="N612" s="507">
        <v>7416.4256787646073</v>
      </c>
      <c r="O612" s="507">
        <v>0</v>
      </c>
      <c r="P612">
        <v>1</v>
      </c>
      <c r="Q612" s="2" t="s">
        <v>526</v>
      </c>
      <c r="R612" s="3">
        <v>1</v>
      </c>
      <c r="S612" s="3">
        <v>5.2488000000000001</v>
      </c>
      <c r="T612" s="507">
        <v>4049.7362992639851</v>
      </c>
      <c r="U612" s="507">
        <v>0</v>
      </c>
      <c r="V612" s="507">
        <v>4049.7362992639851</v>
      </c>
      <c r="W612" s="507">
        <v>0</v>
      </c>
      <c r="X612" s="507">
        <v>7416.4256787646073</v>
      </c>
      <c r="Y612" s="507">
        <v>4049.7362992639851</v>
      </c>
      <c r="Z612" s="507">
        <v>38927.335102699668</v>
      </c>
      <c r="AA612" s="507">
        <v>21256.255887576805</v>
      </c>
      <c r="AB612" s="507">
        <v>21256.255887576805</v>
      </c>
      <c r="AC612" s="507">
        <v>17671.080000000002</v>
      </c>
      <c r="AD612" s="507">
        <v>17671.080000000002</v>
      </c>
      <c r="AE612" s="507">
        <v>0</v>
      </c>
      <c r="AF612" s="507">
        <v>17671.080000000002</v>
      </c>
      <c r="AG612" s="507"/>
      <c r="AH612" s="507">
        <v>0</v>
      </c>
      <c r="AI612" s="507">
        <v>0</v>
      </c>
      <c r="AJ612" s="507">
        <v>0</v>
      </c>
      <c r="AK612" s="507">
        <v>0</v>
      </c>
      <c r="AL612" s="507">
        <v>0</v>
      </c>
      <c r="AM612" s="507">
        <v>0</v>
      </c>
      <c r="AN612" s="507"/>
      <c r="AO612" s="507"/>
    </row>
    <row r="613" spans="1:41">
      <c r="A613" s="2" t="s">
        <v>419</v>
      </c>
      <c r="B613" s="2" t="s">
        <v>382</v>
      </c>
      <c r="C613" s="2" t="s">
        <v>379</v>
      </c>
      <c r="D613" s="2" t="s">
        <v>30</v>
      </c>
      <c r="E613" s="2" t="s">
        <v>19</v>
      </c>
      <c r="F613" s="2" t="s">
        <v>380</v>
      </c>
      <c r="G613" s="2" t="s">
        <v>21</v>
      </c>
      <c r="H613">
        <v>1</v>
      </c>
      <c r="I613" s="2" t="s">
        <v>526</v>
      </c>
      <c r="J613" s="3">
        <v>1</v>
      </c>
      <c r="K613" s="3">
        <v>5.2488000000000001</v>
      </c>
      <c r="L613" s="507">
        <v>8064.1899725737148</v>
      </c>
      <c r="M613" s="507">
        <v>0</v>
      </c>
      <c r="N613" s="507">
        <v>8064.1899725737148</v>
      </c>
      <c r="O613" s="507">
        <v>0</v>
      </c>
      <c r="P613">
        <v>1</v>
      </c>
      <c r="Q613" s="2" t="s">
        <v>526</v>
      </c>
      <c r="R613" s="3">
        <v>1</v>
      </c>
      <c r="S613" s="3">
        <v>5.2488000000000001</v>
      </c>
      <c r="T613" s="507">
        <v>7416.4256787646073</v>
      </c>
      <c r="U613" s="507">
        <v>0</v>
      </c>
      <c r="V613" s="507">
        <v>7416.4256787646073</v>
      </c>
      <c r="W613" s="507">
        <v>0</v>
      </c>
      <c r="X613" s="507">
        <v>8064.1899725737148</v>
      </c>
      <c r="Y613" s="507">
        <v>7416.4256787646073</v>
      </c>
      <c r="Z613" s="507">
        <v>42327.320328044916</v>
      </c>
      <c r="AA613" s="507">
        <v>38927.335102699668</v>
      </c>
      <c r="AB613" s="507">
        <v>38927.335102699668</v>
      </c>
      <c r="AC613" s="507">
        <v>3399.99</v>
      </c>
      <c r="AD613" s="507">
        <v>3399.99</v>
      </c>
      <c r="AE613" s="507">
        <v>0</v>
      </c>
      <c r="AF613" s="507">
        <v>3399.99</v>
      </c>
      <c r="AG613" s="507"/>
      <c r="AH613" s="507">
        <v>0</v>
      </c>
      <c r="AI613" s="507">
        <v>0</v>
      </c>
      <c r="AJ613" s="507">
        <v>0</v>
      </c>
      <c r="AK613" s="507">
        <v>0</v>
      </c>
      <c r="AL613" s="507">
        <v>0</v>
      </c>
      <c r="AM613" s="507">
        <v>0</v>
      </c>
      <c r="AN613" s="507"/>
      <c r="AO613" s="507"/>
    </row>
    <row r="614" spans="1:41">
      <c r="A614" s="2" t="s">
        <v>420</v>
      </c>
      <c r="B614" s="2" t="s">
        <v>382</v>
      </c>
      <c r="C614" s="2" t="s">
        <v>379</v>
      </c>
      <c r="D614" s="2" t="s">
        <v>30</v>
      </c>
      <c r="E614" s="2" t="s">
        <v>19</v>
      </c>
      <c r="F614" s="2" t="s">
        <v>380</v>
      </c>
      <c r="G614" s="2" t="s">
        <v>21</v>
      </c>
      <c r="H614">
        <v>1</v>
      </c>
      <c r="I614" s="2" t="s">
        <v>526</v>
      </c>
      <c r="J614" s="3">
        <v>1</v>
      </c>
      <c r="K614" s="3">
        <v>5.2488000000000001</v>
      </c>
      <c r="L614" s="507">
        <v>532.32018876854352</v>
      </c>
      <c r="M614" s="507">
        <v>0</v>
      </c>
      <c r="N614" s="507">
        <v>532.32018876854352</v>
      </c>
      <c r="O614" s="507">
        <v>0</v>
      </c>
      <c r="P614">
        <v>1</v>
      </c>
      <c r="Q614" s="2" t="s">
        <v>526</v>
      </c>
      <c r="R614" s="3">
        <v>1</v>
      </c>
      <c r="S614" s="3">
        <v>5.2488000000000001</v>
      </c>
      <c r="T614" s="507">
        <v>8064.1899725737148</v>
      </c>
      <c r="U614" s="507">
        <v>0</v>
      </c>
      <c r="V614" s="507">
        <v>8064.1899725737148</v>
      </c>
      <c r="W614" s="507">
        <v>0</v>
      </c>
      <c r="X614" s="507">
        <v>532.32018876854352</v>
      </c>
      <c r="Y614" s="507">
        <v>8064.1899725737148</v>
      </c>
      <c r="Z614" s="507">
        <v>2794.0422068083312</v>
      </c>
      <c r="AA614" s="507">
        <v>42327.320328044916</v>
      </c>
      <c r="AB614" s="507">
        <v>42327.320328044916</v>
      </c>
      <c r="AC614" s="507">
        <v>-39533.279999999999</v>
      </c>
      <c r="AD614" s="507">
        <v>-39533.279999999999</v>
      </c>
      <c r="AE614" s="507">
        <v>0</v>
      </c>
      <c r="AF614" s="507"/>
      <c r="AG614" s="507">
        <v>-39533.279999999999</v>
      </c>
      <c r="AH614" s="507">
        <v>0</v>
      </c>
      <c r="AI614" s="507">
        <v>0</v>
      </c>
      <c r="AJ614" s="507">
        <v>0</v>
      </c>
      <c r="AK614" s="507">
        <v>0</v>
      </c>
      <c r="AL614" s="507">
        <v>0</v>
      </c>
      <c r="AM614" s="507">
        <v>0</v>
      </c>
      <c r="AN614" s="507"/>
      <c r="AO614" s="507"/>
    </row>
    <row r="615" spans="1:41">
      <c r="A615" s="2" t="s">
        <v>421</v>
      </c>
      <c r="B615" s="2" t="s">
        <v>382</v>
      </c>
      <c r="C615" s="2" t="s">
        <v>379</v>
      </c>
      <c r="D615" s="2" t="s">
        <v>30</v>
      </c>
      <c r="E615" s="2" t="s">
        <v>19</v>
      </c>
      <c r="F615" s="2" t="s">
        <v>380</v>
      </c>
      <c r="G615" s="2" t="s">
        <v>21</v>
      </c>
      <c r="H615">
        <v>1</v>
      </c>
      <c r="I615" s="2" t="s">
        <v>526</v>
      </c>
      <c r="J615" s="3">
        <v>1</v>
      </c>
      <c r="K615" s="3">
        <v>5.2488000000000001</v>
      </c>
      <c r="L615" s="507">
        <v>281.36152642297304</v>
      </c>
      <c r="M615" s="507">
        <v>0</v>
      </c>
      <c r="N615" s="507">
        <v>281.36152642297304</v>
      </c>
      <c r="O615" s="507">
        <v>0</v>
      </c>
      <c r="P615">
        <v>1</v>
      </c>
      <c r="Q615" s="2" t="s">
        <v>526</v>
      </c>
      <c r="R615" s="3">
        <v>1</v>
      </c>
      <c r="S615" s="3">
        <v>5.2488000000000001</v>
      </c>
      <c r="T615" s="507">
        <v>532.32018876854352</v>
      </c>
      <c r="U615" s="507">
        <v>0</v>
      </c>
      <c r="V615" s="507">
        <v>532.32018876854352</v>
      </c>
      <c r="W615" s="507">
        <v>0</v>
      </c>
      <c r="X615" s="507">
        <v>281.36152642297304</v>
      </c>
      <c r="Y615" s="507">
        <v>532.32018876854352</v>
      </c>
      <c r="Z615" s="507">
        <v>1476.810379888901</v>
      </c>
      <c r="AA615" s="507">
        <v>2794.0422068083312</v>
      </c>
      <c r="AB615" s="507">
        <v>2794.0422068083312</v>
      </c>
      <c r="AC615" s="507">
        <v>-1317.23</v>
      </c>
      <c r="AD615" s="507">
        <v>-1317.23</v>
      </c>
      <c r="AE615" s="507">
        <v>0</v>
      </c>
      <c r="AF615" s="507"/>
      <c r="AG615" s="507">
        <v>-1317.23</v>
      </c>
      <c r="AH615" s="507">
        <v>0</v>
      </c>
      <c r="AI615" s="507">
        <v>0</v>
      </c>
      <c r="AJ615" s="507">
        <v>0</v>
      </c>
      <c r="AK615" s="507">
        <v>0</v>
      </c>
      <c r="AL615" s="507">
        <v>0</v>
      </c>
      <c r="AM615" s="507">
        <v>0</v>
      </c>
      <c r="AN615" s="507"/>
      <c r="AO615" s="507"/>
    </row>
    <row r="616" spans="1:41">
      <c r="A616" s="2" t="s">
        <v>422</v>
      </c>
      <c r="B616" s="2" t="s">
        <v>382</v>
      </c>
      <c r="C616" s="2" t="s">
        <v>379</v>
      </c>
      <c r="D616" s="2" t="s">
        <v>30</v>
      </c>
      <c r="E616" s="2" t="s">
        <v>19</v>
      </c>
      <c r="F616" s="2" t="s">
        <v>380</v>
      </c>
      <c r="G616" s="2" t="s">
        <v>21</v>
      </c>
      <c r="H616">
        <v>1</v>
      </c>
      <c r="I616" s="2" t="s">
        <v>526</v>
      </c>
      <c r="J616" s="3">
        <v>1</v>
      </c>
      <c r="K616" s="3">
        <v>5.2488000000000001</v>
      </c>
      <c r="L616" s="507">
        <v>117.5000453237048</v>
      </c>
      <c r="M616" s="507">
        <v>0</v>
      </c>
      <c r="N616" s="507">
        <v>117.5000453237048</v>
      </c>
      <c r="O616" s="507">
        <v>0</v>
      </c>
      <c r="P616">
        <v>1</v>
      </c>
      <c r="Q616" s="2" t="s">
        <v>526</v>
      </c>
      <c r="R616" s="3">
        <v>1</v>
      </c>
      <c r="S616" s="3">
        <v>5.2488000000000001</v>
      </c>
      <c r="T616" s="507">
        <v>281.36152642297304</v>
      </c>
      <c r="U616" s="507">
        <v>0</v>
      </c>
      <c r="V616" s="507">
        <v>281.36152642297304</v>
      </c>
      <c r="W616" s="507">
        <v>0</v>
      </c>
      <c r="X616" s="507">
        <v>117.5000453237048</v>
      </c>
      <c r="Y616" s="507">
        <v>281.36152642297304</v>
      </c>
      <c r="Z616" s="507">
        <v>616.73423789506171</v>
      </c>
      <c r="AA616" s="507">
        <v>1476.810379888901</v>
      </c>
      <c r="AB616" s="507">
        <v>1476.810379888901</v>
      </c>
      <c r="AC616" s="507">
        <v>-860.08</v>
      </c>
      <c r="AD616" s="507">
        <v>-860.08</v>
      </c>
      <c r="AE616" s="507">
        <v>0</v>
      </c>
      <c r="AF616" s="507"/>
      <c r="AG616" s="507">
        <v>-860.08</v>
      </c>
      <c r="AH616" s="507">
        <v>0</v>
      </c>
      <c r="AI616" s="507">
        <v>0</v>
      </c>
      <c r="AJ616" s="507">
        <v>0</v>
      </c>
      <c r="AK616" s="507">
        <v>0</v>
      </c>
      <c r="AL616" s="507">
        <v>0</v>
      </c>
      <c r="AM616" s="507">
        <v>0</v>
      </c>
      <c r="AN616" s="507"/>
      <c r="AO616" s="507"/>
    </row>
    <row r="617" spans="1:41">
      <c r="A617" s="2" t="s">
        <v>423</v>
      </c>
      <c r="B617" s="2" t="s">
        <v>382</v>
      </c>
      <c r="C617" s="2" t="s">
        <v>379</v>
      </c>
      <c r="D617" s="2" t="s">
        <v>30</v>
      </c>
      <c r="E617" s="2" t="s">
        <v>19</v>
      </c>
      <c r="F617" s="2" t="s">
        <v>380</v>
      </c>
      <c r="G617" s="2" t="s">
        <v>21</v>
      </c>
      <c r="H617">
        <v>1</v>
      </c>
      <c r="I617" s="2" t="s">
        <v>526</v>
      </c>
      <c r="J617" s="3">
        <v>1</v>
      </c>
      <c r="K617" s="3">
        <v>5.2488000000000001</v>
      </c>
      <c r="L617" s="507">
        <v>8275.5317820905038</v>
      </c>
      <c r="M617" s="507">
        <v>0</v>
      </c>
      <c r="N617" s="507">
        <v>8275.5317820905038</v>
      </c>
      <c r="O617" s="507">
        <v>0</v>
      </c>
      <c r="P617">
        <v>1</v>
      </c>
      <c r="Q617" s="2" t="s">
        <v>526</v>
      </c>
      <c r="R617" s="3">
        <v>1</v>
      </c>
      <c r="S617" s="3">
        <v>5.2488000000000001</v>
      </c>
      <c r="T617" s="507">
        <v>117.5000453237048</v>
      </c>
      <c r="U617" s="507">
        <v>0</v>
      </c>
      <c r="V617" s="507">
        <v>117.5000453237048</v>
      </c>
      <c r="W617" s="507">
        <v>0</v>
      </c>
      <c r="X617" s="507">
        <v>8275.5317820905038</v>
      </c>
      <c r="Y617" s="507">
        <v>117.5000453237048</v>
      </c>
      <c r="Z617" s="507">
        <v>43436.611217836638</v>
      </c>
      <c r="AA617" s="507">
        <v>616.73423789506171</v>
      </c>
      <c r="AB617" s="507">
        <v>616.73423789506171</v>
      </c>
      <c r="AC617" s="507">
        <v>42819.88</v>
      </c>
      <c r="AD617" s="507">
        <v>42819.88</v>
      </c>
      <c r="AE617" s="507">
        <v>0</v>
      </c>
      <c r="AF617" s="507">
        <v>42819.88</v>
      </c>
      <c r="AG617" s="507"/>
      <c r="AH617" s="507">
        <v>0</v>
      </c>
      <c r="AI617" s="507">
        <v>0</v>
      </c>
      <c r="AJ617" s="507">
        <v>0</v>
      </c>
      <c r="AK617" s="507">
        <v>0</v>
      </c>
      <c r="AL617" s="507">
        <v>0</v>
      </c>
      <c r="AM617" s="507">
        <v>0</v>
      </c>
      <c r="AN617" s="507"/>
      <c r="AO617" s="507"/>
    </row>
    <row r="618" spans="1:41">
      <c r="A618" s="2" t="s">
        <v>424</v>
      </c>
      <c r="B618" s="2" t="s">
        <v>382</v>
      </c>
      <c r="C618" s="2" t="s">
        <v>379</v>
      </c>
      <c r="D618" s="2" t="s">
        <v>30</v>
      </c>
      <c r="E618" s="2" t="s">
        <v>19</v>
      </c>
      <c r="F618" s="2" t="s">
        <v>380</v>
      </c>
      <c r="G618" s="2" t="s">
        <v>21</v>
      </c>
      <c r="H618">
        <v>1</v>
      </c>
      <c r="I618" s="2" t="s">
        <v>526</v>
      </c>
      <c r="J618" s="3">
        <v>1</v>
      </c>
      <c r="K618" s="3">
        <v>5.2488000000000001</v>
      </c>
      <c r="L618" s="507">
        <v>1134.5855485585103</v>
      </c>
      <c r="M618" s="507">
        <v>0</v>
      </c>
      <c r="N618" s="507">
        <v>1134.5855485585103</v>
      </c>
      <c r="O618" s="507">
        <v>0</v>
      </c>
      <c r="P618">
        <v>1</v>
      </c>
      <c r="Q618" s="2" t="s">
        <v>526</v>
      </c>
      <c r="R618" s="3">
        <v>1</v>
      </c>
      <c r="S618" s="3">
        <v>5.2488000000000001</v>
      </c>
      <c r="T618" s="507">
        <v>8275.5317820905038</v>
      </c>
      <c r="U618" s="507">
        <v>0</v>
      </c>
      <c r="V618" s="507">
        <v>8275.5317820905038</v>
      </c>
      <c r="W618" s="507">
        <v>0</v>
      </c>
      <c r="X618" s="507">
        <v>1134.5855485585103</v>
      </c>
      <c r="Y618" s="507">
        <v>8275.5317820905038</v>
      </c>
      <c r="Z618" s="507">
        <v>5955.2126272739088</v>
      </c>
      <c r="AA618" s="507">
        <v>43436.611217836638</v>
      </c>
      <c r="AB618" s="507">
        <v>43436.611217836638</v>
      </c>
      <c r="AC618" s="507">
        <v>-37481.4</v>
      </c>
      <c r="AD618" s="507">
        <v>-37481.4</v>
      </c>
      <c r="AE618" s="507">
        <v>0</v>
      </c>
      <c r="AF618" s="507"/>
      <c r="AG618" s="507">
        <v>-37481.4</v>
      </c>
      <c r="AH618" s="507">
        <v>0</v>
      </c>
      <c r="AI618" s="507">
        <v>0</v>
      </c>
      <c r="AJ618" s="507">
        <v>0</v>
      </c>
      <c r="AK618" s="507">
        <v>0</v>
      </c>
      <c r="AL618" s="507">
        <v>0</v>
      </c>
      <c r="AM618" s="507">
        <v>0</v>
      </c>
      <c r="AN618" s="507"/>
      <c r="AO618" s="507"/>
    </row>
    <row r="619" spans="1:41">
      <c r="A619" s="2" t="s">
        <v>425</v>
      </c>
      <c r="B619" s="2" t="s">
        <v>382</v>
      </c>
      <c r="C619" s="2" t="s">
        <v>379</v>
      </c>
      <c r="D619" s="2" t="s">
        <v>30</v>
      </c>
      <c r="E619" s="2" t="s">
        <v>19</v>
      </c>
      <c r="F619" s="2" t="s">
        <v>380</v>
      </c>
      <c r="G619" s="2" t="s">
        <v>21</v>
      </c>
      <c r="H619">
        <v>1</v>
      </c>
      <c r="I619" s="2" t="s">
        <v>526</v>
      </c>
      <c r="J619" s="3">
        <v>1</v>
      </c>
      <c r="K619" s="3">
        <v>5.2488000000000001</v>
      </c>
      <c r="L619" s="507">
        <v>74.701668049460878</v>
      </c>
      <c r="M619" s="507">
        <v>0</v>
      </c>
      <c r="N619" s="507">
        <v>74.701668049460878</v>
      </c>
      <c r="O619" s="507">
        <v>0</v>
      </c>
      <c r="P619">
        <v>1</v>
      </c>
      <c r="Q619" s="2" t="s">
        <v>526</v>
      </c>
      <c r="R619" s="3">
        <v>1</v>
      </c>
      <c r="S619" s="3">
        <v>5.2488000000000001</v>
      </c>
      <c r="T619" s="507">
        <v>1134.5855485585103</v>
      </c>
      <c r="U619" s="507">
        <v>0</v>
      </c>
      <c r="V619" s="507">
        <v>1134.5855485585103</v>
      </c>
      <c r="W619" s="507">
        <v>0</v>
      </c>
      <c r="X619" s="507">
        <v>74.701668049460878</v>
      </c>
      <c r="Y619" s="507">
        <v>1134.5855485585103</v>
      </c>
      <c r="Z619" s="507">
        <v>392.09411525801028</v>
      </c>
      <c r="AA619" s="507">
        <v>5955.2126272739088</v>
      </c>
      <c r="AB619" s="507">
        <v>5955.2126272739088</v>
      </c>
      <c r="AC619" s="507">
        <v>-5563.12</v>
      </c>
      <c r="AD619" s="507">
        <v>-5563.12</v>
      </c>
      <c r="AE619" s="507">
        <v>0</v>
      </c>
      <c r="AF619" s="507"/>
      <c r="AG619" s="507">
        <v>-5563.12</v>
      </c>
      <c r="AH619" s="507">
        <v>0</v>
      </c>
      <c r="AI619" s="507">
        <v>0</v>
      </c>
      <c r="AJ619" s="507">
        <v>0</v>
      </c>
      <c r="AK619" s="507">
        <v>0</v>
      </c>
      <c r="AL619" s="507">
        <v>0</v>
      </c>
      <c r="AM619" s="507">
        <v>0</v>
      </c>
      <c r="AN619" s="507"/>
      <c r="AO619" s="507"/>
    </row>
    <row r="620" spans="1:41">
      <c r="A620" s="2" t="s">
        <v>426</v>
      </c>
      <c r="B620" s="2" t="s">
        <v>382</v>
      </c>
      <c r="C620" s="2" t="s">
        <v>379</v>
      </c>
      <c r="D620" s="2" t="s">
        <v>30</v>
      </c>
      <c r="E620" s="2" t="s">
        <v>19</v>
      </c>
      <c r="F620" s="2" t="s">
        <v>380</v>
      </c>
      <c r="G620" s="2" t="s">
        <v>21</v>
      </c>
      <c r="H620">
        <v>1</v>
      </c>
      <c r="I620" s="2" t="s">
        <v>526</v>
      </c>
      <c r="J620" s="3">
        <v>1</v>
      </c>
      <c r="K620" s="3">
        <v>5.2488000000000001</v>
      </c>
      <c r="L620" s="507">
        <v>1935.0692376898528</v>
      </c>
      <c r="M620" s="507">
        <v>0</v>
      </c>
      <c r="N620" s="507">
        <v>1935.0692376898528</v>
      </c>
      <c r="O620" s="507">
        <v>0</v>
      </c>
      <c r="P620">
        <v>1</v>
      </c>
      <c r="Q620" s="2" t="s">
        <v>526</v>
      </c>
      <c r="R620" s="3">
        <v>1</v>
      </c>
      <c r="S620" s="3">
        <v>5.2488000000000001</v>
      </c>
      <c r="T620" s="507">
        <v>74.701668049460878</v>
      </c>
      <c r="U620" s="507">
        <v>0</v>
      </c>
      <c r="V620" s="507">
        <v>74.701668049460878</v>
      </c>
      <c r="W620" s="507">
        <v>0</v>
      </c>
      <c r="X620" s="507">
        <v>1935.0692376898528</v>
      </c>
      <c r="Y620" s="507">
        <v>74.701668049460878</v>
      </c>
      <c r="Z620" s="507">
        <v>10156.791414786499</v>
      </c>
      <c r="AA620" s="507">
        <v>392.09411525801028</v>
      </c>
      <c r="AB620" s="507">
        <v>392.09411525801028</v>
      </c>
      <c r="AC620" s="507">
        <v>9764.7000000000007</v>
      </c>
      <c r="AD620" s="507">
        <v>9764.7000000000007</v>
      </c>
      <c r="AE620" s="507">
        <v>0</v>
      </c>
      <c r="AF620" s="507">
        <v>9764.7000000000007</v>
      </c>
      <c r="AG620" s="507"/>
      <c r="AH620" s="507">
        <v>0</v>
      </c>
      <c r="AI620" s="507">
        <v>0</v>
      </c>
      <c r="AJ620" s="507">
        <v>0</v>
      </c>
      <c r="AK620" s="507">
        <v>0</v>
      </c>
      <c r="AL620" s="507">
        <v>0</v>
      </c>
      <c r="AM620" s="507">
        <v>0</v>
      </c>
      <c r="AN620" s="507"/>
      <c r="AO620" s="507"/>
    </row>
    <row r="621" spans="1:41">
      <c r="A621" s="2" t="s">
        <v>427</v>
      </c>
      <c r="B621" s="2" t="s">
        <v>382</v>
      </c>
      <c r="C621" s="2" t="s">
        <v>379</v>
      </c>
      <c r="D621" s="2" t="s">
        <v>30</v>
      </c>
      <c r="E621" s="2" t="s">
        <v>19</v>
      </c>
      <c r="F621" s="2" t="s">
        <v>380</v>
      </c>
      <c r="G621" s="2" t="s">
        <v>21</v>
      </c>
      <c r="H621">
        <v>1</v>
      </c>
      <c r="I621" s="2" t="s">
        <v>526</v>
      </c>
      <c r="J621" s="3">
        <v>1</v>
      </c>
      <c r="K621" s="3">
        <v>5.2488000000000001</v>
      </c>
      <c r="L621" s="507">
        <v>3542.7788509974384</v>
      </c>
      <c r="M621" s="507">
        <v>0</v>
      </c>
      <c r="N621" s="507">
        <v>3542.7788509974384</v>
      </c>
      <c r="O621" s="507">
        <v>0</v>
      </c>
      <c r="P621">
        <v>1</v>
      </c>
      <c r="Q621" s="2" t="s">
        <v>526</v>
      </c>
      <c r="R621" s="3">
        <v>1</v>
      </c>
      <c r="S621" s="3">
        <v>5.2488000000000001</v>
      </c>
      <c r="T621" s="507">
        <v>1935.0692376898528</v>
      </c>
      <c r="U621" s="507">
        <v>0</v>
      </c>
      <c r="V621" s="507">
        <v>1935.0692376898528</v>
      </c>
      <c r="W621" s="507">
        <v>0</v>
      </c>
      <c r="X621" s="507">
        <v>3542.7788509974384</v>
      </c>
      <c r="Y621" s="507">
        <v>1935.0692376898528</v>
      </c>
      <c r="Z621" s="507">
        <v>18595.337633115356</v>
      </c>
      <c r="AA621" s="507">
        <v>10156.791414786499</v>
      </c>
      <c r="AB621" s="507">
        <v>10156.791414786499</v>
      </c>
      <c r="AC621" s="507">
        <v>8438.5499999999993</v>
      </c>
      <c r="AD621" s="507">
        <v>8438.5499999999993</v>
      </c>
      <c r="AE621" s="507">
        <v>0</v>
      </c>
      <c r="AF621" s="507">
        <v>8438.5499999999993</v>
      </c>
      <c r="AG621" s="507"/>
      <c r="AH621" s="507">
        <v>0</v>
      </c>
      <c r="AI621" s="507">
        <v>0</v>
      </c>
      <c r="AJ621" s="507">
        <v>0</v>
      </c>
      <c r="AK621" s="507">
        <v>0</v>
      </c>
      <c r="AL621" s="507">
        <v>0</v>
      </c>
      <c r="AM621" s="507">
        <v>0</v>
      </c>
      <c r="AN621" s="507"/>
      <c r="AO621" s="507"/>
    </row>
    <row r="622" spans="1:41">
      <c r="A622" s="2" t="s">
        <v>428</v>
      </c>
      <c r="B622" s="2" t="s">
        <v>382</v>
      </c>
      <c r="C622" s="2" t="s">
        <v>379</v>
      </c>
      <c r="D622" s="2" t="s">
        <v>30</v>
      </c>
      <c r="E622" s="2" t="s">
        <v>19</v>
      </c>
      <c r="F622" s="2" t="s">
        <v>380</v>
      </c>
      <c r="G622" s="2" t="s">
        <v>21</v>
      </c>
      <c r="H622">
        <v>1</v>
      </c>
      <c r="I622" s="2" t="s">
        <v>526</v>
      </c>
      <c r="J622" s="3">
        <v>1</v>
      </c>
      <c r="K622" s="3">
        <v>5.2488000000000001</v>
      </c>
      <c r="L622" s="507">
        <v>1300.8651338062477</v>
      </c>
      <c r="M622" s="507">
        <v>0</v>
      </c>
      <c r="N622" s="507">
        <v>1300.8651338062477</v>
      </c>
      <c r="O622" s="507">
        <v>0</v>
      </c>
      <c r="P622">
        <v>1</v>
      </c>
      <c r="Q622" s="2" t="s">
        <v>526</v>
      </c>
      <c r="R622" s="3">
        <v>1</v>
      </c>
      <c r="S622" s="3">
        <v>5.2488000000000001</v>
      </c>
      <c r="T622" s="507">
        <v>3542.7788509974384</v>
      </c>
      <c r="U622" s="507">
        <v>0</v>
      </c>
      <c r="V622" s="507">
        <v>3542.7788509974384</v>
      </c>
      <c r="W622" s="507">
        <v>0</v>
      </c>
      <c r="X622" s="507">
        <v>1300.8651338062477</v>
      </c>
      <c r="Y622" s="507">
        <v>3542.7788509974384</v>
      </c>
      <c r="Z622" s="507">
        <v>6827.9809143222337</v>
      </c>
      <c r="AA622" s="507">
        <v>18595.337633115356</v>
      </c>
      <c r="AB622" s="507">
        <v>18595.337633115356</v>
      </c>
      <c r="AC622" s="507">
        <v>-11767.36</v>
      </c>
      <c r="AD622" s="507">
        <v>-11767.36</v>
      </c>
      <c r="AE622" s="507">
        <v>0</v>
      </c>
      <c r="AF622" s="507"/>
      <c r="AG622" s="507">
        <v>-11767.36</v>
      </c>
      <c r="AH622" s="507">
        <v>0</v>
      </c>
      <c r="AI622" s="507">
        <v>0</v>
      </c>
      <c r="AJ622" s="507">
        <v>0</v>
      </c>
      <c r="AK622" s="507">
        <v>0</v>
      </c>
      <c r="AL622" s="507">
        <v>0</v>
      </c>
      <c r="AM622" s="507">
        <v>0</v>
      </c>
      <c r="AN622" s="507"/>
      <c r="AO622" s="507"/>
    </row>
    <row r="623" spans="1:41">
      <c r="A623" s="2" t="s">
        <v>429</v>
      </c>
      <c r="B623" s="2" t="s">
        <v>382</v>
      </c>
      <c r="C623" s="2" t="s">
        <v>379</v>
      </c>
      <c r="D623" s="2" t="s">
        <v>30</v>
      </c>
      <c r="E623" s="2" t="s">
        <v>19</v>
      </c>
      <c r="F623" s="2" t="s">
        <v>380</v>
      </c>
      <c r="G623" s="2" t="s">
        <v>21</v>
      </c>
      <c r="H623">
        <v>1</v>
      </c>
      <c r="I623" s="2" t="s">
        <v>526</v>
      </c>
      <c r="J623" s="3">
        <v>1</v>
      </c>
      <c r="K623" s="3">
        <v>5.2488000000000001</v>
      </c>
      <c r="L623" s="507">
        <v>61.807343097747932</v>
      </c>
      <c r="M623" s="507">
        <v>0</v>
      </c>
      <c r="N623" s="507">
        <v>61.807343097747932</v>
      </c>
      <c r="O623" s="507">
        <v>0</v>
      </c>
      <c r="P623">
        <v>1</v>
      </c>
      <c r="Q623" s="2" t="s">
        <v>526</v>
      </c>
      <c r="R623" s="3">
        <v>1</v>
      </c>
      <c r="S623" s="3">
        <v>5.2488000000000001</v>
      </c>
      <c r="T623" s="507">
        <v>1300.8651338062477</v>
      </c>
      <c r="U623" s="507">
        <v>0</v>
      </c>
      <c r="V623" s="507">
        <v>1300.8651338062477</v>
      </c>
      <c r="W623" s="507">
        <v>0</v>
      </c>
      <c r="X623" s="507">
        <v>61.807343097747932</v>
      </c>
      <c r="Y623" s="507">
        <v>1300.8651338062477</v>
      </c>
      <c r="Z623" s="507">
        <v>324.41438245145935</v>
      </c>
      <c r="AA623" s="507">
        <v>6827.9809143222337</v>
      </c>
      <c r="AB623" s="507">
        <v>6827.9809143222337</v>
      </c>
      <c r="AC623" s="507">
        <v>-6503.57</v>
      </c>
      <c r="AD623" s="507">
        <v>-6503.57</v>
      </c>
      <c r="AE623" s="507">
        <v>0</v>
      </c>
      <c r="AF623" s="507"/>
      <c r="AG623" s="507">
        <v>-6503.57</v>
      </c>
      <c r="AH623" s="507">
        <v>0</v>
      </c>
      <c r="AI623" s="507">
        <v>0</v>
      </c>
      <c r="AJ623" s="507">
        <v>0</v>
      </c>
      <c r="AK623" s="507">
        <v>0</v>
      </c>
      <c r="AL623" s="507">
        <v>0</v>
      </c>
      <c r="AM623" s="507">
        <v>0</v>
      </c>
      <c r="AN623" s="507"/>
      <c r="AO623" s="507"/>
    </row>
    <row r="624" spans="1:41">
      <c r="A624" s="2" t="s">
        <v>1287</v>
      </c>
      <c r="B624" s="2" t="s">
        <v>382</v>
      </c>
      <c r="C624" s="2" t="s">
        <v>379</v>
      </c>
      <c r="D624" s="2" t="s">
        <v>30</v>
      </c>
      <c r="E624" s="2" t="s">
        <v>19</v>
      </c>
      <c r="F624" s="2" t="s">
        <v>380</v>
      </c>
      <c r="G624" s="2" t="s">
        <v>21</v>
      </c>
      <c r="H624">
        <v>1</v>
      </c>
      <c r="I624" s="2" t="s">
        <v>526</v>
      </c>
      <c r="J624" s="3">
        <v>1</v>
      </c>
      <c r="K624" s="3">
        <v>5.2488000000000001</v>
      </c>
      <c r="L624" s="507">
        <v>350.78346750995007</v>
      </c>
      <c r="M624" s="507">
        <v>0</v>
      </c>
      <c r="N624" s="507">
        <v>350.78346750995007</v>
      </c>
      <c r="O624" s="507">
        <v>0</v>
      </c>
      <c r="P624">
        <v>1</v>
      </c>
      <c r="Q624" s="2" t="s">
        <v>526</v>
      </c>
      <c r="R624" s="3">
        <v>1</v>
      </c>
      <c r="S624" s="3">
        <v>5.2488000000000001</v>
      </c>
      <c r="T624" s="507">
        <v>61.807343097747932</v>
      </c>
      <c r="U624" s="507">
        <v>0</v>
      </c>
      <c r="V624" s="507">
        <v>61.807343097747932</v>
      </c>
      <c r="W624" s="507">
        <v>0</v>
      </c>
      <c r="X624" s="507">
        <v>350.78346750995007</v>
      </c>
      <c r="Y624" s="507">
        <v>61.807343097747932</v>
      </c>
      <c r="Z624" s="507">
        <v>1841.1922642662259</v>
      </c>
      <c r="AA624" s="507">
        <v>324.41438245145935</v>
      </c>
      <c r="AB624" s="507">
        <v>324.41438245145935</v>
      </c>
      <c r="AC624" s="507">
        <v>1516.78</v>
      </c>
      <c r="AD624" s="507">
        <v>1516.78</v>
      </c>
      <c r="AE624" s="507">
        <v>0</v>
      </c>
      <c r="AF624" s="507">
        <v>1516.78</v>
      </c>
      <c r="AG624" s="507"/>
      <c r="AH624" s="507">
        <v>0</v>
      </c>
      <c r="AI624" s="507">
        <v>0</v>
      </c>
      <c r="AJ624" s="507">
        <v>0</v>
      </c>
      <c r="AK624" s="507">
        <v>0</v>
      </c>
      <c r="AL624" s="507">
        <v>0</v>
      </c>
      <c r="AM624" s="507">
        <v>0</v>
      </c>
      <c r="AN624" s="507"/>
      <c r="AO624" s="507"/>
    </row>
    <row r="625" spans="1:41">
      <c r="A625" s="2" t="s">
        <v>1288</v>
      </c>
      <c r="B625" s="2" t="s">
        <v>382</v>
      </c>
      <c r="C625" s="2" t="s">
        <v>379</v>
      </c>
      <c r="D625" s="2" t="s">
        <v>30</v>
      </c>
      <c r="E625" s="2" t="s">
        <v>19</v>
      </c>
      <c r="F625" s="2" t="s">
        <v>380</v>
      </c>
      <c r="G625" s="2" t="s">
        <v>21</v>
      </c>
      <c r="H625">
        <v>1</v>
      </c>
      <c r="I625" s="2" t="s">
        <v>526</v>
      </c>
      <c r="J625" s="3">
        <v>1</v>
      </c>
      <c r="K625" s="3">
        <v>5.2488000000000001</v>
      </c>
      <c r="L625" s="507">
        <v>117.96622124241387</v>
      </c>
      <c r="M625" s="507">
        <v>0</v>
      </c>
      <c r="N625" s="507">
        <v>117.96622124241387</v>
      </c>
      <c r="O625" s="507">
        <v>0</v>
      </c>
      <c r="P625">
        <v>1</v>
      </c>
      <c r="Q625" s="2" t="s">
        <v>526</v>
      </c>
      <c r="R625" s="3">
        <v>1</v>
      </c>
      <c r="S625" s="3">
        <v>5.2488000000000001</v>
      </c>
      <c r="T625" s="507">
        <v>350.78346750995007</v>
      </c>
      <c r="U625" s="507">
        <v>0</v>
      </c>
      <c r="V625" s="507">
        <v>350.78346750995007</v>
      </c>
      <c r="W625" s="507">
        <v>0</v>
      </c>
      <c r="X625" s="507">
        <v>117.96622124241387</v>
      </c>
      <c r="Y625" s="507">
        <v>350.78346750995007</v>
      </c>
      <c r="Z625" s="507">
        <v>619.18110205718187</v>
      </c>
      <c r="AA625" s="507">
        <v>1841.1922642662259</v>
      </c>
      <c r="AB625" s="507">
        <v>1841.1922642662259</v>
      </c>
      <c r="AC625" s="507">
        <v>-1222.01</v>
      </c>
      <c r="AD625" s="507">
        <v>-1222.01</v>
      </c>
      <c r="AE625" s="507">
        <v>0</v>
      </c>
      <c r="AF625" s="507"/>
      <c r="AG625" s="507">
        <v>-1222.01</v>
      </c>
      <c r="AH625" s="507">
        <v>0</v>
      </c>
      <c r="AI625" s="507">
        <v>0</v>
      </c>
      <c r="AJ625" s="507">
        <v>0</v>
      </c>
      <c r="AK625" s="507">
        <v>0</v>
      </c>
      <c r="AL625" s="507">
        <v>0</v>
      </c>
      <c r="AM625" s="507">
        <v>0</v>
      </c>
      <c r="AN625" s="507"/>
      <c r="AO625" s="507"/>
    </row>
    <row r="626" spans="1:41">
      <c r="A626" s="2" t="s">
        <v>1289</v>
      </c>
      <c r="B626" s="2" t="s">
        <v>382</v>
      </c>
      <c r="C626" s="2" t="s">
        <v>379</v>
      </c>
      <c r="D626" s="2" t="s">
        <v>30</v>
      </c>
      <c r="E626" s="2" t="s">
        <v>19</v>
      </c>
      <c r="F626" s="2" t="s">
        <v>380</v>
      </c>
      <c r="G626" s="2" t="s">
        <v>21</v>
      </c>
      <c r="H626">
        <v>1</v>
      </c>
      <c r="I626" s="2" t="s">
        <v>526</v>
      </c>
      <c r="J626" s="3">
        <v>1</v>
      </c>
      <c r="K626" s="3">
        <v>5.2488000000000001</v>
      </c>
      <c r="L626" s="507">
        <v>6.5810515806884311</v>
      </c>
      <c r="M626" s="507">
        <v>0</v>
      </c>
      <c r="N626" s="507">
        <v>6.5810515806884311</v>
      </c>
      <c r="O626" s="507">
        <v>0</v>
      </c>
      <c r="P626">
        <v>1</v>
      </c>
      <c r="Q626" s="2" t="s">
        <v>526</v>
      </c>
      <c r="R626" s="3">
        <v>1</v>
      </c>
      <c r="S626" s="3">
        <v>5.2488000000000001</v>
      </c>
      <c r="T626" s="507">
        <v>117.96622124241387</v>
      </c>
      <c r="U626" s="507">
        <v>0</v>
      </c>
      <c r="V626" s="507">
        <v>117.96622124241387</v>
      </c>
      <c r="W626" s="507">
        <v>0</v>
      </c>
      <c r="X626" s="507">
        <v>6.5810515806884311</v>
      </c>
      <c r="Y626" s="507">
        <v>117.96622124241387</v>
      </c>
      <c r="Z626" s="507">
        <v>34.542623536717436</v>
      </c>
      <c r="AA626" s="507">
        <v>619.18110205718187</v>
      </c>
      <c r="AB626" s="507">
        <v>619.18110205718187</v>
      </c>
      <c r="AC626" s="507">
        <v>-584.64</v>
      </c>
      <c r="AD626" s="507">
        <v>-584.64</v>
      </c>
      <c r="AE626" s="507">
        <v>0</v>
      </c>
      <c r="AF626" s="507"/>
      <c r="AG626" s="507">
        <v>-584.64</v>
      </c>
      <c r="AH626" s="507">
        <v>0</v>
      </c>
      <c r="AI626" s="507">
        <v>0</v>
      </c>
      <c r="AJ626" s="507">
        <v>0</v>
      </c>
      <c r="AK626" s="507">
        <v>0</v>
      </c>
      <c r="AL626" s="507">
        <v>0</v>
      </c>
      <c r="AM626" s="507">
        <v>0</v>
      </c>
      <c r="AN626" s="507"/>
      <c r="AO626" s="507"/>
    </row>
    <row r="627" spans="1:41">
      <c r="A627" s="2" t="s">
        <v>1290</v>
      </c>
      <c r="B627" s="2" t="s">
        <v>382</v>
      </c>
      <c r="C627" s="2" t="s">
        <v>379</v>
      </c>
      <c r="D627" s="2" t="s">
        <v>30</v>
      </c>
      <c r="E627" s="2" t="s">
        <v>19</v>
      </c>
      <c r="F627" s="2" t="s">
        <v>380</v>
      </c>
      <c r="G627" s="2" t="s">
        <v>21</v>
      </c>
      <c r="H627">
        <v>1</v>
      </c>
      <c r="I627" s="2" t="s">
        <v>526</v>
      </c>
      <c r="J627" s="3">
        <v>1</v>
      </c>
      <c r="K627" s="3">
        <v>5.2488000000000001</v>
      </c>
      <c r="L627" s="507">
        <v>19156.394926305318</v>
      </c>
      <c r="M627" s="507">
        <v>0</v>
      </c>
      <c r="N627" s="507">
        <v>19156.394926305318</v>
      </c>
      <c r="O627" s="507">
        <v>0</v>
      </c>
      <c r="P627">
        <v>1</v>
      </c>
      <c r="Q627" s="2" t="s">
        <v>526</v>
      </c>
      <c r="R627" s="3">
        <v>1</v>
      </c>
      <c r="S627" s="3">
        <v>5.2488000000000001</v>
      </c>
      <c r="T627" s="507">
        <v>6.5810515806884311</v>
      </c>
      <c r="U627" s="507">
        <v>0</v>
      </c>
      <c r="V627" s="507">
        <v>6.5810515806884311</v>
      </c>
      <c r="W627" s="507">
        <v>0</v>
      </c>
      <c r="X627" s="507">
        <v>19156.394926305318</v>
      </c>
      <c r="Y627" s="507">
        <v>6.5810515806884311</v>
      </c>
      <c r="Z627" s="507">
        <v>100548.08568919136</v>
      </c>
      <c r="AA627" s="507">
        <v>34.542623536717436</v>
      </c>
      <c r="AB627" s="507">
        <v>34.542623536717436</v>
      </c>
      <c r="AC627" s="507">
        <v>100513.54</v>
      </c>
      <c r="AD627" s="507">
        <v>100513.54</v>
      </c>
      <c r="AE627" s="507">
        <v>0</v>
      </c>
      <c r="AF627" s="507">
        <v>100513.54</v>
      </c>
      <c r="AG627" s="507"/>
      <c r="AH627" s="507">
        <v>0</v>
      </c>
      <c r="AI627" s="507">
        <v>0</v>
      </c>
      <c r="AJ627" s="507">
        <v>0</v>
      </c>
      <c r="AK627" s="507">
        <v>0</v>
      </c>
      <c r="AL627" s="507">
        <v>0</v>
      </c>
      <c r="AM627" s="507">
        <v>0</v>
      </c>
      <c r="AN627" s="507"/>
      <c r="AO627" s="507"/>
    </row>
    <row r="628" spans="1:41">
      <c r="A628" s="2" t="s">
        <v>1291</v>
      </c>
      <c r="B628" s="2" t="s">
        <v>382</v>
      </c>
      <c r="C628" s="2" t="s">
        <v>379</v>
      </c>
      <c r="D628" s="2" t="s">
        <v>30</v>
      </c>
      <c r="E628" s="2" t="s">
        <v>19</v>
      </c>
      <c r="F628" s="2" t="s">
        <v>380</v>
      </c>
      <c r="G628" s="2" t="s">
        <v>21</v>
      </c>
      <c r="H628">
        <v>1</v>
      </c>
      <c r="I628" s="2" t="s">
        <v>526</v>
      </c>
      <c r="J628" s="3">
        <v>1</v>
      </c>
      <c r="K628" s="3">
        <v>5.2488000000000001</v>
      </c>
      <c r="L628" s="507">
        <v>38591.232936994049</v>
      </c>
      <c r="M628" s="507">
        <v>0</v>
      </c>
      <c r="N628" s="507">
        <v>38591.232936994049</v>
      </c>
      <c r="O628" s="507">
        <v>0</v>
      </c>
      <c r="P628">
        <v>1</v>
      </c>
      <c r="Q628" s="2" t="s">
        <v>526</v>
      </c>
      <c r="R628" s="3">
        <v>1</v>
      </c>
      <c r="S628" s="3">
        <v>5.2488000000000001</v>
      </c>
      <c r="T628" s="507">
        <v>19156.394926305318</v>
      </c>
      <c r="U628" s="507">
        <v>0</v>
      </c>
      <c r="V628" s="507">
        <v>19156.394926305318</v>
      </c>
      <c r="W628" s="507">
        <v>0</v>
      </c>
      <c r="X628" s="507">
        <v>38591.232936994049</v>
      </c>
      <c r="Y628" s="507">
        <v>19156.394926305318</v>
      </c>
      <c r="Z628" s="507">
        <v>202557.66343969436</v>
      </c>
      <c r="AA628" s="507">
        <v>100548.08568919136</v>
      </c>
      <c r="AB628" s="507">
        <v>100548.08568919136</v>
      </c>
      <c r="AC628" s="507">
        <v>102009.58</v>
      </c>
      <c r="AD628" s="507">
        <v>102009.58</v>
      </c>
      <c r="AE628" s="507">
        <v>0</v>
      </c>
      <c r="AF628" s="507">
        <v>102009.58</v>
      </c>
      <c r="AG628" s="507"/>
      <c r="AH628" s="507">
        <v>0</v>
      </c>
      <c r="AI628" s="507">
        <v>0</v>
      </c>
      <c r="AJ628" s="507">
        <v>0</v>
      </c>
      <c r="AK628" s="507">
        <v>0</v>
      </c>
      <c r="AL628" s="507">
        <v>0</v>
      </c>
      <c r="AM628" s="507">
        <v>0</v>
      </c>
      <c r="AN628" s="507"/>
      <c r="AO628" s="507"/>
    </row>
    <row r="629" spans="1:41">
      <c r="A629" s="2" t="s">
        <v>1292</v>
      </c>
      <c r="B629" s="2" t="s">
        <v>382</v>
      </c>
      <c r="C629" s="2" t="s">
        <v>379</v>
      </c>
      <c r="D629" s="2" t="s">
        <v>30</v>
      </c>
      <c r="E629" s="2" t="s">
        <v>19</v>
      </c>
      <c r="F629" s="2" t="s">
        <v>380</v>
      </c>
      <c r="G629" s="2" t="s">
        <v>21</v>
      </c>
      <c r="H629">
        <v>1</v>
      </c>
      <c r="I629" s="2" t="s">
        <v>526</v>
      </c>
      <c r="J629" s="3">
        <v>1</v>
      </c>
      <c r="K629" s="3">
        <v>5.2488000000000001</v>
      </c>
      <c r="L629" s="507">
        <v>253.72930396165049</v>
      </c>
      <c r="M629" s="507">
        <v>0</v>
      </c>
      <c r="N629" s="507">
        <v>253.72930396165049</v>
      </c>
      <c r="O629" s="507">
        <v>0</v>
      </c>
      <c r="P629">
        <v>1</v>
      </c>
      <c r="Q629" s="2" t="s">
        <v>526</v>
      </c>
      <c r="R629" s="3">
        <v>1</v>
      </c>
      <c r="S629" s="3">
        <v>5.2488000000000001</v>
      </c>
      <c r="T629" s="507">
        <v>38591.232936994049</v>
      </c>
      <c r="U629" s="507">
        <v>0</v>
      </c>
      <c r="V629" s="507">
        <v>38591.232936994049</v>
      </c>
      <c r="W629" s="507">
        <v>0</v>
      </c>
      <c r="X629" s="507">
        <v>253.72930396165049</v>
      </c>
      <c r="Y629" s="507">
        <v>38591.232936994049</v>
      </c>
      <c r="Z629" s="507">
        <v>1331.7743706339111</v>
      </c>
      <c r="AA629" s="507">
        <v>202557.66343969436</v>
      </c>
      <c r="AB629" s="507">
        <v>202557.66343969436</v>
      </c>
      <c r="AC629" s="507">
        <v>-201225.89</v>
      </c>
      <c r="AD629" s="507">
        <v>-201225.89</v>
      </c>
      <c r="AE629" s="507">
        <v>0</v>
      </c>
      <c r="AF629" s="507"/>
      <c r="AG629" s="507">
        <v>-201225.89</v>
      </c>
      <c r="AH629" s="507">
        <v>0</v>
      </c>
      <c r="AI629" s="507">
        <v>0</v>
      </c>
      <c r="AJ629" s="507">
        <v>0</v>
      </c>
      <c r="AK629" s="507">
        <v>0</v>
      </c>
      <c r="AL629" s="507">
        <v>0</v>
      </c>
      <c r="AM629" s="507">
        <v>0</v>
      </c>
      <c r="AN629" s="507"/>
      <c r="AO629" s="507"/>
    </row>
    <row r="630" spans="1:41">
      <c r="A630" s="2" t="s">
        <v>1293</v>
      </c>
      <c r="B630" s="2" t="s">
        <v>382</v>
      </c>
      <c r="C630" s="2" t="s">
        <v>379</v>
      </c>
      <c r="D630" s="2" t="s">
        <v>30</v>
      </c>
      <c r="E630" s="2" t="s">
        <v>19</v>
      </c>
      <c r="F630" s="2" t="s">
        <v>380</v>
      </c>
      <c r="G630" s="2" t="s">
        <v>21</v>
      </c>
      <c r="H630">
        <v>1</v>
      </c>
      <c r="I630" s="2" t="s">
        <v>526</v>
      </c>
      <c r="J630" s="3">
        <v>1</v>
      </c>
      <c r="K630" s="3">
        <v>5.2488000000000001</v>
      </c>
      <c r="L630" s="507">
        <v>12582.582748885343</v>
      </c>
      <c r="M630" s="507">
        <v>0</v>
      </c>
      <c r="N630" s="507">
        <v>12582.582748885343</v>
      </c>
      <c r="O630" s="507">
        <v>0</v>
      </c>
      <c r="P630">
        <v>1</v>
      </c>
      <c r="Q630" s="2" t="s">
        <v>526</v>
      </c>
      <c r="R630" s="3">
        <v>1</v>
      </c>
      <c r="S630" s="3">
        <v>5.2488000000000001</v>
      </c>
      <c r="T630" s="507">
        <v>253.72930396165049</v>
      </c>
      <c r="U630" s="507">
        <v>0</v>
      </c>
      <c r="V630" s="507">
        <v>253.72930396165049</v>
      </c>
      <c r="W630" s="507">
        <v>0</v>
      </c>
      <c r="X630" s="507">
        <v>12582.582748885343</v>
      </c>
      <c r="Y630" s="507">
        <v>253.72930396165049</v>
      </c>
      <c r="Z630" s="507">
        <v>66043.460332349394</v>
      </c>
      <c r="AA630" s="507">
        <v>1331.7743706339111</v>
      </c>
      <c r="AB630" s="507">
        <v>1331.7743706339111</v>
      </c>
      <c r="AC630" s="507">
        <v>64711.69</v>
      </c>
      <c r="AD630" s="507">
        <v>64711.69</v>
      </c>
      <c r="AE630" s="507">
        <v>0</v>
      </c>
      <c r="AF630" s="507">
        <v>64711.69</v>
      </c>
      <c r="AG630" s="507"/>
      <c r="AH630" s="507">
        <v>0</v>
      </c>
      <c r="AI630" s="507">
        <v>0</v>
      </c>
      <c r="AJ630" s="507">
        <v>0</v>
      </c>
      <c r="AK630" s="507">
        <v>0</v>
      </c>
      <c r="AL630" s="507">
        <v>0</v>
      </c>
      <c r="AM630" s="507">
        <v>0</v>
      </c>
      <c r="AN630" s="507"/>
      <c r="AO630" s="507"/>
    </row>
    <row r="631" spans="1:41">
      <c r="A631" s="2" t="s">
        <v>1294</v>
      </c>
      <c r="B631" s="2" t="s">
        <v>382</v>
      </c>
      <c r="C631" s="2" t="s">
        <v>379</v>
      </c>
      <c r="D631" s="2" t="s">
        <v>30</v>
      </c>
      <c r="E631" s="2" t="s">
        <v>19</v>
      </c>
      <c r="F631" s="2" t="s">
        <v>380</v>
      </c>
      <c r="G631" s="2" t="s">
        <v>21</v>
      </c>
      <c r="H631">
        <v>1</v>
      </c>
      <c r="I631" s="2" t="s">
        <v>526</v>
      </c>
      <c r="J631" s="3">
        <v>1</v>
      </c>
      <c r="K631" s="3">
        <v>5.2488000000000001</v>
      </c>
      <c r="L631" s="507">
        <v>2679.4974737544394</v>
      </c>
      <c r="M631" s="507">
        <v>0</v>
      </c>
      <c r="N631" s="507">
        <v>2679.4974737544394</v>
      </c>
      <c r="O631" s="507">
        <v>0</v>
      </c>
      <c r="P631">
        <v>1</v>
      </c>
      <c r="Q631" s="2" t="s">
        <v>526</v>
      </c>
      <c r="R631" s="3">
        <v>1</v>
      </c>
      <c r="S631" s="3">
        <v>5.2488000000000001</v>
      </c>
      <c r="T631" s="507">
        <v>12582.582748885343</v>
      </c>
      <c r="U631" s="507">
        <v>0</v>
      </c>
      <c r="V631" s="507">
        <v>12582.582748885343</v>
      </c>
      <c r="W631" s="507">
        <v>0</v>
      </c>
      <c r="X631" s="507">
        <v>2679.4974737544394</v>
      </c>
      <c r="Y631" s="507">
        <v>12582.582748885343</v>
      </c>
      <c r="Z631" s="507">
        <v>14064.146340242301</v>
      </c>
      <c r="AA631" s="507">
        <v>66043.460332349394</v>
      </c>
      <c r="AB631" s="507">
        <v>66043.460332349394</v>
      </c>
      <c r="AC631" s="507">
        <v>-51979.31</v>
      </c>
      <c r="AD631" s="507">
        <v>-51979.31</v>
      </c>
      <c r="AE631" s="507">
        <v>0</v>
      </c>
      <c r="AF631" s="507"/>
      <c r="AG631" s="507">
        <v>-51979.31</v>
      </c>
      <c r="AH631" s="507">
        <v>0</v>
      </c>
      <c r="AI631" s="507">
        <v>0</v>
      </c>
      <c r="AJ631" s="507">
        <v>0</v>
      </c>
      <c r="AK631" s="507">
        <v>0</v>
      </c>
      <c r="AL631" s="507">
        <v>0</v>
      </c>
      <c r="AM631" s="507">
        <v>0</v>
      </c>
      <c r="AN631" s="507"/>
      <c r="AO631" s="507"/>
    </row>
    <row r="632" spans="1:41">
      <c r="A632" s="2"/>
      <c r="B632" s="2"/>
      <c r="C632" s="2"/>
      <c r="D632" s="2"/>
      <c r="E632" s="2"/>
      <c r="F632" s="2"/>
      <c r="G632" s="2"/>
      <c r="I632" s="2"/>
      <c r="J632" s="3"/>
      <c r="K632" s="3"/>
      <c r="L632" s="507"/>
      <c r="M632" s="507"/>
      <c r="N632" s="507"/>
      <c r="O632" s="507"/>
      <c r="P632">
        <v>1</v>
      </c>
      <c r="Q632" s="2" t="s">
        <v>526</v>
      </c>
      <c r="R632" s="3">
        <v>1</v>
      </c>
      <c r="S632" s="3">
        <v>5.2488000000000001</v>
      </c>
      <c r="T632" s="507">
        <v>437.21114453454538</v>
      </c>
      <c r="U632" s="507">
        <v>0</v>
      </c>
      <c r="V632" s="507">
        <v>437.21114453454538</v>
      </c>
      <c r="W632" s="507">
        <v>0</v>
      </c>
      <c r="X632" s="507"/>
      <c r="Y632" s="507">
        <v>437.21114453454538</v>
      </c>
      <c r="Z632" s="507"/>
      <c r="AA632" s="507">
        <v>2294.8338554329221</v>
      </c>
      <c r="AB632" s="507"/>
      <c r="AC632" s="507"/>
      <c r="AD632" s="507"/>
      <c r="AE632" s="507"/>
      <c r="AF632" s="507"/>
      <c r="AG632" s="507"/>
      <c r="AH632" s="507"/>
      <c r="AI632" s="507">
        <v>0</v>
      </c>
      <c r="AJ632" s="507"/>
      <c r="AK632" s="507"/>
      <c r="AL632" s="507"/>
      <c r="AM632" s="507"/>
      <c r="AN632" s="507"/>
      <c r="AO632" s="507"/>
    </row>
    <row r="633" spans="1:41">
      <c r="A633" s="2" t="s">
        <v>1295</v>
      </c>
      <c r="B633" s="2" t="s">
        <v>382</v>
      </c>
      <c r="C633" s="2" t="s">
        <v>379</v>
      </c>
      <c r="D633" s="2" t="s">
        <v>30</v>
      </c>
      <c r="E633" s="2" t="s">
        <v>19</v>
      </c>
      <c r="F633" s="2" t="s">
        <v>380</v>
      </c>
      <c r="G633" s="2" t="s">
        <v>21</v>
      </c>
      <c r="H633">
        <v>1</v>
      </c>
      <c r="I633" s="2" t="s">
        <v>526</v>
      </c>
      <c r="J633" s="3">
        <v>1</v>
      </c>
      <c r="K633" s="3">
        <v>5.2488000000000001</v>
      </c>
      <c r="L633" s="507">
        <v>5372.6097261531413</v>
      </c>
      <c r="M633" s="507">
        <v>0</v>
      </c>
      <c r="N633" s="507">
        <v>5372.6097261531413</v>
      </c>
      <c r="O633" s="507">
        <v>0</v>
      </c>
      <c r="P633">
        <v>1</v>
      </c>
      <c r="Q633" s="2" t="s">
        <v>526</v>
      </c>
      <c r="R633" s="3">
        <v>1</v>
      </c>
      <c r="S633" s="3">
        <v>5.2488000000000001</v>
      </c>
      <c r="T633" s="507">
        <v>2679.4974737544394</v>
      </c>
      <c r="U633" s="507">
        <v>0</v>
      </c>
      <c r="V633" s="507">
        <v>2679.4974737544394</v>
      </c>
      <c r="W633" s="507">
        <v>0</v>
      </c>
      <c r="X633" s="507">
        <v>5372.6097261531413</v>
      </c>
      <c r="Y633" s="507">
        <v>2679.4974737544394</v>
      </c>
      <c r="Z633" s="507">
        <v>28199.753930632607</v>
      </c>
      <c r="AA633" s="507">
        <v>14064.146340242301</v>
      </c>
      <c r="AB633" s="507">
        <v>14064.146340242301</v>
      </c>
      <c r="AC633" s="507">
        <v>14135.61</v>
      </c>
      <c r="AD633" s="507">
        <v>14135.61</v>
      </c>
      <c r="AE633" s="507">
        <v>0</v>
      </c>
      <c r="AF633" s="507">
        <v>14135.61</v>
      </c>
      <c r="AG633" s="507"/>
      <c r="AH633" s="507">
        <v>0</v>
      </c>
      <c r="AI633" s="507">
        <v>0</v>
      </c>
      <c r="AJ633" s="507">
        <v>0</v>
      </c>
      <c r="AK633" s="507">
        <v>0</v>
      </c>
      <c r="AL633" s="507">
        <v>0</v>
      </c>
      <c r="AM633" s="507">
        <v>0</v>
      </c>
      <c r="AN633" s="507"/>
      <c r="AO633" s="507"/>
    </row>
    <row r="634" spans="1:41">
      <c r="A634" s="2" t="s">
        <v>1296</v>
      </c>
      <c r="B634" s="2" t="s">
        <v>382</v>
      </c>
      <c r="C634" s="2" t="s">
        <v>379</v>
      </c>
      <c r="D634" s="2" t="s">
        <v>30</v>
      </c>
      <c r="E634" s="2" t="s">
        <v>19</v>
      </c>
      <c r="F634" s="2" t="s">
        <v>380</v>
      </c>
      <c r="G634" s="2" t="s">
        <v>21</v>
      </c>
      <c r="H634">
        <v>1</v>
      </c>
      <c r="I634" s="2" t="s">
        <v>526</v>
      </c>
      <c r="J634" s="3">
        <v>1</v>
      </c>
      <c r="K634" s="3">
        <v>5.2488000000000001</v>
      </c>
      <c r="L634" s="507">
        <v>41591.336177971534</v>
      </c>
      <c r="M634" s="507">
        <v>0</v>
      </c>
      <c r="N634" s="507">
        <v>41591.336177971534</v>
      </c>
      <c r="O634" s="507">
        <v>0</v>
      </c>
      <c r="P634">
        <v>1</v>
      </c>
      <c r="Q634" s="2" t="s">
        <v>526</v>
      </c>
      <c r="R634" s="3">
        <v>1</v>
      </c>
      <c r="S634" s="3">
        <v>5.2488000000000001</v>
      </c>
      <c r="T634" s="507">
        <v>5372.6097261531413</v>
      </c>
      <c r="U634" s="507">
        <v>0</v>
      </c>
      <c r="V634" s="507">
        <v>5372.6097261531413</v>
      </c>
      <c r="W634" s="507">
        <v>0</v>
      </c>
      <c r="X634" s="507">
        <v>41591.336177971534</v>
      </c>
      <c r="Y634" s="507">
        <v>5372.6097261531413</v>
      </c>
      <c r="Z634" s="507">
        <v>218304.60533093699</v>
      </c>
      <c r="AA634" s="507">
        <v>28199.753930632607</v>
      </c>
      <c r="AB634" s="507">
        <v>28199.753930632607</v>
      </c>
      <c r="AC634" s="507">
        <v>190104.85</v>
      </c>
      <c r="AD634" s="507">
        <v>190104.85</v>
      </c>
      <c r="AE634" s="507">
        <v>0</v>
      </c>
      <c r="AF634" s="507">
        <v>190104.85</v>
      </c>
      <c r="AG634" s="507"/>
      <c r="AH634" s="507">
        <v>0</v>
      </c>
      <c r="AI634" s="507">
        <v>0</v>
      </c>
      <c r="AJ634" s="507">
        <v>0</v>
      </c>
      <c r="AK634" s="507">
        <v>0</v>
      </c>
      <c r="AL634" s="507">
        <v>0</v>
      </c>
      <c r="AM634" s="507">
        <v>0</v>
      </c>
      <c r="AN634" s="507"/>
      <c r="AO634" s="507"/>
    </row>
    <row r="635" spans="1:41">
      <c r="A635" s="2" t="s">
        <v>1297</v>
      </c>
      <c r="B635" s="2" t="s">
        <v>382</v>
      </c>
      <c r="C635" s="2" t="s">
        <v>379</v>
      </c>
      <c r="D635" s="2" t="s">
        <v>30</v>
      </c>
      <c r="E635" s="2" t="s">
        <v>19</v>
      </c>
      <c r="F635" s="2" t="s">
        <v>380</v>
      </c>
      <c r="G635" s="2" t="s">
        <v>21</v>
      </c>
      <c r="H635">
        <v>1</v>
      </c>
      <c r="I635" s="2" t="s">
        <v>526</v>
      </c>
      <c r="J635" s="3">
        <v>1</v>
      </c>
      <c r="K635" s="3">
        <v>5.2488000000000001</v>
      </c>
      <c r="L635" s="507">
        <v>2610.1396303888459</v>
      </c>
      <c r="M635" s="507">
        <v>0</v>
      </c>
      <c r="N635" s="507">
        <v>2610.1396303888459</v>
      </c>
      <c r="O635" s="507">
        <v>0</v>
      </c>
      <c r="P635">
        <v>1</v>
      </c>
      <c r="Q635" s="2" t="s">
        <v>526</v>
      </c>
      <c r="R635" s="3">
        <v>1</v>
      </c>
      <c r="S635" s="3">
        <v>5.2488000000000001</v>
      </c>
      <c r="T635" s="507">
        <v>41591.336177971534</v>
      </c>
      <c r="U635" s="507">
        <v>0</v>
      </c>
      <c r="V635" s="507">
        <v>41591.336177971534</v>
      </c>
      <c r="W635" s="507">
        <v>0</v>
      </c>
      <c r="X635" s="507">
        <v>2610.1396303888459</v>
      </c>
      <c r="Y635" s="507">
        <v>41591.336177971534</v>
      </c>
      <c r="Z635" s="507">
        <v>13700.100891984976</v>
      </c>
      <c r="AA635" s="507">
        <v>218304.60533093699</v>
      </c>
      <c r="AB635" s="507">
        <v>218304.60533093699</v>
      </c>
      <c r="AC635" s="507">
        <v>-204604.5</v>
      </c>
      <c r="AD635" s="507">
        <v>-204604.5</v>
      </c>
      <c r="AE635" s="507">
        <v>0</v>
      </c>
      <c r="AF635" s="507"/>
      <c r="AG635" s="507">
        <v>-204604.5</v>
      </c>
      <c r="AH635" s="507">
        <v>0</v>
      </c>
      <c r="AI635" s="507">
        <v>0</v>
      </c>
      <c r="AJ635" s="507">
        <v>0</v>
      </c>
      <c r="AK635" s="507">
        <v>0</v>
      </c>
      <c r="AL635" s="507">
        <v>0</v>
      </c>
      <c r="AM635" s="507">
        <v>0</v>
      </c>
      <c r="AN635" s="507"/>
      <c r="AO635" s="507"/>
    </row>
    <row r="636" spans="1:41">
      <c r="A636" s="2" t="s">
        <v>1298</v>
      </c>
      <c r="B636" s="2" t="s">
        <v>382</v>
      </c>
      <c r="C636" s="2" t="s">
        <v>379</v>
      </c>
      <c r="D636" s="2" t="s">
        <v>30</v>
      </c>
      <c r="E636" s="2" t="s">
        <v>19</v>
      </c>
      <c r="F636" s="2" t="s">
        <v>380</v>
      </c>
      <c r="G636" s="2" t="s">
        <v>21</v>
      </c>
      <c r="H636">
        <v>1</v>
      </c>
      <c r="I636" s="2" t="s">
        <v>526</v>
      </c>
      <c r="J636" s="3">
        <v>1</v>
      </c>
      <c r="K636" s="3">
        <v>5.2488000000000001</v>
      </c>
      <c r="L636" s="507">
        <v>5641.3124221831858</v>
      </c>
      <c r="M636" s="507">
        <v>0</v>
      </c>
      <c r="N636" s="507">
        <v>5641.3124221831858</v>
      </c>
      <c r="O636" s="507">
        <v>0</v>
      </c>
      <c r="P636">
        <v>1</v>
      </c>
      <c r="Q636" s="2" t="s">
        <v>526</v>
      </c>
      <c r="R636" s="3">
        <v>1</v>
      </c>
      <c r="S636" s="3">
        <v>5.2488000000000001</v>
      </c>
      <c r="T636" s="507">
        <v>2610.1396303888459</v>
      </c>
      <c r="U636" s="507">
        <v>0</v>
      </c>
      <c r="V636" s="507">
        <v>2610.1396303888459</v>
      </c>
      <c r="W636" s="507">
        <v>0</v>
      </c>
      <c r="X636" s="507">
        <v>5641.3124221831858</v>
      </c>
      <c r="Y636" s="507">
        <v>2610.1396303888459</v>
      </c>
      <c r="Z636" s="507">
        <v>29610.120641555106</v>
      </c>
      <c r="AA636" s="507">
        <v>13700.100891984976</v>
      </c>
      <c r="AB636" s="507">
        <v>13700.100891984976</v>
      </c>
      <c r="AC636" s="507">
        <v>15910.02</v>
      </c>
      <c r="AD636" s="507">
        <v>15910.02</v>
      </c>
      <c r="AE636" s="507">
        <v>0</v>
      </c>
      <c r="AF636" s="507">
        <v>15910.02</v>
      </c>
      <c r="AG636" s="507"/>
      <c r="AH636" s="507">
        <v>0</v>
      </c>
      <c r="AI636" s="507">
        <v>0</v>
      </c>
      <c r="AJ636" s="507">
        <v>0</v>
      </c>
      <c r="AK636" s="507">
        <v>0</v>
      </c>
      <c r="AL636" s="507">
        <v>0</v>
      </c>
      <c r="AM636" s="507">
        <v>0</v>
      </c>
      <c r="AN636" s="507"/>
      <c r="AO636" s="507"/>
    </row>
    <row r="637" spans="1:41">
      <c r="A637" s="2" t="s">
        <v>1337</v>
      </c>
      <c r="B637" s="2" t="s">
        <v>951</v>
      </c>
      <c r="C637" s="2" t="s">
        <v>379</v>
      </c>
      <c r="D637" s="2" t="s">
        <v>1338</v>
      </c>
      <c r="E637" s="2" t="s">
        <v>19</v>
      </c>
      <c r="F637" s="2" t="s">
        <v>380</v>
      </c>
      <c r="G637" s="2" t="s">
        <v>21</v>
      </c>
      <c r="H637">
        <v>1</v>
      </c>
      <c r="I637" s="2" t="s">
        <v>526</v>
      </c>
      <c r="J637" s="3">
        <v>1</v>
      </c>
      <c r="K637" s="3">
        <v>5.2488000000000001</v>
      </c>
      <c r="L637" s="507">
        <v>554.87327144189067</v>
      </c>
      <c r="M637" s="507">
        <v>0</v>
      </c>
      <c r="N637" s="507">
        <v>554.87327144189067</v>
      </c>
      <c r="O637" s="507">
        <v>0</v>
      </c>
      <c r="P637">
        <v>1</v>
      </c>
      <c r="Q637" s="2" t="s">
        <v>526</v>
      </c>
      <c r="R637" s="3">
        <v>1</v>
      </c>
      <c r="S637" s="3">
        <v>5.2488000000000001</v>
      </c>
      <c r="T637" s="507">
        <v>519585.29248131032</v>
      </c>
      <c r="U637" s="507">
        <v>0</v>
      </c>
      <c r="V637" s="507">
        <v>519585.29248131032</v>
      </c>
      <c r="W637" s="507">
        <v>0</v>
      </c>
      <c r="X637" s="507">
        <v>554.87327144189067</v>
      </c>
      <c r="Y637" s="507">
        <v>519585.29248131032</v>
      </c>
      <c r="Z637" s="507">
        <v>2912.4188271441958</v>
      </c>
      <c r="AA637" s="507">
        <v>2727199.2831759015</v>
      </c>
      <c r="AB637" s="507">
        <v>2727199.2831759015</v>
      </c>
      <c r="AC637" s="507">
        <v>-2724286.86</v>
      </c>
      <c r="AD637" s="507">
        <v>-2724286.86</v>
      </c>
      <c r="AE637" s="507">
        <v>0</v>
      </c>
      <c r="AF637" s="507"/>
      <c r="AG637" s="507">
        <v>-2724286.86</v>
      </c>
      <c r="AH637" s="507">
        <v>0</v>
      </c>
      <c r="AI637" s="507">
        <v>0</v>
      </c>
      <c r="AJ637" s="507">
        <v>0</v>
      </c>
      <c r="AK637" s="507">
        <v>0</v>
      </c>
      <c r="AL637" s="507">
        <v>0</v>
      </c>
      <c r="AM637" s="507">
        <v>0</v>
      </c>
      <c r="AN637" s="507"/>
      <c r="AO637" s="507"/>
    </row>
    <row r="638" spans="1:41">
      <c r="A638" s="2" t="s">
        <v>430</v>
      </c>
      <c r="B638" s="2" t="s">
        <v>382</v>
      </c>
      <c r="C638" s="2" t="s">
        <v>379</v>
      </c>
      <c r="D638" s="2" t="s">
        <v>30</v>
      </c>
      <c r="E638" s="2" t="s">
        <v>19</v>
      </c>
      <c r="F638" s="2" t="s">
        <v>380</v>
      </c>
      <c r="G638" s="2" t="s">
        <v>57</v>
      </c>
      <c r="H638">
        <v>1</v>
      </c>
      <c r="I638" s="2" t="s">
        <v>526</v>
      </c>
      <c r="J638" s="3">
        <v>0.15684552284455039</v>
      </c>
      <c r="K638" s="3">
        <v>5.2488000000000001</v>
      </c>
      <c r="L638" s="507">
        <v>1305.4053056499815</v>
      </c>
      <c r="M638" s="507">
        <v>0</v>
      </c>
      <c r="N638" s="507">
        <v>1305.4053056499815</v>
      </c>
      <c r="O638" s="507">
        <v>0</v>
      </c>
      <c r="P638">
        <v>1</v>
      </c>
      <c r="Q638" s="2" t="s">
        <v>526</v>
      </c>
      <c r="R638" s="3">
        <v>0.15702038124548567</v>
      </c>
      <c r="S638" s="3">
        <v>5.2488000000000001</v>
      </c>
      <c r="T638" s="507">
        <v>446.34251061868895</v>
      </c>
      <c r="U638" s="507">
        <v>0</v>
      </c>
      <c r="V638" s="507">
        <v>446.34251061868895</v>
      </c>
      <c r="W638" s="507">
        <v>0</v>
      </c>
      <c r="X638" s="507">
        <v>1305.4053056499815</v>
      </c>
      <c r="Y638" s="507">
        <v>446.34251061868895</v>
      </c>
      <c r="Z638" s="507">
        <v>6851.8113682956237</v>
      </c>
      <c r="AA638" s="507">
        <v>2342.7625697353747</v>
      </c>
      <c r="AB638" s="507">
        <v>2345.3743861856342</v>
      </c>
      <c r="AC638" s="507">
        <v>4509.05</v>
      </c>
      <c r="AD638" s="507">
        <v>4506.4399999999996</v>
      </c>
      <c r="AE638" s="507">
        <v>2.61</v>
      </c>
      <c r="AF638" s="507">
        <v>4506.4399999999996</v>
      </c>
      <c r="AG638" s="507"/>
      <c r="AH638" s="507">
        <v>0</v>
      </c>
      <c r="AI638" s="507">
        <v>0</v>
      </c>
      <c r="AJ638" s="507">
        <v>0</v>
      </c>
      <c r="AK638" s="507">
        <v>0</v>
      </c>
      <c r="AL638" s="507">
        <v>0</v>
      </c>
      <c r="AM638" s="507">
        <v>0</v>
      </c>
      <c r="AN638" s="507"/>
      <c r="AO638" s="507"/>
    </row>
    <row r="639" spans="1:41">
      <c r="A639" s="2" t="s">
        <v>431</v>
      </c>
      <c r="B639" s="2" t="s">
        <v>382</v>
      </c>
      <c r="C639" s="2" t="s">
        <v>379</v>
      </c>
      <c r="D639" s="2" t="s">
        <v>30</v>
      </c>
      <c r="E639" s="2" t="s">
        <v>19</v>
      </c>
      <c r="F639" s="2" t="s">
        <v>380</v>
      </c>
      <c r="G639" s="2" t="s">
        <v>57</v>
      </c>
      <c r="H639">
        <v>1</v>
      </c>
      <c r="I639" s="2" t="s">
        <v>526</v>
      </c>
      <c r="J639" s="3">
        <v>0.15684552284455039</v>
      </c>
      <c r="K639" s="3">
        <v>5.2488000000000001</v>
      </c>
      <c r="L639" s="507">
        <v>1326.7228332970008</v>
      </c>
      <c r="M639" s="507">
        <v>0</v>
      </c>
      <c r="N639" s="507">
        <v>1326.7228332970008</v>
      </c>
      <c r="O639" s="507">
        <v>0</v>
      </c>
      <c r="P639">
        <v>1</v>
      </c>
      <c r="Q639" s="2" t="s">
        <v>526</v>
      </c>
      <c r="R639" s="3">
        <v>0.15702038124548567</v>
      </c>
      <c r="S639" s="3">
        <v>5.2488000000000001</v>
      </c>
      <c r="T639" s="507">
        <v>186.91059908655319</v>
      </c>
      <c r="U639" s="507">
        <v>0</v>
      </c>
      <c r="V639" s="507">
        <v>186.91059908655319</v>
      </c>
      <c r="W639" s="507">
        <v>0</v>
      </c>
      <c r="X639" s="507">
        <v>1326.7228332970008</v>
      </c>
      <c r="Y639" s="507">
        <v>186.91059908655319</v>
      </c>
      <c r="Z639" s="507">
        <v>6963.7028074092977</v>
      </c>
      <c r="AA639" s="507">
        <v>981.05635248550038</v>
      </c>
      <c r="AB639" s="507">
        <v>982.15007796718362</v>
      </c>
      <c r="AC639" s="507">
        <v>5982.65</v>
      </c>
      <c r="AD639" s="507">
        <v>5981.55</v>
      </c>
      <c r="AE639" s="507">
        <v>1.1000000000000001</v>
      </c>
      <c r="AF639" s="507">
        <v>5981.55</v>
      </c>
      <c r="AG639" s="507"/>
      <c r="AH639" s="507">
        <v>0</v>
      </c>
      <c r="AI639" s="507">
        <v>0</v>
      </c>
      <c r="AJ639" s="507">
        <v>0</v>
      </c>
      <c r="AK639" s="507">
        <v>0</v>
      </c>
      <c r="AL639" s="507">
        <v>0</v>
      </c>
      <c r="AM639" s="507">
        <v>0</v>
      </c>
      <c r="AN639" s="507"/>
      <c r="AO639" s="507"/>
    </row>
    <row r="640" spans="1:41">
      <c r="A640" s="2" t="s">
        <v>432</v>
      </c>
      <c r="B640" s="2" t="s">
        <v>382</v>
      </c>
      <c r="C640" s="2" t="s">
        <v>379</v>
      </c>
      <c r="D640" s="2" t="s">
        <v>30</v>
      </c>
      <c r="E640" s="2" t="s">
        <v>19</v>
      </c>
      <c r="F640" s="2" t="s">
        <v>380</v>
      </c>
      <c r="G640" s="2" t="s">
        <v>57</v>
      </c>
      <c r="H640">
        <v>1</v>
      </c>
      <c r="I640" s="2" t="s">
        <v>526</v>
      </c>
      <c r="J640" s="3">
        <v>0.15684552284455039</v>
      </c>
      <c r="K640" s="3">
        <v>5.2488000000000001</v>
      </c>
      <c r="L640" s="507">
        <v>1597.8987115909431</v>
      </c>
      <c r="M640" s="507">
        <v>0</v>
      </c>
      <c r="N640" s="507">
        <v>1597.8987115909431</v>
      </c>
      <c r="O640" s="507">
        <v>0</v>
      </c>
      <c r="P640">
        <v>1</v>
      </c>
      <c r="Q640" s="2" t="s">
        <v>526</v>
      </c>
      <c r="R640" s="3">
        <v>0.15702038124548567</v>
      </c>
      <c r="S640" s="3">
        <v>5.2488000000000001</v>
      </c>
      <c r="T640" s="507">
        <v>554.87327144189067</v>
      </c>
      <c r="U640" s="507">
        <v>0</v>
      </c>
      <c r="V640" s="507">
        <v>554.87327144189067</v>
      </c>
      <c r="W640" s="507">
        <v>0</v>
      </c>
      <c r="X640" s="507">
        <v>1597.8987115909431</v>
      </c>
      <c r="Y640" s="507">
        <v>554.87327144189067</v>
      </c>
      <c r="Z640" s="507">
        <v>8387.0507573985415</v>
      </c>
      <c r="AA640" s="507">
        <v>2912.4188271441958</v>
      </c>
      <c r="AB640" s="507">
        <v>2915.6657218577479</v>
      </c>
      <c r="AC640" s="507">
        <v>5474.63</v>
      </c>
      <c r="AD640" s="507">
        <v>5471.39</v>
      </c>
      <c r="AE640" s="507">
        <v>3.24</v>
      </c>
      <c r="AF640" s="507">
        <v>5471.39</v>
      </c>
      <c r="AG640" s="507"/>
      <c r="AH640" s="507">
        <v>0</v>
      </c>
      <c r="AI640" s="507">
        <v>0</v>
      </c>
      <c r="AJ640" s="507">
        <v>0</v>
      </c>
      <c r="AK640" s="507">
        <v>0</v>
      </c>
      <c r="AL640" s="507">
        <v>0</v>
      </c>
      <c r="AM640" s="507">
        <v>0</v>
      </c>
      <c r="AN640" s="507"/>
      <c r="AO640" s="507"/>
    </row>
    <row r="641" spans="1:41">
      <c r="A641" s="2" t="s">
        <v>433</v>
      </c>
      <c r="B641" s="2" t="s">
        <v>382</v>
      </c>
      <c r="C641" s="2" t="s">
        <v>379</v>
      </c>
      <c r="D641" s="2" t="s">
        <v>30</v>
      </c>
      <c r="E641" s="2" t="s">
        <v>19</v>
      </c>
      <c r="F641" s="2" t="s">
        <v>380</v>
      </c>
      <c r="G641" s="2" t="s">
        <v>57</v>
      </c>
      <c r="H641">
        <v>1</v>
      </c>
      <c r="I641" s="2" t="s">
        <v>526</v>
      </c>
      <c r="J641" s="3">
        <v>0.15684552284455039</v>
      </c>
      <c r="K641" s="3">
        <v>5.2488000000000001</v>
      </c>
      <c r="L641" s="507">
        <v>5599.4161401096117</v>
      </c>
      <c r="M641" s="507">
        <v>0</v>
      </c>
      <c r="N641" s="507">
        <v>5599.4161401096117</v>
      </c>
      <c r="O641" s="507">
        <v>0</v>
      </c>
      <c r="P641">
        <v>1</v>
      </c>
      <c r="Q641" s="2" t="s">
        <v>526</v>
      </c>
      <c r="R641" s="3">
        <v>0.15702038124548567</v>
      </c>
      <c r="S641" s="3">
        <v>5.2488000000000001</v>
      </c>
      <c r="T641" s="507">
        <v>1326.7228332970008</v>
      </c>
      <c r="U641" s="507">
        <v>0</v>
      </c>
      <c r="V641" s="507">
        <v>1326.7228332970008</v>
      </c>
      <c r="W641" s="507">
        <v>0</v>
      </c>
      <c r="X641" s="507">
        <v>5599.4161401096117</v>
      </c>
      <c r="Y641" s="507">
        <v>1326.7228332970008</v>
      </c>
      <c r="Z641" s="507">
        <v>29390.215436207331</v>
      </c>
      <c r="AA641" s="507">
        <v>6963.7028074092977</v>
      </c>
      <c r="AB641" s="507">
        <v>6971.4662546241661</v>
      </c>
      <c r="AC641" s="507">
        <v>22426.51</v>
      </c>
      <c r="AD641" s="507">
        <v>22418.75</v>
      </c>
      <c r="AE641" s="507">
        <v>7.76</v>
      </c>
      <c r="AF641" s="507">
        <v>22418.75</v>
      </c>
      <c r="AG641" s="507"/>
      <c r="AH641" s="507">
        <v>0</v>
      </c>
      <c r="AI641" s="507">
        <v>0</v>
      </c>
      <c r="AJ641" s="507">
        <v>0</v>
      </c>
      <c r="AK641" s="507">
        <v>0</v>
      </c>
      <c r="AL641" s="507">
        <v>0</v>
      </c>
      <c r="AM641" s="507">
        <v>0</v>
      </c>
      <c r="AN641" s="507"/>
      <c r="AO641" s="507"/>
    </row>
    <row r="642" spans="1:41">
      <c r="A642" s="2" t="s">
        <v>434</v>
      </c>
      <c r="B642" s="2" t="s">
        <v>382</v>
      </c>
      <c r="C642" s="2" t="s">
        <v>379</v>
      </c>
      <c r="D642" s="2" t="s">
        <v>30</v>
      </c>
      <c r="E642" s="2" t="s">
        <v>19</v>
      </c>
      <c r="F642" s="2" t="s">
        <v>380</v>
      </c>
      <c r="G642" s="2" t="s">
        <v>57</v>
      </c>
      <c r="H642">
        <v>1</v>
      </c>
      <c r="I642" s="2" t="s">
        <v>526</v>
      </c>
      <c r="J642" s="3">
        <v>0.15684552284455039</v>
      </c>
      <c r="K642" s="3">
        <v>5.2488000000000001</v>
      </c>
      <c r="L642" s="507">
        <v>1795.2254645433918</v>
      </c>
      <c r="M642" s="507">
        <v>0</v>
      </c>
      <c r="N642" s="507">
        <v>1795.2254645433918</v>
      </c>
      <c r="O642" s="507">
        <v>0</v>
      </c>
      <c r="P642">
        <v>1</v>
      </c>
      <c r="Q642" s="2" t="s">
        <v>526</v>
      </c>
      <c r="R642" s="3">
        <v>0.15702038124548567</v>
      </c>
      <c r="S642" s="3">
        <v>5.2488000000000001</v>
      </c>
      <c r="T642" s="507">
        <v>1597.8987115909431</v>
      </c>
      <c r="U642" s="507">
        <v>0</v>
      </c>
      <c r="V642" s="507">
        <v>1597.8987115909431</v>
      </c>
      <c r="W642" s="507">
        <v>0</v>
      </c>
      <c r="X642" s="507">
        <v>1795.2254645433918</v>
      </c>
      <c r="Y642" s="507">
        <v>1597.8987115909431</v>
      </c>
      <c r="Z642" s="507">
        <v>9422.7794182953548</v>
      </c>
      <c r="AA642" s="507">
        <v>8387.0507573985415</v>
      </c>
      <c r="AB642" s="507">
        <v>8396.4010165414529</v>
      </c>
      <c r="AC642" s="507">
        <v>1035.73</v>
      </c>
      <c r="AD642" s="507">
        <v>1026.3800000000001</v>
      </c>
      <c r="AE642" s="507">
        <v>9.35</v>
      </c>
      <c r="AF642" s="507">
        <v>1026.3800000000001</v>
      </c>
      <c r="AG642" s="507"/>
      <c r="AH642" s="507">
        <v>0</v>
      </c>
      <c r="AI642" s="507">
        <v>0</v>
      </c>
      <c r="AJ642" s="507">
        <v>0</v>
      </c>
      <c r="AK642" s="507">
        <v>0</v>
      </c>
      <c r="AL642" s="507">
        <v>0</v>
      </c>
      <c r="AM642" s="507">
        <v>0</v>
      </c>
      <c r="AN642" s="507"/>
      <c r="AO642" s="507"/>
    </row>
    <row r="643" spans="1:41">
      <c r="A643" s="2" t="s">
        <v>435</v>
      </c>
      <c r="B643" s="2" t="s">
        <v>382</v>
      </c>
      <c r="C643" s="2" t="s">
        <v>379</v>
      </c>
      <c r="D643" s="2" t="s">
        <v>30</v>
      </c>
      <c r="E643" s="2" t="s">
        <v>19</v>
      </c>
      <c r="F643" s="2" t="s">
        <v>380</v>
      </c>
      <c r="G643" s="2" t="s">
        <v>57</v>
      </c>
      <c r="H643">
        <v>1</v>
      </c>
      <c r="I643" s="2" t="s">
        <v>526</v>
      </c>
      <c r="J643" s="3">
        <v>0.15684552284455039</v>
      </c>
      <c r="K643" s="3">
        <v>5.2488000000000001</v>
      </c>
      <c r="L643" s="507">
        <v>291.14690198514211</v>
      </c>
      <c r="M643" s="507">
        <v>0</v>
      </c>
      <c r="N643" s="507">
        <v>291.14690198514211</v>
      </c>
      <c r="O643" s="507">
        <v>0</v>
      </c>
      <c r="P643">
        <v>1</v>
      </c>
      <c r="Q643" s="2" t="s">
        <v>526</v>
      </c>
      <c r="R643" s="3">
        <v>0.15702038124548567</v>
      </c>
      <c r="S643" s="3">
        <v>5.2488000000000001</v>
      </c>
      <c r="T643" s="507">
        <v>5599.4161401096117</v>
      </c>
      <c r="U643" s="507">
        <v>0</v>
      </c>
      <c r="V643" s="507">
        <v>5599.4161401096117</v>
      </c>
      <c r="W643" s="507">
        <v>0</v>
      </c>
      <c r="X643" s="507">
        <v>291.14690198514211</v>
      </c>
      <c r="Y643" s="507">
        <v>5599.4161401096117</v>
      </c>
      <c r="Z643" s="507">
        <v>1528.1718591396138</v>
      </c>
      <c r="AA643" s="507">
        <v>29390.215436207331</v>
      </c>
      <c r="AB643" s="507">
        <v>29422.980962319369</v>
      </c>
      <c r="AC643" s="507">
        <v>-27862.04</v>
      </c>
      <c r="AD643" s="507">
        <v>-27894.81</v>
      </c>
      <c r="AE643" s="507">
        <v>32.770000000000003</v>
      </c>
      <c r="AF643" s="507"/>
      <c r="AG643" s="507">
        <v>-27894.81</v>
      </c>
      <c r="AH643" s="507">
        <v>0</v>
      </c>
      <c r="AI643" s="507">
        <v>0</v>
      </c>
      <c r="AJ643" s="507">
        <v>0</v>
      </c>
      <c r="AK643" s="507">
        <v>0</v>
      </c>
      <c r="AL643" s="507">
        <v>0</v>
      </c>
      <c r="AM643" s="507">
        <v>0</v>
      </c>
      <c r="AN643" s="507"/>
      <c r="AO643" s="507"/>
    </row>
    <row r="644" spans="1:41">
      <c r="A644" s="2" t="s">
        <v>436</v>
      </c>
      <c r="B644" s="2" t="s">
        <v>382</v>
      </c>
      <c r="C644" s="2" t="s">
        <v>379</v>
      </c>
      <c r="D644" s="2" t="s">
        <v>30</v>
      </c>
      <c r="E644" s="2" t="s">
        <v>19</v>
      </c>
      <c r="F644" s="2" t="s">
        <v>380</v>
      </c>
      <c r="G644" s="2" t="s">
        <v>57</v>
      </c>
      <c r="H644">
        <v>1</v>
      </c>
      <c r="I644" s="2" t="s">
        <v>526</v>
      </c>
      <c r="J644" s="3">
        <v>0.15684552284455039</v>
      </c>
      <c r="K644" s="3">
        <v>5.2488000000000001</v>
      </c>
      <c r="L644" s="507">
        <v>1131.6255499704566</v>
      </c>
      <c r="M644" s="507">
        <v>0</v>
      </c>
      <c r="N644" s="507">
        <v>1131.6255499704566</v>
      </c>
      <c r="O644" s="507">
        <v>0</v>
      </c>
      <c r="P644">
        <v>1</v>
      </c>
      <c r="Q644" s="2" t="s">
        <v>526</v>
      </c>
      <c r="R644" s="3">
        <v>0.15702038124548567</v>
      </c>
      <c r="S644" s="3">
        <v>5.2488000000000001</v>
      </c>
      <c r="T644" s="507">
        <v>1795.2254645433918</v>
      </c>
      <c r="U644" s="507">
        <v>0</v>
      </c>
      <c r="V644" s="507">
        <v>1795.2254645433918</v>
      </c>
      <c r="W644" s="507">
        <v>0</v>
      </c>
      <c r="X644" s="507">
        <v>1131.6255499704566</v>
      </c>
      <c r="Y644" s="507">
        <v>1795.2254645433918</v>
      </c>
      <c r="Z644" s="507">
        <v>5939.6761866849329</v>
      </c>
      <c r="AA644" s="507">
        <v>9422.7794182953548</v>
      </c>
      <c r="AB644" s="507">
        <v>9433.2843540535923</v>
      </c>
      <c r="AC644" s="507">
        <v>-3483.1</v>
      </c>
      <c r="AD644" s="507">
        <v>-3493.61</v>
      </c>
      <c r="AE644" s="507">
        <v>10.51</v>
      </c>
      <c r="AF644" s="507"/>
      <c r="AG644" s="507">
        <v>-3493.61</v>
      </c>
      <c r="AH644" s="507">
        <v>0</v>
      </c>
      <c r="AI644" s="507">
        <v>0</v>
      </c>
      <c r="AJ644" s="507">
        <v>0</v>
      </c>
      <c r="AK644" s="507">
        <v>0</v>
      </c>
      <c r="AL644" s="507">
        <v>0</v>
      </c>
      <c r="AM644" s="507">
        <v>0</v>
      </c>
      <c r="AN644" s="507"/>
      <c r="AO644" s="507"/>
    </row>
    <row r="645" spans="1:41">
      <c r="A645" s="2" t="s">
        <v>437</v>
      </c>
      <c r="B645" s="2" t="s">
        <v>382</v>
      </c>
      <c r="C645" s="2" t="s">
        <v>379</v>
      </c>
      <c r="D645" s="2" t="s">
        <v>30</v>
      </c>
      <c r="E645" s="2" t="s">
        <v>19</v>
      </c>
      <c r="F645" s="2" t="s">
        <v>380</v>
      </c>
      <c r="G645" s="2" t="s">
        <v>57</v>
      </c>
      <c r="H645">
        <v>1</v>
      </c>
      <c r="I645" s="2" t="s">
        <v>526</v>
      </c>
      <c r="J645" s="3">
        <v>0.15684552284455039</v>
      </c>
      <c r="K645" s="3">
        <v>5.2488000000000001</v>
      </c>
      <c r="L645" s="507">
        <v>11097.13646618342</v>
      </c>
      <c r="M645" s="507">
        <v>0</v>
      </c>
      <c r="N645" s="507">
        <v>11097.13646618342</v>
      </c>
      <c r="O645" s="507">
        <v>0</v>
      </c>
      <c r="P645">
        <v>1</v>
      </c>
      <c r="Q645" s="2" t="s">
        <v>526</v>
      </c>
      <c r="R645" s="3">
        <v>0.15702038124548567</v>
      </c>
      <c r="S645" s="3">
        <v>5.2488000000000001</v>
      </c>
      <c r="T645" s="507">
        <v>1131.6255499704566</v>
      </c>
      <c r="U645" s="507">
        <v>0</v>
      </c>
      <c r="V645" s="507">
        <v>1131.6255499704566</v>
      </c>
      <c r="W645" s="507">
        <v>0</v>
      </c>
      <c r="X645" s="507">
        <v>11097.13646618342</v>
      </c>
      <c r="Y645" s="507">
        <v>1131.6255499704566</v>
      </c>
      <c r="Z645" s="507">
        <v>58246.649883703532</v>
      </c>
      <c r="AA645" s="507">
        <v>5939.6761866849329</v>
      </c>
      <c r="AB645" s="507">
        <v>5946.298003242021</v>
      </c>
      <c r="AC645" s="507">
        <v>52306.97</v>
      </c>
      <c r="AD645" s="507">
        <v>52300.35</v>
      </c>
      <c r="AE645" s="507">
        <v>6.62</v>
      </c>
      <c r="AF645" s="507">
        <v>52300.35</v>
      </c>
      <c r="AG645" s="507"/>
      <c r="AH645" s="507">
        <v>0</v>
      </c>
      <c r="AI645" s="507">
        <v>0</v>
      </c>
      <c r="AJ645" s="507">
        <v>0</v>
      </c>
      <c r="AK645" s="507">
        <v>0</v>
      </c>
      <c r="AL645" s="507">
        <v>0</v>
      </c>
      <c r="AM645" s="507">
        <v>0</v>
      </c>
      <c r="AN645" s="507"/>
      <c r="AO645" s="507"/>
    </row>
    <row r="646" spans="1:41">
      <c r="A646" s="2" t="s">
        <v>438</v>
      </c>
      <c r="B646" s="2" t="s">
        <v>382</v>
      </c>
      <c r="C646" s="2" t="s">
        <v>379</v>
      </c>
      <c r="D646" s="2" t="s">
        <v>30</v>
      </c>
      <c r="E646" s="2" t="s">
        <v>19</v>
      </c>
      <c r="F646" s="2" t="s">
        <v>380</v>
      </c>
      <c r="G646" s="2" t="s">
        <v>57</v>
      </c>
      <c r="H646">
        <v>1</v>
      </c>
      <c r="I646" s="2" t="s">
        <v>526</v>
      </c>
      <c r="J646" s="3">
        <v>0.15684552284455039</v>
      </c>
      <c r="K646" s="3">
        <v>5.2488000000000001</v>
      </c>
      <c r="L646" s="507">
        <v>506.02456019181818</v>
      </c>
      <c r="M646" s="507">
        <v>0</v>
      </c>
      <c r="N646" s="507">
        <v>506.02456019181818</v>
      </c>
      <c r="O646" s="507">
        <v>0</v>
      </c>
      <c r="P646">
        <v>1</v>
      </c>
      <c r="Q646" s="2" t="s">
        <v>526</v>
      </c>
      <c r="R646" s="3">
        <v>0.15702038124548567</v>
      </c>
      <c r="S646" s="3">
        <v>5.2488000000000001</v>
      </c>
      <c r="T646" s="507">
        <v>11097.13646618342</v>
      </c>
      <c r="U646" s="507">
        <v>0</v>
      </c>
      <c r="V646" s="507">
        <v>11097.13646618342</v>
      </c>
      <c r="W646" s="507">
        <v>0</v>
      </c>
      <c r="X646" s="507">
        <v>506.02456019181818</v>
      </c>
      <c r="Y646" s="507">
        <v>11097.13646618342</v>
      </c>
      <c r="Z646" s="507">
        <v>2656.0217115348155</v>
      </c>
      <c r="AA646" s="507">
        <v>58246.649883703532</v>
      </c>
      <c r="AB646" s="507">
        <v>58311.585853017728</v>
      </c>
      <c r="AC646" s="507">
        <v>-55590.63</v>
      </c>
      <c r="AD646" s="507">
        <v>-55655.56</v>
      </c>
      <c r="AE646" s="507">
        <v>64.930000000000007</v>
      </c>
      <c r="AF646" s="507"/>
      <c r="AG646" s="507">
        <v>-55655.56</v>
      </c>
      <c r="AH646" s="507">
        <v>0</v>
      </c>
      <c r="AI646" s="507">
        <v>0</v>
      </c>
      <c r="AJ646" s="507">
        <v>0</v>
      </c>
      <c r="AK646" s="507">
        <v>0</v>
      </c>
      <c r="AL646" s="507">
        <v>0</v>
      </c>
      <c r="AM646" s="507">
        <v>0</v>
      </c>
      <c r="AN646" s="507"/>
      <c r="AO646" s="507"/>
    </row>
    <row r="647" spans="1:41">
      <c r="A647" s="2" t="s">
        <v>439</v>
      </c>
      <c r="B647" s="2" t="s">
        <v>382</v>
      </c>
      <c r="C647" s="2" t="s">
        <v>379</v>
      </c>
      <c r="D647" s="2" t="s">
        <v>30</v>
      </c>
      <c r="E647" s="2" t="s">
        <v>19</v>
      </c>
      <c r="F647" s="2" t="s">
        <v>380</v>
      </c>
      <c r="G647" s="2" t="s">
        <v>57</v>
      </c>
      <c r="H647">
        <v>1</v>
      </c>
      <c r="I647" s="2" t="s">
        <v>526</v>
      </c>
      <c r="J647" s="3">
        <v>0.15684552284455039</v>
      </c>
      <c r="K647" s="3">
        <v>5.2488000000000001</v>
      </c>
      <c r="L647" s="507">
        <v>1230.9595616762035</v>
      </c>
      <c r="M647" s="507">
        <v>0</v>
      </c>
      <c r="N647" s="507">
        <v>1230.9595616762035</v>
      </c>
      <c r="O647" s="507">
        <v>0</v>
      </c>
      <c r="P647">
        <v>1</v>
      </c>
      <c r="Q647" s="2" t="s">
        <v>526</v>
      </c>
      <c r="R647" s="3">
        <v>0.15702038124548567</v>
      </c>
      <c r="S647" s="3">
        <v>5.2488000000000001</v>
      </c>
      <c r="T647" s="507">
        <v>1230.9595616762035</v>
      </c>
      <c r="U647" s="507">
        <v>0</v>
      </c>
      <c r="V647" s="507">
        <v>1230.9595616762035</v>
      </c>
      <c r="W647" s="507">
        <v>0</v>
      </c>
      <c r="X647" s="507">
        <v>1230.9595616762035</v>
      </c>
      <c r="Y647" s="507">
        <v>1230.9595616762035</v>
      </c>
      <c r="Z647" s="507">
        <v>6461.0605473260575</v>
      </c>
      <c r="AA647" s="507">
        <v>6461.0605473260575</v>
      </c>
      <c r="AB647" s="507">
        <v>6468.2636264778357</v>
      </c>
      <c r="AC647" s="507">
        <v>0</v>
      </c>
      <c r="AD647" s="507">
        <v>-7.2</v>
      </c>
      <c r="AE647" s="507">
        <v>7.2</v>
      </c>
      <c r="AF647" s="507"/>
      <c r="AG647" s="507">
        <v>-7.2</v>
      </c>
      <c r="AH647" s="507">
        <v>0</v>
      </c>
      <c r="AI647" s="507">
        <v>0</v>
      </c>
      <c r="AJ647" s="507">
        <v>0</v>
      </c>
      <c r="AK647" s="507">
        <v>0</v>
      </c>
      <c r="AL647" s="507">
        <v>0</v>
      </c>
      <c r="AM647" s="507">
        <v>0</v>
      </c>
      <c r="AN647" s="507"/>
      <c r="AO647" s="507"/>
    </row>
    <row r="648" spans="1:41">
      <c r="A648" s="2" t="s">
        <v>440</v>
      </c>
      <c r="B648" s="2" t="s">
        <v>382</v>
      </c>
      <c r="C648" s="2" t="s">
        <v>379</v>
      </c>
      <c r="D648" s="2" t="s">
        <v>30</v>
      </c>
      <c r="E648" s="2" t="s">
        <v>19</v>
      </c>
      <c r="F648" s="2" t="s">
        <v>380</v>
      </c>
      <c r="G648" s="2" t="s">
        <v>57</v>
      </c>
      <c r="H648">
        <v>1</v>
      </c>
      <c r="I648" s="2" t="s">
        <v>526</v>
      </c>
      <c r="J648" s="3">
        <v>0.15684552284455039</v>
      </c>
      <c r="K648" s="3">
        <v>5.2488000000000001</v>
      </c>
      <c r="L648" s="507">
        <v>431.55638694614993</v>
      </c>
      <c r="M648" s="507">
        <v>0</v>
      </c>
      <c r="N648" s="507">
        <v>431.55638694614993</v>
      </c>
      <c r="O648" s="507">
        <v>0</v>
      </c>
      <c r="P648">
        <v>1</v>
      </c>
      <c r="Q648" s="2" t="s">
        <v>526</v>
      </c>
      <c r="R648" s="3">
        <v>0.15702038124548567</v>
      </c>
      <c r="S648" s="3">
        <v>5.2488000000000001</v>
      </c>
      <c r="T648" s="507">
        <v>431.55638694614993</v>
      </c>
      <c r="U648" s="507">
        <v>0</v>
      </c>
      <c r="V648" s="507">
        <v>431.55638694614993</v>
      </c>
      <c r="W648" s="507">
        <v>0</v>
      </c>
      <c r="X648" s="507">
        <v>431.55638694614993</v>
      </c>
      <c r="Y648" s="507">
        <v>431.55638694614993</v>
      </c>
      <c r="Z648" s="507">
        <v>2265.1531638029519</v>
      </c>
      <c r="AA648" s="507">
        <v>2265.1531638029519</v>
      </c>
      <c r="AB648" s="507">
        <v>2267.6784578178067</v>
      </c>
      <c r="AC648" s="507">
        <v>0</v>
      </c>
      <c r="AD648" s="507">
        <v>-2.5299999999999998</v>
      </c>
      <c r="AE648" s="507">
        <v>2.5299999999999998</v>
      </c>
      <c r="AF648" s="507"/>
      <c r="AG648" s="507">
        <v>-2.5299999999999998</v>
      </c>
      <c r="AH648" s="507">
        <v>0</v>
      </c>
      <c r="AI648" s="507">
        <v>0</v>
      </c>
      <c r="AJ648" s="507">
        <v>0</v>
      </c>
      <c r="AK648" s="507">
        <v>0</v>
      </c>
      <c r="AL648" s="507">
        <v>0</v>
      </c>
      <c r="AM648" s="507">
        <v>0</v>
      </c>
      <c r="AN648" s="507"/>
      <c r="AO648" s="507"/>
    </row>
    <row r="649" spans="1:41">
      <c r="A649" s="2" t="s">
        <v>441</v>
      </c>
      <c r="B649" s="2" t="s">
        <v>382</v>
      </c>
      <c r="C649" s="2" t="s">
        <v>379</v>
      </c>
      <c r="D649" s="2" t="s">
        <v>30</v>
      </c>
      <c r="E649" s="2" t="s">
        <v>19</v>
      </c>
      <c r="F649" s="2" t="s">
        <v>380</v>
      </c>
      <c r="G649" s="2" t="s">
        <v>57</v>
      </c>
      <c r="H649">
        <v>1</v>
      </c>
      <c r="I649" s="2" t="s">
        <v>526</v>
      </c>
      <c r="J649" s="3">
        <v>0.15684552284455039</v>
      </c>
      <c r="K649" s="3">
        <v>5.2488000000000001</v>
      </c>
      <c r="L649" s="507">
        <v>2690.0420142527528</v>
      </c>
      <c r="M649" s="507">
        <v>0</v>
      </c>
      <c r="N649" s="507">
        <v>2690.0420142527528</v>
      </c>
      <c r="O649" s="507">
        <v>0</v>
      </c>
      <c r="P649">
        <v>1</v>
      </c>
      <c r="Q649" s="2" t="s">
        <v>526</v>
      </c>
      <c r="R649" s="3">
        <v>0.15702038124548567</v>
      </c>
      <c r="S649" s="3">
        <v>5.2488000000000001</v>
      </c>
      <c r="T649" s="507">
        <v>2690.0420142527528</v>
      </c>
      <c r="U649" s="507">
        <v>0</v>
      </c>
      <c r="V649" s="507">
        <v>2690.0420142527528</v>
      </c>
      <c r="W649" s="507">
        <v>0</v>
      </c>
      <c r="X649" s="507">
        <v>2690.0420142527528</v>
      </c>
      <c r="Y649" s="507">
        <v>2690.0420142527528</v>
      </c>
      <c r="Z649" s="507">
        <v>14119.492524409849</v>
      </c>
      <c r="AA649" s="507">
        <v>14119.492524409849</v>
      </c>
      <c r="AB649" s="507">
        <v>14135.233565913997</v>
      </c>
      <c r="AC649" s="507">
        <v>0</v>
      </c>
      <c r="AD649" s="507">
        <v>-15.74</v>
      </c>
      <c r="AE649" s="507">
        <v>15.74</v>
      </c>
      <c r="AF649" s="507"/>
      <c r="AG649" s="507">
        <v>-15.74</v>
      </c>
      <c r="AH649" s="507">
        <v>0</v>
      </c>
      <c r="AI649" s="507">
        <v>0</v>
      </c>
      <c r="AJ649" s="507">
        <v>0</v>
      </c>
      <c r="AK649" s="507">
        <v>0</v>
      </c>
      <c r="AL649" s="507">
        <v>0</v>
      </c>
      <c r="AM649" s="507">
        <v>0</v>
      </c>
      <c r="AN649" s="507"/>
      <c r="AO649" s="507"/>
    </row>
    <row r="650" spans="1:41">
      <c r="A650" s="2" t="s">
        <v>442</v>
      </c>
      <c r="B650" s="2" t="s">
        <v>382</v>
      </c>
      <c r="C650" s="2" t="s">
        <v>379</v>
      </c>
      <c r="D650" s="2" t="s">
        <v>30</v>
      </c>
      <c r="E650" s="2" t="s">
        <v>19</v>
      </c>
      <c r="F650" s="2" t="s">
        <v>380</v>
      </c>
      <c r="G650" s="2" t="s">
        <v>57</v>
      </c>
      <c r="H650">
        <v>1</v>
      </c>
      <c r="I650" s="2" t="s">
        <v>526</v>
      </c>
      <c r="J650" s="3">
        <v>0.15684552284455039</v>
      </c>
      <c r="K650" s="3">
        <v>5.2488000000000001</v>
      </c>
      <c r="L650" s="507">
        <v>317.92371441028178</v>
      </c>
      <c r="M650" s="507">
        <v>0</v>
      </c>
      <c r="N650" s="507">
        <v>317.92371441028178</v>
      </c>
      <c r="O650" s="507">
        <v>0</v>
      </c>
      <c r="P650">
        <v>1</v>
      </c>
      <c r="Q650" s="2" t="s">
        <v>526</v>
      </c>
      <c r="R650" s="3">
        <v>0.15702038124548567</v>
      </c>
      <c r="S650" s="3">
        <v>5.2488000000000001</v>
      </c>
      <c r="T650" s="507">
        <v>2207.7371567274149</v>
      </c>
      <c r="U650" s="507">
        <v>0</v>
      </c>
      <c r="V650" s="507">
        <v>2207.7371567274149</v>
      </c>
      <c r="W650" s="507">
        <v>0</v>
      </c>
      <c r="X650" s="507">
        <v>317.92371441028178</v>
      </c>
      <c r="Y650" s="507">
        <v>2207.7371567274149</v>
      </c>
      <c r="Z650" s="507">
        <v>1668.717992196687</v>
      </c>
      <c r="AA650" s="507">
        <v>11587.970788230856</v>
      </c>
      <c r="AB650" s="507">
        <v>11600.889576127167</v>
      </c>
      <c r="AC650" s="507">
        <v>-9919.25</v>
      </c>
      <c r="AD650" s="507">
        <v>-9932.17</v>
      </c>
      <c r="AE650" s="507">
        <v>12.92</v>
      </c>
      <c r="AF650" s="507"/>
      <c r="AG650" s="507">
        <v>-9932.17</v>
      </c>
      <c r="AH650" s="507">
        <v>0</v>
      </c>
      <c r="AI650" s="507">
        <v>0</v>
      </c>
      <c r="AJ650" s="507">
        <v>0</v>
      </c>
      <c r="AK650" s="507">
        <v>0</v>
      </c>
      <c r="AL650" s="507">
        <v>0</v>
      </c>
      <c r="AM650" s="507">
        <v>0</v>
      </c>
      <c r="AN650" s="507"/>
      <c r="AO650" s="507"/>
    </row>
    <row r="651" spans="1:41">
      <c r="A651" s="2" t="s">
        <v>443</v>
      </c>
      <c r="B651" s="2" t="s">
        <v>382</v>
      </c>
      <c r="C651" s="2" t="s">
        <v>379</v>
      </c>
      <c r="D651" s="2" t="s">
        <v>30</v>
      </c>
      <c r="E651" s="2" t="s">
        <v>19</v>
      </c>
      <c r="F651" s="2" t="s">
        <v>380</v>
      </c>
      <c r="G651" s="2" t="s">
        <v>57</v>
      </c>
      <c r="H651">
        <v>1</v>
      </c>
      <c r="I651" s="2" t="s">
        <v>526</v>
      </c>
      <c r="J651" s="3">
        <v>0.15684552284455039</v>
      </c>
      <c r="K651" s="3">
        <v>5.2488000000000001</v>
      </c>
      <c r="L651" s="507">
        <v>2207.7371567274149</v>
      </c>
      <c r="M651" s="507">
        <v>0</v>
      </c>
      <c r="N651" s="507">
        <v>2207.7371567274149</v>
      </c>
      <c r="O651" s="507">
        <v>0</v>
      </c>
      <c r="P651">
        <v>1</v>
      </c>
      <c r="Q651" s="2" t="s">
        <v>526</v>
      </c>
      <c r="R651" s="3">
        <v>0.15702038124548567</v>
      </c>
      <c r="S651" s="3">
        <v>5.2488000000000001</v>
      </c>
      <c r="T651" s="507">
        <v>287.09468019694566</v>
      </c>
      <c r="U651" s="507">
        <v>0</v>
      </c>
      <c r="V651" s="507">
        <v>287.09468019694566</v>
      </c>
      <c r="W651" s="507">
        <v>0</v>
      </c>
      <c r="X651" s="507">
        <v>2207.7371567274149</v>
      </c>
      <c r="Y651" s="507">
        <v>287.09468019694566</v>
      </c>
      <c r="Z651" s="507">
        <v>11587.970788230856</v>
      </c>
      <c r="AA651" s="507">
        <v>1506.9025574177285</v>
      </c>
      <c r="AB651" s="507">
        <v>1508.5825197575939</v>
      </c>
      <c r="AC651" s="507">
        <v>10081.07</v>
      </c>
      <c r="AD651" s="507">
        <v>10079.39</v>
      </c>
      <c r="AE651" s="507">
        <v>1.68</v>
      </c>
      <c r="AF651" s="507">
        <v>10079.39</v>
      </c>
      <c r="AG651" s="507"/>
      <c r="AH651" s="507">
        <v>0</v>
      </c>
      <c r="AI651" s="507">
        <v>0</v>
      </c>
      <c r="AJ651" s="507">
        <v>0</v>
      </c>
      <c r="AK651" s="507">
        <v>0</v>
      </c>
      <c r="AL651" s="507">
        <v>0</v>
      </c>
      <c r="AM651" s="507">
        <v>0</v>
      </c>
      <c r="AN651" s="507"/>
      <c r="AO651" s="507"/>
    </row>
    <row r="652" spans="1:41">
      <c r="A652" s="2" t="s">
        <v>444</v>
      </c>
      <c r="B652" s="2" t="s">
        <v>382</v>
      </c>
      <c r="C652" s="2" t="s">
        <v>379</v>
      </c>
      <c r="D652" s="2" t="s">
        <v>30</v>
      </c>
      <c r="E652" s="2" t="s">
        <v>19</v>
      </c>
      <c r="F652" s="2" t="s">
        <v>380</v>
      </c>
      <c r="G652" s="2" t="s">
        <v>57</v>
      </c>
      <c r="H652">
        <v>1</v>
      </c>
      <c r="I652" s="2" t="s">
        <v>526</v>
      </c>
      <c r="J652" s="3">
        <v>0.15684552284455039</v>
      </c>
      <c r="K652" s="3">
        <v>5.2488000000000001</v>
      </c>
      <c r="L652" s="507">
        <v>2601.5690036387277</v>
      </c>
      <c r="M652" s="507">
        <v>0</v>
      </c>
      <c r="N652" s="507">
        <v>2601.5690036387277</v>
      </c>
      <c r="O652" s="507">
        <v>0</v>
      </c>
      <c r="P652">
        <v>1</v>
      </c>
      <c r="Q652" s="2" t="s">
        <v>526</v>
      </c>
      <c r="R652" s="3">
        <v>0.15702038124548567</v>
      </c>
      <c r="S652" s="3">
        <v>5.2488000000000001</v>
      </c>
      <c r="T652" s="507">
        <v>1133.6950241235431</v>
      </c>
      <c r="U652" s="507">
        <v>0</v>
      </c>
      <c r="V652" s="507">
        <v>1133.6950241235431</v>
      </c>
      <c r="W652" s="507">
        <v>0</v>
      </c>
      <c r="X652" s="507">
        <v>2601.5690036387277</v>
      </c>
      <c r="Y652" s="507">
        <v>1133.6950241235431</v>
      </c>
      <c r="Z652" s="507">
        <v>13655.115386298954</v>
      </c>
      <c r="AA652" s="507">
        <v>5950.5384426196533</v>
      </c>
      <c r="AB652" s="507">
        <v>5957.1723689052742</v>
      </c>
      <c r="AC652" s="507">
        <v>7704.58</v>
      </c>
      <c r="AD652" s="507">
        <v>7697.94</v>
      </c>
      <c r="AE652" s="507">
        <v>6.64</v>
      </c>
      <c r="AF652" s="507">
        <v>7697.94</v>
      </c>
      <c r="AG652" s="507"/>
      <c r="AH652" s="507">
        <v>0</v>
      </c>
      <c r="AI652" s="507">
        <v>0</v>
      </c>
      <c r="AJ652" s="507">
        <v>0</v>
      </c>
      <c r="AK652" s="507">
        <v>0</v>
      </c>
      <c r="AL652" s="507">
        <v>0</v>
      </c>
      <c r="AM652" s="507">
        <v>0</v>
      </c>
      <c r="AN652" s="507"/>
      <c r="AO652" s="507"/>
    </row>
    <row r="653" spans="1:41">
      <c r="A653" s="2" t="s">
        <v>445</v>
      </c>
      <c r="B653" s="2" t="s">
        <v>382</v>
      </c>
      <c r="C653" s="2" t="s">
        <v>379</v>
      </c>
      <c r="D653" s="2" t="s">
        <v>30</v>
      </c>
      <c r="E653" s="2" t="s">
        <v>19</v>
      </c>
      <c r="F653" s="2" t="s">
        <v>380</v>
      </c>
      <c r="G653" s="2" t="s">
        <v>57</v>
      </c>
      <c r="H653">
        <v>1</v>
      </c>
      <c r="I653" s="2" t="s">
        <v>526</v>
      </c>
      <c r="J653" s="3">
        <v>0.15684552284455039</v>
      </c>
      <c r="K653" s="3">
        <v>5.2488000000000001</v>
      </c>
      <c r="L653" s="507">
        <v>287.09468019694566</v>
      </c>
      <c r="M653" s="507">
        <v>0</v>
      </c>
      <c r="N653" s="507">
        <v>287.09468019694566</v>
      </c>
      <c r="O653" s="507">
        <v>0</v>
      </c>
      <c r="P653">
        <v>1</v>
      </c>
      <c r="Q653" s="2" t="s">
        <v>526</v>
      </c>
      <c r="R653" s="3">
        <v>0.15702038124548567</v>
      </c>
      <c r="S653" s="3">
        <v>5.2488000000000001</v>
      </c>
      <c r="T653" s="507">
        <v>5047.4825985701555</v>
      </c>
      <c r="U653" s="507">
        <v>0</v>
      </c>
      <c r="V653" s="507">
        <v>5047.4825985701555</v>
      </c>
      <c r="W653" s="507">
        <v>0</v>
      </c>
      <c r="X653" s="507">
        <v>287.09468019694566</v>
      </c>
      <c r="Y653" s="507">
        <v>5047.4825985701555</v>
      </c>
      <c r="Z653" s="507">
        <v>1506.9025574177285</v>
      </c>
      <c r="AA653" s="507">
        <v>26493.226663375033</v>
      </c>
      <c r="AB653" s="507">
        <v>26522.762496887892</v>
      </c>
      <c r="AC653" s="507">
        <v>-24986.32</v>
      </c>
      <c r="AD653" s="507">
        <v>-25015.86</v>
      </c>
      <c r="AE653" s="507">
        <v>29.54</v>
      </c>
      <c r="AF653" s="507"/>
      <c r="AG653" s="507">
        <v>-25015.86</v>
      </c>
      <c r="AH653" s="507">
        <v>0</v>
      </c>
      <c r="AI653" s="507">
        <v>0</v>
      </c>
      <c r="AJ653" s="507">
        <v>0</v>
      </c>
      <c r="AK653" s="507">
        <v>0</v>
      </c>
      <c r="AL653" s="507">
        <v>0</v>
      </c>
      <c r="AM653" s="507">
        <v>0</v>
      </c>
      <c r="AN653" s="507"/>
      <c r="AO653" s="507"/>
    </row>
    <row r="654" spans="1:41">
      <c r="A654" s="2" t="s">
        <v>446</v>
      </c>
      <c r="B654" s="2" t="s">
        <v>382</v>
      </c>
      <c r="C654" s="2" t="s">
        <v>379</v>
      </c>
      <c r="D654" s="2" t="s">
        <v>30</v>
      </c>
      <c r="E654" s="2" t="s">
        <v>19</v>
      </c>
      <c r="F654" s="2" t="s">
        <v>380</v>
      </c>
      <c r="G654" s="2" t="s">
        <v>57</v>
      </c>
      <c r="H654">
        <v>1</v>
      </c>
      <c r="I654" s="2" t="s">
        <v>526</v>
      </c>
      <c r="J654" s="3">
        <v>0.15684552284455039</v>
      </c>
      <c r="K654" s="3">
        <v>5.2488000000000001</v>
      </c>
      <c r="L654" s="507">
        <v>8748.3790006571817</v>
      </c>
      <c r="M654" s="507">
        <v>0</v>
      </c>
      <c r="N654" s="507">
        <v>8748.3790006571817</v>
      </c>
      <c r="O654" s="507">
        <v>0</v>
      </c>
      <c r="P654">
        <v>1</v>
      </c>
      <c r="Q654" s="2" t="s">
        <v>526</v>
      </c>
      <c r="R654" s="3">
        <v>0.15702038124548567</v>
      </c>
      <c r="S654" s="3">
        <v>5.2488000000000001</v>
      </c>
      <c r="T654" s="507">
        <v>1615.2200906294922</v>
      </c>
      <c r="U654" s="507">
        <v>0</v>
      </c>
      <c r="V654" s="507">
        <v>1615.2200906294922</v>
      </c>
      <c r="W654" s="507">
        <v>0</v>
      </c>
      <c r="X654" s="507">
        <v>8748.3790006571817</v>
      </c>
      <c r="Y654" s="507">
        <v>1615.2200906294922</v>
      </c>
      <c r="Z654" s="507">
        <v>45918.491698649414</v>
      </c>
      <c r="AA654" s="507">
        <v>8477.9672116960792</v>
      </c>
      <c r="AB654" s="507">
        <v>8487.4188285668279</v>
      </c>
      <c r="AC654" s="507">
        <v>37440.519999999997</v>
      </c>
      <c r="AD654" s="507">
        <v>37431.07</v>
      </c>
      <c r="AE654" s="507">
        <v>9.4499999999999993</v>
      </c>
      <c r="AF654" s="507">
        <v>37431.07</v>
      </c>
      <c r="AG654" s="507"/>
      <c r="AH654" s="507">
        <v>0</v>
      </c>
      <c r="AI654" s="507">
        <v>0</v>
      </c>
      <c r="AJ654" s="507">
        <v>0</v>
      </c>
      <c r="AK654" s="507">
        <v>0</v>
      </c>
      <c r="AL654" s="507">
        <v>0</v>
      </c>
      <c r="AM654" s="507">
        <v>0</v>
      </c>
      <c r="AN654" s="507"/>
      <c r="AO654" s="507"/>
    </row>
    <row r="655" spans="1:41">
      <c r="A655" s="2" t="s">
        <v>447</v>
      </c>
      <c r="B655" s="2" t="s">
        <v>382</v>
      </c>
      <c r="C655" s="2" t="s">
        <v>379</v>
      </c>
      <c r="D655" s="2" t="s">
        <v>30</v>
      </c>
      <c r="E655" s="2" t="s">
        <v>19</v>
      </c>
      <c r="F655" s="2" t="s">
        <v>380</v>
      </c>
      <c r="G655" s="2" t="s">
        <v>57</v>
      </c>
      <c r="H655">
        <v>1</v>
      </c>
      <c r="I655" s="2" t="s">
        <v>526</v>
      </c>
      <c r="J655" s="3">
        <v>0.15684552284455039</v>
      </c>
      <c r="K655" s="3">
        <v>5.2488000000000001</v>
      </c>
      <c r="L655" s="507">
        <v>1133.6950241235431</v>
      </c>
      <c r="M655" s="507">
        <v>0</v>
      </c>
      <c r="N655" s="507">
        <v>1133.6950241235431</v>
      </c>
      <c r="O655" s="507">
        <v>0</v>
      </c>
      <c r="P655">
        <v>1</v>
      </c>
      <c r="Q655" s="2" t="s">
        <v>526</v>
      </c>
      <c r="R655" s="3">
        <v>0.15702038124548567</v>
      </c>
      <c r="S655" s="3">
        <v>5.2488000000000001</v>
      </c>
      <c r="T655" s="507">
        <v>1236.2117495105358</v>
      </c>
      <c r="U655" s="507">
        <v>0</v>
      </c>
      <c r="V655" s="507">
        <v>1236.2117495105358</v>
      </c>
      <c r="W655" s="507">
        <v>0</v>
      </c>
      <c r="X655" s="507">
        <v>1133.6950241235431</v>
      </c>
      <c r="Y655" s="507">
        <v>1236.2117495105358</v>
      </c>
      <c r="Z655" s="507">
        <v>5950.5384426196533</v>
      </c>
      <c r="AA655" s="507">
        <v>6488.628230830901</v>
      </c>
      <c r="AB655" s="507">
        <v>6495.8620436687152</v>
      </c>
      <c r="AC655" s="507">
        <v>-538.09</v>
      </c>
      <c r="AD655" s="507">
        <v>-545.32000000000005</v>
      </c>
      <c r="AE655" s="507">
        <v>7.23</v>
      </c>
      <c r="AF655" s="507"/>
      <c r="AG655" s="507">
        <v>-545.32000000000005</v>
      </c>
      <c r="AH655" s="507">
        <v>0</v>
      </c>
      <c r="AI655" s="507">
        <v>0</v>
      </c>
      <c r="AJ655" s="507">
        <v>0</v>
      </c>
      <c r="AK655" s="507">
        <v>0</v>
      </c>
      <c r="AL655" s="507">
        <v>0</v>
      </c>
      <c r="AM655" s="507">
        <v>0</v>
      </c>
      <c r="AN655" s="507"/>
      <c r="AO655" s="507"/>
    </row>
    <row r="656" spans="1:41">
      <c r="A656" s="2" t="s">
        <v>448</v>
      </c>
      <c r="B656" s="2" t="s">
        <v>382</v>
      </c>
      <c r="C656" s="2" t="s">
        <v>379</v>
      </c>
      <c r="D656" s="2" t="s">
        <v>30</v>
      </c>
      <c r="E656" s="2" t="s">
        <v>19</v>
      </c>
      <c r="F656" s="2" t="s">
        <v>380</v>
      </c>
      <c r="G656" s="2" t="s">
        <v>57</v>
      </c>
      <c r="H656">
        <v>1</v>
      </c>
      <c r="I656" s="2" t="s">
        <v>526</v>
      </c>
      <c r="J656" s="3">
        <v>0.15684552284455039</v>
      </c>
      <c r="K656" s="3">
        <v>5.2488000000000001</v>
      </c>
      <c r="L656" s="507">
        <v>5047.4825985701555</v>
      </c>
      <c r="M656" s="507">
        <v>0</v>
      </c>
      <c r="N656" s="507">
        <v>5047.4825985701555</v>
      </c>
      <c r="O656" s="507">
        <v>0</v>
      </c>
      <c r="P656">
        <v>1</v>
      </c>
      <c r="Q656" s="2" t="s">
        <v>526</v>
      </c>
      <c r="R656" s="3">
        <v>0.15702038124548567</v>
      </c>
      <c r="S656" s="3">
        <v>5.2488000000000001</v>
      </c>
      <c r="T656" s="507">
        <v>1315.9986507638109</v>
      </c>
      <c r="U656" s="507">
        <v>0</v>
      </c>
      <c r="V656" s="507">
        <v>1315.9986507638109</v>
      </c>
      <c r="W656" s="507">
        <v>0</v>
      </c>
      <c r="X656" s="507">
        <v>5047.4825985701555</v>
      </c>
      <c r="Y656" s="507">
        <v>1315.9986507638109</v>
      </c>
      <c r="Z656" s="507">
        <v>26493.226663375033</v>
      </c>
      <c r="AA656" s="507">
        <v>6907.4137181290907</v>
      </c>
      <c r="AB656" s="507">
        <v>6915.1144117507229</v>
      </c>
      <c r="AC656" s="507">
        <v>19585.810000000001</v>
      </c>
      <c r="AD656" s="507">
        <v>19578.11</v>
      </c>
      <c r="AE656" s="507">
        <v>7.7</v>
      </c>
      <c r="AF656" s="507">
        <v>19578.11</v>
      </c>
      <c r="AG656" s="507"/>
      <c r="AH656" s="507">
        <v>0</v>
      </c>
      <c r="AI656" s="507">
        <v>0</v>
      </c>
      <c r="AJ656" s="507">
        <v>0</v>
      </c>
      <c r="AK656" s="507">
        <v>0</v>
      </c>
      <c r="AL656" s="507">
        <v>0</v>
      </c>
      <c r="AM656" s="507">
        <v>0</v>
      </c>
      <c r="AN656" s="507"/>
      <c r="AO656" s="507"/>
    </row>
    <row r="657" spans="1:41">
      <c r="A657" s="2" t="s">
        <v>449</v>
      </c>
      <c r="B657" s="2" t="s">
        <v>382</v>
      </c>
      <c r="C657" s="2" t="s">
        <v>379</v>
      </c>
      <c r="D657" s="2" t="s">
        <v>30</v>
      </c>
      <c r="E657" s="2" t="s">
        <v>19</v>
      </c>
      <c r="F657" s="2" t="s">
        <v>380</v>
      </c>
      <c r="G657" s="2" t="s">
        <v>57</v>
      </c>
      <c r="H657">
        <v>1</v>
      </c>
      <c r="I657" s="2" t="s">
        <v>526</v>
      </c>
      <c r="J657" s="3">
        <v>0.15684552284455039</v>
      </c>
      <c r="K657" s="3">
        <v>5.2488000000000001</v>
      </c>
      <c r="L657" s="507">
        <v>1615.2200906294922</v>
      </c>
      <c r="M657" s="507">
        <v>0</v>
      </c>
      <c r="N657" s="507">
        <v>1615.2200906294922</v>
      </c>
      <c r="O657" s="507">
        <v>0</v>
      </c>
      <c r="P657">
        <v>1</v>
      </c>
      <c r="Q657" s="2" t="s">
        <v>526</v>
      </c>
      <c r="R657" s="3">
        <v>0.15702038124548567</v>
      </c>
      <c r="S657" s="3">
        <v>5.2488000000000001</v>
      </c>
      <c r="T657" s="507">
        <v>1995.9898772342403</v>
      </c>
      <c r="U657" s="507">
        <v>0</v>
      </c>
      <c r="V657" s="507">
        <v>1995.9898772342403</v>
      </c>
      <c r="W657" s="507">
        <v>0</v>
      </c>
      <c r="X657" s="507">
        <v>1615.2200906294922</v>
      </c>
      <c r="Y657" s="507">
        <v>1995.9898772342403</v>
      </c>
      <c r="Z657" s="507">
        <v>8477.9672116960792</v>
      </c>
      <c r="AA657" s="507">
        <v>10476.551667627082</v>
      </c>
      <c r="AB657" s="507">
        <v>10488.231395799705</v>
      </c>
      <c r="AC657" s="507">
        <v>-1998.58</v>
      </c>
      <c r="AD657" s="507">
        <v>-2010.26</v>
      </c>
      <c r="AE657" s="507">
        <v>11.68</v>
      </c>
      <c r="AF657" s="507"/>
      <c r="AG657" s="507">
        <v>-2010.26</v>
      </c>
      <c r="AH657" s="507">
        <v>0</v>
      </c>
      <c r="AI657" s="507">
        <v>0</v>
      </c>
      <c r="AJ657" s="507">
        <v>0</v>
      </c>
      <c r="AK657" s="507">
        <v>0</v>
      </c>
      <c r="AL657" s="507">
        <v>0</v>
      </c>
      <c r="AM657" s="507">
        <v>0</v>
      </c>
      <c r="AN657" s="507"/>
      <c r="AO657" s="507"/>
    </row>
    <row r="658" spans="1:41">
      <c r="A658" s="2" t="s">
        <v>450</v>
      </c>
      <c r="B658" s="2" t="s">
        <v>382</v>
      </c>
      <c r="C658" s="2" t="s">
        <v>379</v>
      </c>
      <c r="D658" s="2" t="s">
        <v>30</v>
      </c>
      <c r="E658" s="2" t="s">
        <v>19</v>
      </c>
      <c r="F658" s="2" t="s">
        <v>380</v>
      </c>
      <c r="G658" s="2" t="s">
        <v>57</v>
      </c>
      <c r="H658">
        <v>1</v>
      </c>
      <c r="I658" s="2" t="s">
        <v>526</v>
      </c>
      <c r="J658" s="3">
        <v>0.15684552284455039</v>
      </c>
      <c r="K658" s="3">
        <v>5.2488000000000001</v>
      </c>
      <c r="L658" s="507">
        <v>1236.2117495105358</v>
      </c>
      <c r="M658" s="507">
        <v>0</v>
      </c>
      <c r="N658" s="507">
        <v>1236.2117495105358</v>
      </c>
      <c r="O658" s="507">
        <v>0</v>
      </c>
      <c r="P658">
        <v>1</v>
      </c>
      <c r="Q658" s="2" t="s">
        <v>526</v>
      </c>
      <c r="R658" s="3">
        <v>0.15702038124548567</v>
      </c>
      <c r="S658" s="3">
        <v>5.2488000000000001</v>
      </c>
      <c r="T658" s="507">
        <v>602.95714452050095</v>
      </c>
      <c r="U658" s="507">
        <v>0</v>
      </c>
      <c r="V658" s="507">
        <v>602.95714452050095</v>
      </c>
      <c r="W658" s="507">
        <v>0</v>
      </c>
      <c r="X658" s="507">
        <v>1236.2117495105358</v>
      </c>
      <c r="Y658" s="507">
        <v>602.95714452050095</v>
      </c>
      <c r="Z658" s="507">
        <v>6488.628230830901</v>
      </c>
      <c r="AA658" s="507">
        <v>3164.8014601592054</v>
      </c>
      <c r="AB658" s="507">
        <v>3168.3297223152731</v>
      </c>
      <c r="AC658" s="507">
        <v>3323.83</v>
      </c>
      <c r="AD658" s="507">
        <v>3320.3</v>
      </c>
      <c r="AE658" s="507">
        <v>3.53</v>
      </c>
      <c r="AF658" s="507">
        <v>3320.3</v>
      </c>
      <c r="AG658" s="507"/>
      <c r="AH658" s="507">
        <v>0</v>
      </c>
      <c r="AI658" s="507">
        <v>0</v>
      </c>
      <c r="AJ658" s="507">
        <v>0</v>
      </c>
      <c r="AK658" s="507">
        <v>0</v>
      </c>
      <c r="AL658" s="507">
        <v>0</v>
      </c>
      <c r="AM658" s="507">
        <v>0</v>
      </c>
      <c r="AN658" s="507"/>
      <c r="AO658" s="507"/>
    </row>
    <row r="659" spans="1:41">
      <c r="A659" s="2"/>
      <c r="B659" s="2"/>
      <c r="C659" s="2"/>
      <c r="D659" s="2"/>
      <c r="E659" s="2"/>
      <c r="F659" s="2"/>
      <c r="G659" s="2"/>
      <c r="I659" s="2"/>
      <c r="J659" s="3"/>
      <c r="K659" s="3"/>
      <c r="L659" s="507"/>
      <c r="M659" s="507"/>
      <c r="N659" s="507"/>
      <c r="O659" s="507"/>
      <c r="P659">
        <v>1</v>
      </c>
      <c r="Q659" s="2" t="s">
        <v>526</v>
      </c>
      <c r="R659" s="3">
        <v>0.15702038124548567</v>
      </c>
      <c r="S659" s="3">
        <v>5.2488000000000001</v>
      </c>
      <c r="T659" s="507">
        <v>1305.4053056499815</v>
      </c>
      <c r="U659" s="507">
        <v>0</v>
      </c>
      <c r="V659" s="507">
        <v>1305.4053056499815</v>
      </c>
      <c r="W659" s="507">
        <v>0</v>
      </c>
      <c r="X659" s="507"/>
      <c r="Y659" s="507">
        <v>1305.4053056499815</v>
      </c>
      <c r="Z659" s="507"/>
      <c r="AA659" s="507">
        <v>6851.8113682956237</v>
      </c>
      <c r="AB659" s="507"/>
      <c r="AC659" s="507"/>
      <c r="AD659" s="507"/>
      <c r="AE659" s="507"/>
      <c r="AF659" s="507"/>
      <c r="AG659" s="507"/>
      <c r="AH659" s="507"/>
      <c r="AI659" s="507">
        <v>0</v>
      </c>
      <c r="AJ659" s="507"/>
      <c r="AK659" s="507"/>
      <c r="AL659" s="507"/>
      <c r="AM659" s="507"/>
      <c r="AN659" s="507"/>
      <c r="AO659" s="507"/>
    </row>
    <row r="660" spans="1:41">
      <c r="A660" s="2" t="s">
        <v>451</v>
      </c>
      <c r="B660" s="2" t="s">
        <v>382</v>
      </c>
      <c r="C660" s="2" t="s">
        <v>379</v>
      </c>
      <c r="D660" s="2" t="s">
        <v>30</v>
      </c>
      <c r="E660" s="2" t="s">
        <v>19</v>
      </c>
      <c r="F660" s="2" t="s">
        <v>380</v>
      </c>
      <c r="G660" s="2" t="s">
        <v>57</v>
      </c>
      <c r="H660">
        <v>1</v>
      </c>
      <c r="I660" s="2" t="s">
        <v>526</v>
      </c>
      <c r="J660" s="3">
        <v>0.15684552284455039</v>
      </c>
      <c r="K660" s="3">
        <v>5.2488000000000001</v>
      </c>
      <c r="L660" s="507">
        <v>1315.9986507638109</v>
      </c>
      <c r="M660" s="507">
        <v>0</v>
      </c>
      <c r="N660" s="507">
        <v>1315.9986507638109</v>
      </c>
      <c r="O660" s="507">
        <v>0</v>
      </c>
      <c r="P660">
        <v>1</v>
      </c>
      <c r="Q660" s="2" t="s">
        <v>526</v>
      </c>
      <c r="R660" s="3">
        <v>0.15702038124548567</v>
      </c>
      <c r="S660" s="3">
        <v>5.2488000000000001</v>
      </c>
      <c r="T660" s="507">
        <v>7104.5571025130694</v>
      </c>
      <c r="U660" s="507">
        <v>0</v>
      </c>
      <c r="V660" s="507">
        <v>7104.5571025130694</v>
      </c>
      <c r="W660" s="507">
        <v>0</v>
      </c>
      <c r="X660" s="507">
        <v>1315.9986507638109</v>
      </c>
      <c r="Y660" s="507">
        <v>7104.5571025130694</v>
      </c>
      <c r="Z660" s="507">
        <v>6907.4137181290907</v>
      </c>
      <c r="AA660" s="507">
        <v>37290.3993196706</v>
      </c>
      <c r="AB660" s="507">
        <v>37331.972323968199</v>
      </c>
      <c r="AC660" s="507">
        <v>-30382.99</v>
      </c>
      <c r="AD660" s="507">
        <v>-30424.560000000001</v>
      </c>
      <c r="AE660" s="507">
        <v>41.57</v>
      </c>
      <c r="AF660" s="507"/>
      <c r="AG660" s="507">
        <v>-30424.560000000001</v>
      </c>
      <c r="AH660" s="507">
        <v>0</v>
      </c>
      <c r="AI660" s="507">
        <v>0</v>
      </c>
      <c r="AJ660" s="507">
        <v>0</v>
      </c>
      <c r="AK660" s="507">
        <v>0</v>
      </c>
      <c r="AL660" s="507">
        <v>0</v>
      </c>
      <c r="AM660" s="507">
        <v>0</v>
      </c>
      <c r="AN660" s="507"/>
      <c r="AO660" s="507"/>
    </row>
    <row r="661" spans="1:41">
      <c r="A661" s="2" t="s">
        <v>452</v>
      </c>
      <c r="B661" s="2" t="s">
        <v>382</v>
      </c>
      <c r="C661" s="2" t="s">
        <v>379</v>
      </c>
      <c r="D661" s="2" t="s">
        <v>30</v>
      </c>
      <c r="E661" s="2" t="s">
        <v>19</v>
      </c>
      <c r="F661" s="2" t="s">
        <v>380</v>
      </c>
      <c r="G661" s="2" t="s">
        <v>170</v>
      </c>
      <c r="H661">
        <v>1</v>
      </c>
      <c r="I661" s="2" t="s">
        <v>526</v>
      </c>
      <c r="J661" s="3">
        <v>5.2308000000000003</v>
      </c>
      <c r="K661" s="3">
        <v>5.2488000000000001</v>
      </c>
      <c r="L661" s="507">
        <v>1995.9898772342403</v>
      </c>
      <c r="M661" s="507">
        <v>0</v>
      </c>
      <c r="N661" s="507">
        <v>1995.9898772342403</v>
      </c>
      <c r="O661" s="507">
        <v>0</v>
      </c>
      <c r="P661">
        <v>1</v>
      </c>
      <c r="Q661" s="2" t="s">
        <v>526</v>
      </c>
      <c r="R661" s="3">
        <v>5.2488000000000001</v>
      </c>
      <c r="S661" s="3">
        <v>5.2488000000000001</v>
      </c>
      <c r="T661" s="507">
        <v>1758.253418751448</v>
      </c>
      <c r="U661" s="507">
        <v>0</v>
      </c>
      <c r="V661" s="507">
        <v>1758.253418751448</v>
      </c>
      <c r="W661" s="507">
        <v>0</v>
      </c>
      <c r="X661" s="507">
        <v>1995.9898772342403</v>
      </c>
      <c r="Y661" s="507">
        <v>1758.253418751448</v>
      </c>
      <c r="Z661" s="507">
        <v>10476.551667627082</v>
      </c>
      <c r="AA661" s="507">
        <v>9228.720544342601</v>
      </c>
      <c r="AB661" s="507">
        <v>9260.4780135247856</v>
      </c>
      <c r="AC661" s="507">
        <v>1247.83</v>
      </c>
      <c r="AD661" s="507">
        <v>1216.07</v>
      </c>
      <c r="AE661" s="507">
        <v>31.76</v>
      </c>
      <c r="AF661" s="507">
        <v>1216.07</v>
      </c>
      <c r="AG661" s="507"/>
      <c r="AH661" s="507">
        <v>0</v>
      </c>
      <c r="AI661" s="507">
        <v>0</v>
      </c>
      <c r="AJ661" s="507">
        <v>0</v>
      </c>
      <c r="AK661" s="507">
        <v>0</v>
      </c>
      <c r="AL661" s="507">
        <v>0</v>
      </c>
      <c r="AM661" s="507">
        <v>0</v>
      </c>
      <c r="AN661" s="507"/>
      <c r="AO661" s="507"/>
    </row>
    <row r="662" spans="1:41">
      <c r="A662" s="2" t="s">
        <v>453</v>
      </c>
      <c r="B662" s="2" t="s">
        <v>382</v>
      </c>
      <c r="C662" s="2" t="s">
        <v>379</v>
      </c>
      <c r="D662" s="2" t="s">
        <v>30</v>
      </c>
      <c r="E662" s="2" t="s">
        <v>19</v>
      </c>
      <c r="F662" s="2" t="s">
        <v>380</v>
      </c>
      <c r="G662" s="2" t="s">
        <v>57</v>
      </c>
      <c r="H662">
        <v>1</v>
      </c>
      <c r="I662" s="2" t="s">
        <v>526</v>
      </c>
      <c r="J662" s="3">
        <v>0.15684552284455039</v>
      </c>
      <c r="K662" s="3">
        <v>5.2488000000000001</v>
      </c>
      <c r="L662" s="507">
        <v>602.95714452050095</v>
      </c>
      <c r="M662" s="507">
        <v>0</v>
      </c>
      <c r="N662" s="507">
        <v>602.95714452050095</v>
      </c>
      <c r="O662" s="507">
        <v>0</v>
      </c>
      <c r="P662">
        <v>1</v>
      </c>
      <c r="Q662" s="2" t="s">
        <v>526</v>
      </c>
      <c r="R662" s="3">
        <v>0.15702038124548567</v>
      </c>
      <c r="S662" s="3">
        <v>5.2488000000000001</v>
      </c>
      <c r="T662" s="507">
        <v>2183.1157973309409</v>
      </c>
      <c r="U662" s="507">
        <v>0</v>
      </c>
      <c r="V662" s="507">
        <v>2183.1157973309409</v>
      </c>
      <c r="W662" s="507">
        <v>0</v>
      </c>
      <c r="X662" s="507">
        <v>602.95714452050095</v>
      </c>
      <c r="Y662" s="507">
        <v>2183.1157973309409</v>
      </c>
      <c r="Z662" s="507">
        <v>3164.8014601592054</v>
      </c>
      <c r="AA662" s="507">
        <v>11458.738197030643</v>
      </c>
      <c r="AB662" s="507">
        <v>11471.512910656702</v>
      </c>
      <c r="AC662" s="507">
        <v>-8293.94</v>
      </c>
      <c r="AD662" s="507">
        <v>-8306.7099999999991</v>
      </c>
      <c r="AE662" s="507">
        <v>12.77</v>
      </c>
      <c r="AF662" s="507"/>
      <c r="AG662" s="507">
        <v>-8306.7099999999991</v>
      </c>
      <c r="AH662" s="507">
        <v>0</v>
      </c>
      <c r="AI662" s="507">
        <v>0</v>
      </c>
      <c r="AJ662" s="507">
        <v>0</v>
      </c>
      <c r="AK662" s="507">
        <v>0</v>
      </c>
      <c r="AL662" s="507">
        <v>0</v>
      </c>
      <c r="AM662" s="507">
        <v>0</v>
      </c>
      <c r="AN662" s="507"/>
      <c r="AO662" s="507"/>
    </row>
    <row r="663" spans="1:41">
      <c r="A663" s="2" t="s">
        <v>454</v>
      </c>
      <c r="B663" s="2" t="s">
        <v>382</v>
      </c>
      <c r="C663" s="2" t="s">
        <v>379</v>
      </c>
      <c r="D663" s="2" t="s">
        <v>30</v>
      </c>
      <c r="E663" s="2" t="s">
        <v>19</v>
      </c>
      <c r="F663" s="2" t="s">
        <v>380</v>
      </c>
      <c r="G663" s="2" t="s">
        <v>57</v>
      </c>
      <c r="H663">
        <v>1</v>
      </c>
      <c r="I663" s="2" t="s">
        <v>526</v>
      </c>
      <c r="J663" s="3">
        <v>0.15684552284455039</v>
      </c>
      <c r="K663" s="3">
        <v>5.2488000000000001</v>
      </c>
      <c r="L663" s="507">
        <v>7104.5571025130694</v>
      </c>
      <c r="M663" s="507">
        <v>0</v>
      </c>
      <c r="N663" s="507">
        <v>7104.5571025130694</v>
      </c>
      <c r="O663" s="507">
        <v>0</v>
      </c>
      <c r="P663">
        <v>1</v>
      </c>
      <c r="Q663" s="2" t="s">
        <v>526</v>
      </c>
      <c r="R663" s="3">
        <v>0.15702038124548567</v>
      </c>
      <c r="S663" s="3">
        <v>5.2488000000000001</v>
      </c>
      <c r="T663" s="507">
        <v>1878.455259031841</v>
      </c>
      <c r="U663" s="507">
        <v>0</v>
      </c>
      <c r="V663" s="507">
        <v>1878.455259031841</v>
      </c>
      <c r="W663" s="507">
        <v>0</v>
      </c>
      <c r="X663" s="507">
        <v>7104.5571025130694</v>
      </c>
      <c r="Y663" s="507">
        <v>1878.455259031841</v>
      </c>
      <c r="Z663" s="507">
        <v>37290.3993196706</v>
      </c>
      <c r="AA663" s="507">
        <v>9859.635963606328</v>
      </c>
      <c r="AB663" s="507">
        <v>9870.6279265717531</v>
      </c>
      <c r="AC663" s="507">
        <v>27430.76</v>
      </c>
      <c r="AD663" s="507">
        <v>27419.77</v>
      </c>
      <c r="AE663" s="507">
        <v>10.99</v>
      </c>
      <c r="AF663" s="507">
        <v>27419.77</v>
      </c>
      <c r="AG663" s="507"/>
      <c r="AH663" s="507">
        <v>0</v>
      </c>
      <c r="AI663" s="507">
        <v>0</v>
      </c>
      <c r="AJ663" s="507">
        <v>0</v>
      </c>
      <c r="AK663" s="507">
        <v>0</v>
      </c>
      <c r="AL663" s="507">
        <v>0</v>
      </c>
      <c r="AM663" s="507">
        <v>0</v>
      </c>
      <c r="AN663" s="507"/>
      <c r="AO663" s="507"/>
    </row>
    <row r="664" spans="1:41">
      <c r="A664" s="2" t="s">
        <v>455</v>
      </c>
      <c r="B664" s="2" t="s">
        <v>382</v>
      </c>
      <c r="C664" s="2" t="s">
        <v>379</v>
      </c>
      <c r="D664" s="2" t="s">
        <v>30</v>
      </c>
      <c r="E664" s="2" t="s">
        <v>19</v>
      </c>
      <c r="F664" s="2" t="s">
        <v>380</v>
      </c>
      <c r="G664" s="2" t="s">
        <v>57</v>
      </c>
      <c r="H664">
        <v>1</v>
      </c>
      <c r="I664" s="2" t="s">
        <v>526</v>
      </c>
      <c r="J664" s="3">
        <v>0.15684552284455039</v>
      </c>
      <c r="K664" s="3">
        <v>5.2488000000000001</v>
      </c>
      <c r="L664" s="507">
        <v>1758.253418751448</v>
      </c>
      <c r="M664" s="507">
        <v>0</v>
      </c>
      <c r="N664" s="507">
        <v>1758.253418751448</v>
      </c>
      <c r="O664" s="507">
        <v>0</v>
      </c>
      <c r="P664">
        <v>1</v>
      </c>
      <c r="Q664" s="2" t="s">
        <v>526</v>
      </c>
      <c r="R664" s="3">
        <v>0.15702038124548567</v>
      </c>
      <c r="S664" s="3">
        <v>5.2488000000000001</v>
      </c>
      <c r="T664" s="507">
        <v>798.09106232446607</v>
      </c>
      <c r="U664" s="507">
        <v>0</v>
      </c>
      <c r="V664" s="507">
        <v>798.09106232446607</v>
      </c>
      <c r="W664" s="507">
        <v>0</v>
      </c>
      <c r="X664" s="507">
        <v>1758.253418751448</v>
      </c>
      <c r="Y664" s="507">
        <v>798.09106232446607</v>
      </c>
      <c r="Z664" s="507">
        <v>9228.720544342601</v>
      </c>
      <c r="AA664" s="507">
        <v>4189.0203679286578</v>
      </c>
      <c r="AB664" s="507">
        <v>4193.6904751127004</v>
      </c>
      <c r="AC664" s="507">
        <v>5039.7</v>
      </c>
      <c r="AD664" s="507">
        <v>5035.03</v>
      </c>
      <c r="AE664" s="507">
        <v>4.67</v>
      </c>
      <c r="AF664" s="507">
        <v>5035.03</v>
      </c>
      <c r="AG664" s="507"/>
      <c r="AH664" s="507">
        <v>0</v>
      </c>
      <c r="AI664" s="507">
        <v>0</v>
      </c>
      <c r="AJ664" s="507">
        <v>0</v>
      </c>
      <c r="AK664" s="507">
        <v>0</v>
      </c>
      <c r="AL664" s="507">
        <v>0</v>
      </c>
      <c r="AM664" s="507">
        <v>0</v>
      </c>
      <c r="AN664" s="507"/>
      <c r="AO664" s="507"/>
    </row>
    <row r="665" spans="1:41">
      <c r="A665" s="2"/>
      <c r="B665" s="2"/>
      <c r="C665" s="2"/>
      <c r="D665" s="2"/>
      <c r="E665" s="2"/>
      <c r="F665" s="2"/>
      <c r="G665" s="2"/>
      <c r="I665" s="2"/>
      <c r="J665" s="3"/>
      <c r="K665" s="3"/>
      <c r="L665" s="507"/>
      <c r="M665" s="507"/>
      <c r="N665" s="507"/>
      <c r="O665" s="507"/>
      <c r="P665">
        <v>1</v>
      </c>
      <c r="Q665" s="2" t="s">
        <v>526</v>
      </c>
      <c r="R665" s="3">
        <v>0.15702038124548567</v>
      </c>
      <c r="S665" s="3">
        <v>5.2488000000000001</v>
      </c>
      <c r="T665" s="507">
        <v>291.14690198514211</v>
      </c>
      <c r="U665" s="507">
        <v>0</v>
      </c>
      <c r="V665" s="507">
        <v>291.14690198514211</v>
      </c>
      <c r="W665" s="507">
        <v>0</v>
      </c>
      <c r="X665" s="507"/>
      <c r="Y665" s="507">
        <v>291.14690198514211</v>
      </c>
      <c r="Z665" s="507"/>
      <c r="AA665" s="507">
        <v>1528.1718591396138</v>
      </c>
      <c r="AB665" s="507"/>
      <c r="AC665" s="507"/>
      <c r="AD665" s="507"/>
      <c r="AE665" s="507"/>
      <c r="AF665" s="507"/>
      <c r="AG665" s="507"/>
      <c r="AH665" s="507"/>
      <c r="AI665" s="507">
        <v>0</v>
      </c>
      <c r="AJ665" s="507"/>
      <c r="AK665" s="507"/>
      <c r="AL665" s="507"/>
      <c r="AM665" s="507"/>
      <c r="AN665" s="507"/>
      <c r="AO665" s="507"/>
    </row>
    <row r="666" spans="1:41">
      <c r="A666" s="2" t="s">
        <v>456</v>
      </c>
      <c r="B666" s="2" t="s">
        <v>382</v>
      </c>
      <c r="C666" s="2" t="s">
        <v>379</v>
      </c>
      <c r="D666" s="2" t="s">
        <v>30</v>
      </c>
      <c r="E666" s="2" t="s">
        <v>19</v>
      </c>
      <c r="F666" s="2" t="s">
        <v>380</v>
      </c>
      <c r="G666" s="2" t="s">
        <v>57</v>
      </c>
      <c r="H666">
        <v>1</v>
      </c>
      <c r="I666" s="2" t="s">
        <v>526</v>
      </c>
      <c r="J666" s="3">
        <v>0.15684552284455039</v>
      </c>
      <c r="K666" s="3">
        <v>5.2488000000000001</v>
      </c>
      <c r="L666" s="507">
        <v>698.29799818736262</v>
      </c>
      <c r="M666" s="507">
        <v>0</v>
      </c>
      <c r="N666" s="507">
        <v>698.29799818736262</v>
      </c>
      <c r="O666" s="507">
        <v>0</v>
      </c>
      <c r="P666">
        <v>1</v>
      </c>
      <c r="Q666" s="2" t="s">
        <v>526</v>
      </c>
      <c r="R666" s="3">
        <v>0.15702038124548567</v>
      </c>
      <c r="S666" s="3">
        <v>5.2488000000000001</v>
      </c>
      <c r="T666" s="507">
        <v>19737.759263540014</v>
      </c>
      <c r="U666" s="507">
        <v>0</v>
      </c>
      <c r="V666" s="507">
        <v>19737.759263540014</v>
      </c>
      <c r="W666" s="507">
        <v>0</v>
      </c>
      <c r="X666" s="507">
        <v>698.29799818736262</v>
      </c>
      <c r="Y666" s="507">
        <v>19737.759263540014</v>
      </c>
      <c r="Z666" s="507">
        <v>3665.2265328858289</v>
      </c>
      <c r="AA666" s="507">
        <v>103599.55082246882</v>
      </c>
      <c r="AB666" s="507">
        <v>103715.04823333459</v>
      </c>
      <c r="AC666" s="507">
        <v>-99934.32</v>
      </c>
      <c r="AD666" s="507">
        <v>-100049.82</v>
      </c>
      <c r="AE666" s="507">
        <v>115.5</v>
      </c>
      <c r="AF666" s="507"/>
      <c r="AG666" s="507">
        <v>-100049.82</v>
      </c>
      <c r="AH666" s="507">
        <v>0</v>
      </c>
      <c r="AI666" s="507">
        <v>0</v>
      </c>
      <c r="AJ666" s="507">
        <v>0</v>
      </c>
      <c r="AK666" s="507">
        <v>0</v>
      </c>
      <c r="AL666" s="507">
        <v>0</v>
      </c>
      <c r="AM666" s="507">
        <v>0</v>
      </c>
      <c r="AN666" s="507"/>
      <c r="AO666" s="507"/>
    </row>
    <row r="667" spans="1:41">
      <c r="A667" s="2" t="s">
        <v>457</v>
      </c>
      <c r="B667" s="2" t="s">
        <v>382</v>
      </c>
      <c r="C667" s="2" t="s">
        <v>379</v>
      </c>
      <c r="D667" s="2" t="s">
        <v>30</v>
      </c>
      <c r="E667" s="2" t="s">
        <v>19</v>
      </c>
      <c r="F667" s="2" t="s">
        <v>380</v>
      </c>
      <c r="G667" s="2" t="s">
        <v>57</v>
      </c>
      <c r="H667">
        <v>1</v>
      </c>
      <c r="I667" s="2" t="s">
        <v>526</v>
      </c>
      <c r="J667" s="3">
        <v>0.15684552284455039</v>
      </c>
      <c r="K667" s="3">
        <v>5.2488000000000001</v>
      </c>
      <c r="L667" s="507">
        <v>2183.1157973309409</v>
      </c>
      <c r="M667" s="507">
        <v>0</v>
      </c>
      <c r="N667" s="507">
        <v>2183.1157973309409</v>
      </c>
      <c r="O667" s="507">
        <v>0</v>
      </c>
      <c r="P667">
        <v>1</v>
      </c>
      <c r="Q667" s="2" t="s">
        <v>526</v>
      </c>
      <c r="R667" s="3">
        <v>0.15702038124548567</v>
      </c>
      <c r="S667" s="3">
        <v>5.2488000000000001</v>
      </c>
      <c r="T667" s="507">
        <v>8376.0747689062628</v>
      </c>
      <c r="U667" s="507">
        <v>0</v>
      </c>
      <c r="V667" s="507">
        <v>8376.0747689062628</v>
      </c>
      <c r="W667" s="507">
        <v>0</v>
      </c>
      <c r="X667" s="507">
        <v>2183.1157973309409</v>
      </c>
      <c r="Y667" s="507">
        <v>8376.0747689062628</v>
      </c>
      <c r="Z667" s="507">
        <v>11458.738197030643</v>
      </c>
      <c r="AA667" s="507">
        <v>43964.34124703519</v>
      </c>
      <c r="AB667" s="507">
        <v>44013.354660164296</v>
      </c>
      <c r="AC667" s="507">
        <v>-32505.599999999999</v>
      </c>
      <c r="AD667" s="507">
        <v>-32554.62</v>
      </c>
      <c r="AE667" s="507">
        <v>49.02</v>
      </c>
      <c r="AF667" s="507"/>
      <c r="AG667" s="507">
        <v>-32554.62</v>
      </c>
      <c r="AH667" s="507">
        <v>0</v>
      </c>
      <c r="AI667" s="507">
        <v>0</v>
      </c>
      <c r="AJ667" s="507">
        <v>0</v>
      </c>
      <c r="AK667" s="507">
        <v>0</v>
      </c>
      <c r="AL667" s="507">
        <v>0</v>
      </c>
      <c r="AM667" s="507">
        <v>0</v>
      </c>
      <c r="AN667" s="507"/>
      <c r="AO667" s="507"/>
    </row>
    <row r="668" spans="1:41">
      <c r="A668" s="2" t="s">
        <v>458</v>
      </c>
      <c r="B668" s="2" t="s">
        <v>382</v>
      </c>
      <c r="C668" s="2" t="s">
        <v>379</v>
      </c>
      <c r="D668" s="2" t="s">
        <v>30</v>
      </c>
      <c r="E668" s="2" t="s">
        <v>19</v>
      </c>
      <c r="F668" s="2" t="s">
        <v>380</v>
      </c>
      <c r="G668" s="2" t="s">
        <v>57</v>
      </c>
      <c r="H668">
        <v>1</v>
      </c>
      <c r="I668" s="2" t="s">
        <v>526</v>
      </c>
      <c r="J668" s="3">
        <v>0.15684552284455039</v>
      </c>
      <c r="K668" s="3">
        <v>5.2488000000000001</v>
      </c>
      <c r="L668" s="507">
        <v>1878.455259031841</v>
      </c>
      <c r="M668" s="507">
        <v>0</v>
      </c>
      <c r="N668" s="507">
        <v>1878.455259031841</v>
      </c>
      <c r="O668" s="507">
        <v>0</v>
      </c>
      <c r="P668">
        <v>1</v>
      </c>
      <c r="Q668" s="2" t="s">
        <v>526</v>
      </c>
      <c r="R668" s="3">
        <v>0.15702038124548567</v>
      </c>
      <c r="S668" s="3">
        <v>5.2488000000000001</v>
      </c>
      <c r="T668" s="507">
        <v>11713.885369989319</v>
      </c>
      <c r="U668" s="507">
        <v>0</v>
      </c>
      <c r="V668" s="507">
        <v>11713.885369989319</v>
      </c>
      <c r="W668" s="507">
        <v>0</v>
      </c>
      <c r="X668" s="507">
        <v>1878.455259031841</v>
      </c>
      <c r="Y668" s="507">
        <v>11713.885369989319</v>
      </c>
      <c r="Z668" s="507">
        <v>9859.635963606328</v>
      </c>
      <c r="AA668" s="507">
        <v>61483.84152999994</v>
      </c>
      <c r="AB668" s="507">
        <v>61552.386465286036</v>
      </c>
      <c r="AC668" s="507">
        <v>-51624.21</v>
      </c>
      <c r="AD668" s="507">
        <v>-51692.75</v>
      </c>
      <c r="AE668" s="507">
        <v>68.540000000000006</v>
      </c>
      <c r="AF668" s="507"/>
      <c r="AG668" s="507">
        <v>-51692.75</v>
      </c>
      <c r="AH668" s="507">
        <v>0</v>
      </c>
      <c r="AI668" s="507">
        <v>0</v>
      </c>
      <c r="AJ668" s="507">
        <v>0</v>
      </c>
      <c r="AK668" s="507">
        <v>0</v>
      </c>
      <c r="AL668" s="507">
        <v>0</v>
      </c>
      <c r="AM668" s="507">
        <v>0</v>
      </c>
      <c r="AN668" s="507"/>
      <c r="AO668" s="507"/>
    </row>
    <row r="669" spans="1:41">
      <c r="A669" s="2" t="s">
        <v>459</v>
      </c>
      <c r="B669" s="2" t="s">
        <v>382</v>
      </c>
      <c r="C669" s="2" t="s">
        <v>379</v>
      </c>
      <c r="D669" s="2" t="s">
        <v>30</v>
      </c>
      <c r="E669" s="2" t="s">
        <v>19</v>
      </c>
      <c r="F669" s="2" t="s">
        <v>380</v>
      </c>
      <c r="G669" s="2" t="s">
        <v>57</v>
      </c>
      <c r="H669">
        <v>1</v>
      </c>
      <c r="I669" s="2" t="s">
        <v>526</v>
      </c>
      <c r="J669" s="3">
        <v>0.15684552284455039</v>
      </c>
      <c r="K669" s="3">
        <v>5.2488000000000001</v>
      </c>
      <c r="L669" s="507">
        <v>798.09106232446607</v>
      </c>
      <c r="M669" s="507">
        <v>0</v>
      </c>
      <c r="N669" s="507">
        <v>798.09106232446607</v>
      </c>
      <c r="O669" s="507">
        <v>0</v>
      </c>
      <c r="P669">
        <v>1</v>
      </c>
      <c r="Q669" s="2" t="s">
        <v>526</v>
      </c>
      <c r="R669" s="3">
        <v>0.15702038124548567</v>
      </c>
      <c r="S669" s="3">
        <v>5.2488000000000001</v>
      </c>
      <c r="T669" s="507">
        <v>4853.4133235385871</v>
      </c>
      <c r="U669" s="507">
        <v>0</v>
      </c>
      <c r="V669" s="507">
        <v>4853.4133235385871</v>
      </c>
      <c r="W669" s="507">
        <v>0</v>
      </c>
      <c r="X669" s="507">
        <v>798.09106232446607</v>
      </c>
      <c r="Y669" s="507">
        <v>4853.4133235385871</v>
      </c>
      <c r="Z669" s="507">
        <v>4189.0203679286578</v>
      </c>
      <c r="AA669" s="507">
        <v>25474.595852589337</v>
      </c>
      <c r="AB669" s="507">
        <v>25502.996070934561</v>
      </c>
      <c r="AC669" s="507">
        <v>-21285.58</v>
      </c>
      <c r="AD669" s="507">
        <v>-21313.98</v>
      </c>
      <c r="AE669" s="507">
        <v>28.4</v>
      </c>
      <c r="AF669" s="507"/>
      <c r="AG669" s="507">
        <v>-21313.98</v>
      </c>
      <c r="AH669" s="507">
        <v>0</v>
      </c>
      <c r="AI669" s="507">
        <v>0</v>
      </c>
      <c r="AJ669" s="507">
        <v>0</v>
      </c>
      <c r="AK669" s="507">
        <v>0</v>
      </c>
      <c r="AL669" s="507">
        <v>0</v>
      </c>
      <c r="AM669" s="507">
        <v>0</v>
      </c>
      <c r="AN669" s="507"/>
      <c r="AO669" s="507"/>
    </row>
    <row r="670" spans="1:41">
      <c r="A670" s="2" t="s">
        <v>460</v>
      </c>
      <c r="B670" s="2" t="s">
        <v>382</v>
      </c>
      <c r="C670" s="2" t="s">
        <v>379</v>
      </c>
      <c r="D670" s="2" t="s">
        <v>30</v>
      </c>
      <c r="E670" s="2" t="s">
        <v>19</v>
      </c>
      <c r="F670" s="2" t="s">
        <v>380</v>
      </c>
      <c r="G670" s="2" t="s">
        <v>57</v>
      </c>
      <c r="H670">
        <v>1</v>
      </c>
      <c r="I670" s="2" t="s">
        <v>526</v>
      </c>
      <c r="J670" s="3">
        <v>0.15684552284455039</v>
      </c>
      <c r="K670" s="3">
        <v>5.2488000000000001</v>
      </c>
      <c r="L670" s="507">
        <v>19737.759263540014</v>
      </c>
      <c r="M670" s="507">
        <v>0</v>
      </c>
      <c r="N670" s="507">
        <v>19737.759263540014</v>
      </c>
      <c r="O670" s="507">
        <v>0</v>
      </c>
      <c r="P670">
        <v>1</v>
      </c>
      <c r="Q670" s="2" t="s">
        <v>526</v>
      </c>
      <c r="R670" s="3">
        <v>0.15702038124548567</v>
      </c>
      <c r="S670" s="3">
        <v>5.2488000000000001</v>
      </c>
      <c r="T670" s="507">
        <v>18541.531429386076</v>
      </c>
      <c r="U670" s="507">
        <v>0</v>
      </c>
      <c r="V670" s="507">
        <v>18541.531429386076</v>
      </c>
      <c r="W670" s="507">
        <v>0</v>
      </c>
      <c r="X670" s="507">
        <v>19737.759263540014</v>
      </c>
      <c r="Y670" s="507">
        <v>18541.531429386076</v>
      </c>
      <c r="Z670" s="507">
        <v>103599.55082246882</v>
      </c>
      <c r="AA670" s="507">
        <v>97320.790166561637</v>
      </c>
      <c r="AB670" s="507">
        <v>97429.287734344616</v>
      </c>
      <c r="AC670" s="507">
        <v>6278.76</v>
      </c>
      <c r="AD670" s="507">
        <v>6170.26</v>
      </c>
      <c r="AE670" s="507">
        <v>108.5</v>
      </c>
      <c r="AF670" s="507">
        <v>6170.26</v>
      </c>
      <c r="AG670" s="507"/>
      <c r="AH670" s="507">
        <v>0</v>
      </c>
      <c r="AI670" s="507">
        <v>0</v>
      </c>
      <c r="AJ670" s="507">
        <v>0</v>
      </c>
      <c r="AK670" s="507">
        <v>0</v>
      </c>
      <c r="AL670" s="507">
        <v>0</v>
      </c>
      <c r="AM670" s="507">
        <v>0</v>
      </c>
      <c r="AN670" s="507"/>
      <c r="AO670" s="507"/>
    </row>
    <row r="671" spans="1:41">
      <c r="A671" s="2" t="s">
        <v>461</v>
      </c>
      <c r="B671" s="2" t="s">
        <v>382</v>
      </c>
      <c r="C671" s="2" t="s">
        <v>379</v>
      </c>
      <c r="D671" s="2" t="s">
        <v>30</v>
      </c>
      <c r="E671" s="2" t="s">
        <v>19</v>
      </c>
      <c r="F671" s="2" t="s">
        <v>380</v>
      </c>
      <c r="G671" s="2" t="s">
        <v>170</v>
      </c>
      <c r="H671">
        <v>1</v>
      </c>
      <c r="I671" s="2" t="s">
        <v>526</v>
      </c>
      <c r="J671" s="3">
        <v>5.2308000000000003</v>
      </c>
      <c r="K671" s="3">
        <v>5.2488000000000001</v>
      </c>
      <c r="L671" s="507">
        <v>8376.0747689062628</v>
      </c>
      <c r="M671" s="507">
        <v>0</v>
      </c>
      <c r="N671" s="507">
        <v>8376.0747689062628</v>
      </c>
      <c r="O671" s="507">
        <v>0</v>
      </c>
      <c r="P671">
        <v>1</v>
      </c>
      <c r="Q671" s="2" t="s">
        <v>526</v>
      </c>
      <c r="R671" s="3">
        <v>5.2488000000000001</v>
      </c>
      <c r="S671" s="3">
        <v>5.2488000000000001</v>
      </c>
      <c r="T671" s="507">
        <v>1274.9916425166195</v>
      </c>
      <c r="U671" s="507">
        <v>0</v>
      </c>
      <c r="V671" s="507">
        <v>1274.9916425166195</v>
      </c>
      <c r="W671" s="507">
        <v>0</v>
      </c>
      <c r="X671" s="507">
        <v>8376.0747689062628</v>
      </c>
      <c r="Y671" s="507">
        <v>1274.9916425166195</v>
      </c>
      <c r="Z671" s="507">
        <v>43964.34124703519</v>
      </c>
      <c r="AA671" s="507">
        <v>6692.1761332412325</v>
      </c>
      <c r="AB671" s="507">
        <v>6715.2049568243065</v>
      </c>
      <c r="AC671" s="507">
        <v>37272.17</v>
      </c>
      <c r="AD671" s="507">
        <v>37249.14</v>
      </c>
      <c r="AE671" s="507">
        <v>23.03</v>
      </c>
      <c r="AF671" s="507">
        <v>37249.14</v>
      </c>
      <c r="AG671" s="507"/>
      <c r="AH671" s="507">
        <v>0</v>
      </c>
      <c r="AI671" s="507">
        <v>0</v>
      </c>
      <c r="AJ671" s="507">
        <v>0</v>
      </c>
      <c r="AK671" s="507">
        <v>0</v>
      </c>
      <c r="AL671" s="507">
        <v>0</v>
      </c>
      <c r="AM671" s="507">
        <v>0</v>
      </c>
      <c r="AN671" s="507"/>
      <c r="AO671" s="507"/>
    </row>
    <row r="672" spans="1:41">
      <c r="A672" s="2"/>
      <c r="B672" s="2"/>
      <c r="C672" s="2"/>
      <c r="D672" s="2"/>
      <c r="E672" s="2"/>
      <c r="F672" s="2"/>
      <c r="G672" s="2"/>
      <c r="I672" s="2"/>
      <c r="J672" s="3"/>
      <c r="K672" s="3"/>
      <c r="L672" s="507"/>
      <c r="M672" s="507"/>
      <c r="N672" s="507"/>
      <c r="O672" s="507"/>
      <c r="P672">
        <v>1</v>
      </c>
      <c r="Q672" s="2" t="s">
        <v>526</v>
      </c>
      <c r="R672" s="3">
        <v>0.15702038124548567</v>
      </c>
      <c r="S672" s="3">
        <v>5.2488000000000001</v>
      </c>
      <c r="T672" s="507">
        <v>317.92371441028178</v>
      </c>
      <c r="U672" s="507">
        <v>0</v>
      </c>
      <c r="V672" s="507">
        <v>317.92371441028178</v>
      </c>
      <c r="W672" s="507">
        <v>0</v>
      </c>
      <c r="X672" s="507"/>
      <c r="Y672" s="507">
        <v>317.92371441028178</v>
      </c>
      <c r="Z672" s="507"/>
      <c r="AA672" s="507">
        <v>1668.717992196687</v>
      </c>
      <c r="AB672" s="507"/>
      <c r="AC672" s="507"/>
      <c r="AD672" s="507"/>
      <c r="AE672" s="507"/>
      <c r="AF672" s="507"/>
      <c r="AG672" s="507"/>
      <c r="AH672" s="507"/>
      <c r="AI672" s="507">
        <v>0</v>
      </c>
      <c r="AJ672" s="507"/>
      <c r="AK672" s="507"/>
      <c r="AL672" s="507"/>
      <c r="AM672" s="507"/>
      <c r="AN672" s="507"/>
      <c r="AO672" s="507"/>
    </row>
    <row r="673" spans="1:41">
      <c r="A673" s="2" t="s">
        <v>462</v>
      </c>
      <c r="B673" s="2" t="s">
        <v>382</v>
      </c>
      <c r="C673" s="2" t="s">
        <v>379</v>
      </c>
      <c r="D673" s="2" t="s">
        <v>30</v>
      </c>
      <c r="E673" s="2" t="s">
        <v>19</v>
      </c>
      <c r="F673" s="2" t="s">
        <v>380</v>
      </c>
      <c r="G673" s="2" t="s">
        <v>57</v>
      </c>
      <c r="H673">
        <v>1</v>
      </c>
      <c r="I673" s="2" t="s">
        <v>526</v>
      </c>
      <c r="J673" s="3">
        <v>0.15684552284455039</v>
      </c>
      <c r="K673" s="3">
        <v>5.2488000000000001</v>
      </c>
      <c r="L673" s="507">
        <v>11713.885369989319</v>
      </c>
      <c r="M673" s="507">
        <v>0</v>
      </c>
      <c r="N673" s="507">
        <v>11713.885369989319</v>
      </c>
      <c r="O673" s="507">
        <v>0</v>
      </c>
      <c r="P673">
        <v>1</v>
      </c>
      <c r="Q673" s="2" t="s">
        <v>526</v>
      </c>
      <c r="R673" s="3">
        <v>0.15702038124548567</v>
      </c>
      <c r="S673" s="3">
        <v>5.2488000000000001</v>
      </c>
      <c r="T673" s="507">
        <v>18125.842257017579</v>
      </c>
      <c r="U673" s="507">
        <v>0</v>
      </c>
      <c r="V673" s="507">
        <v>18125.842257017579</v>
      </c>
      <c r="W673" s="507">
        <v>0</v>
      </c>
      <c r="X673" s="507">
        <v>11713.885369989319</v>
      </c>
      <c r="Y673" s="507">
        <v>18125.842257017579</v>
      </c>
      <c r="Z673" s="507">
        <v>61483.84152999994</v>
      </c>
      <c r="AA673" s="507">
        <v>95138.920838633872</v>
      </c>
      <c r="AB673" s="507">
        <v>95244.985960945574</v>
      </c>
      <c r="AC673" s="507">
        <v>-33655.08</v>
      </c>
      <c r="AD673" s="507">
        <v>-33761.14</v>
      </c>
      <c r="AE673" s="507">
        <v>106.06</v>
      </c>
      <c r="AF673" s="507"/>
      <c r="AG673" s="507">
        <v>-33761.14</v>
      </c>
      <c r="AH673" s="507">
        <v>0</v>
      </c>
      <c r="AI673" s="507">
        <v>0</v>
      </c>
      <c r="AJ673" s="507">
        <v>0</v>
      </c>
      <c r="AK673" s="507">
        <v>0</v>
      </c>
      <c r="AL673" s="507">
        <v>0</v>
      </c>
      <c r="AM673" s="507">
        <v>0</v>
      </c>
      <c r="AN673" s="507"/>
      <c r="AO673" s="507"/>
    </row>
    <row r="674" spans="1:41">
      <c r="A674" s="2" t="s">
        <v>463</v>
      </c>
      <c r="B674" s="2" t="s">
        <v>382</v>
      </c>
      <c r="C674" s="2" t="s">
        <v>379</v>
      </c>
      <c r="D674" s="2" t="s">
        <v>30</v>
      </c>
      <c r="E674" s="2" t="s">
        <v>19</v>
      </c>
      <c r="F674" s="2" t="s">
        <v>380</v>
      </c>
      <c r="G674" s="2" t="s">
        <v>57</v>
      </c>
      <c r="H674">
        <v>1</v>
      </c>
      <c r="I674" s="2" t="s">
        <v>526</v>
      </c>
      <c r="J674" s="3">
        <v>0.15684552284455039</v>
      </c>
      <c r="K674" s="3">
        <v>5.2488000000000001</v>
      </c>
      <c r="L674" s="507">
        <v>4853.4133235385871</v>
      </c>
      <c r="M674" s="507">
        <v>0</v>
      </c>
      <c r="N674" s="507">
        <v>4853.4133235385871</v>
      </c>
      <c r="O674" s="507">
        <v>0</v>
      </c>
      <c r="P674">
        <v>1</v>
      </c>
      <c r="Q674" s="2" t="s">
        <v>526</v>
      </c>
      <c r="R674" s="3">
        <v>0.15702038124548567</v>
      </c>
      <c r="S674" s="3">
        <v>5.2488000000000001</v>
      </c>
      <c r="T674" s="507">
        <v>355.12266184048758</v>
      </c>
      <c r="U674" s="507">
        <v>0</v>
      </c>
      <c r="V674" s="507">
        <v>355.12266184048758</v>
      </c>
      <c r="W674" s="507">
        <v>0</v>
      </c>
      <c r="X674" s="507">
        <v>4853.4133235385871</v>
      </c>
      <c r="Y674" s="507">
        <v>355.12266184048758</v>
      </c>
      <c r="Z674" s="507">
        <v>25474.595852589337</v>
      </c>
      <c r="AA674" s="507">
        <v>1863.9678274683513</v>
      </c>
      <c r="AB674" s="507">
        <v>1866.0458621345301</v>
      </c>
      <c r="AC674" s="507">
        <v>23610.63</v>
      </c>
      <c r="AD674" s="507">
        <v>23608.55</v>
      </c>
      <c r="AE674" s="507">
        <v>2.08</v>
      </c>
      <c r="AF674" s="507">
        <v>23608.55</v>
      </c>
      <c r="AG674" s="507"/>
      <c r="AH674" s="507">
        <v>0</v>
      </c>
      <c r="AI674" s="507">
        <v>0</v>
      </c>
      <c r="AJ674" s="507">
        <v>0</v>
      </c>
      <c r="AK674" s="507">
        <v>0</v>
      </c>
      <c r="AL674" s="507">
        <v>0</v>
      </c>
      <c r="AM674" s="507">
        <v>0</v>
      </c>
      <c r="AN674" s="507"/>
      <c r="AO674" s="507"/>
    </row>
    <row r="675" spans="1:41">
      <c r="A675" s="2" t="s">
        <v>464</v>
      </c>
      <c r="B675" s="2" t="s">
        <v>382</v>
      </c>
      <c r="C675" s="2" t="s">
        <v>379</v>
      </c>
      <c r="D675" s="2" t="s">
        <v>30</v>
      </c>
      <c r="E675" s="2" t="s">
        <v>19</v>
      </c>
      <c r="F675" s="2" t="s">
        <v>380</v>
      </c>
      <c r="G675" s="2" t="s">
        <v>170</v>
      </c>
      <c r="H675">
        <v>1</v>
      </c>
      <c r="I675" s="2" t="s">
        <v>526</v>
      </c>
      <c r="J675" s="3">
        <v>5.2308000000000003</v>
      </c>
      <c r="K675" s="3">
        <v>5.2488000000000001</v>
      </c>
      <c r="L675" s="507">
        <v>18541.531429386076</v>
      </c>
      <c r="M675" s="507">
        <v>0</v>
      </c>
      <c r="N675" s="507">
        <v>18541.531429386076</v>
      </c>
      <c r="O675" s="507">
        <v>0</v>
      </c>
      <c r="P675">
        <v>1</v>
      </c>
      <c r="Q675" s="2" t="s">
        <v>526</v>
      </c>
      <c r="R675" s="3">
        <v>5.2488000000000001</v>
      </c>
      <c r="S675" s="3">
        <v>5.2488000000000001</v>
      </c>
      <c r="T675" s="507">
        <v>1402.8957760054377</v>
      </c>
      <c r="U675" s="507">
        <v>0</v>
      </c>
      <c r="V675" s="507">
        <v>1402.8957760054377</v>
      </c>
      <c r="W675" s="507">
        <v>0</v>
      </c>
      <c r="X675" s="507">
        <v>18541.531429386076</v>
      </c>
      <c r="Y675" s="507">
        <v>1402.8957760054377</v>
      </c>
      <c r="Z675" s="507">
        <v>97320.790166561637</v>
      </c>
      <c r="AA675" s="507">
        <v>7363.5193490973415</v>
      </c>
      <c r="AB675" s="507">
        <v>7388.858369569115</v>
      </c>
      <c r="AC675" s="507">
        <v>89957.27</v>
      </c>
      <c r="AD675" s="507">
        <v>89931.93</v>
      </c>
      <c r="AE675" s="507">
        <v>25.34</v>
      </c>
      <c r="AF675" s="507">
        <v>89931.93</v>
      </c>
      <c r="AG675" s="507"/>
      <c r="AH675" s="507">
        <v>0</v>
      </c>
      <c r="AI675" s="507">
        <v>0</v>
      </c>
      <c r="AJ675" s="507">
        <v>0</v>
      </c>
      <c r="AK675" s="507">
        <v>0</v>
      </c>
      <c r="AL675" s="507">
        <v>0</v>
      </c>
      <c r="AM675" s="507">
        <v>0</v>
      </c>
      <c r="AN675" s="507"/>
      <c r="AO675" s="507"/>
    </row>
    <row r="676" spans="1:41">
      <c r="A676" s="2" t="s">
        <v>465</v>
      </c>
      <c r="B676" s="2" t="s">
        <v>382</v>
      </c>
      <c r="C676" s="2" t="s">
        <v>379</v>
      </c>
      <c r="D676" s="2" t="s">
        <v>30</v>
      </c>
      <c r="E676" s="2" t="s">
        <v>19</v>
      </c>
      <c r="F676" s="2" t="s">
        <v>380</v>
      </c>
      <c r="G676" s="2" t="s">
        <v>57</v>
      </c>
      <c r="H676">
        <v>1</v>
      </c>
      <c r="I676" s="2" t="s">
        <v>526</v>
      </c>
      <c r="J676" s="3">
        <v>0.15684552284455039</v>
      </c>
      <c r="K676" s="3">
        <v>5.2488000000000001</v>
      </c>
      <c r="L676" s="507">
        <v>1274.9916425166195</v>
      </c>
      <c r="M676" s="507">
        <v>0</v>
      </c>
      <c r="N676" s="507">
        <v>1274.9916425166195</v>
      </c>
      <c r="O676" s="507">
        <v>0</v>
      </c>
      <c r="P676">
        <v>1</v>
      </c>
      <c r="Q676" s="2" t="s">
        <v>526</v>
      </c>
      <c r="R676" s="3">
        <v>0.15702038124548567</v>
      </c>
      <c r="S676" s="3">
        <v>5.2488000000000001</v>
      </c>
      <c r="T676" s="507">
        <v>896.83443653709946</v>
      </c>
      <c r="U676" s="507">
        <v>0</v>
      </c>
      <c r="V676" s="507">
        <v>896.83443653709946</v>
      </c>
      <c r="W676" s="507">
        <v>0</v>
      </c>
      <c r="X676" s="507">
        <v>1274.9916425166195</v>
      </c>
      <c r="Y676" s="507">
        <v>896.83443653709946</v>
      </c>
      <c r="Z676" s="507">
        <v>6692.1761332412325</v>
      </c>
      <c r="AA676" s="507">
        <v>4707.3045904959281</v>
      </c>
      <c r="AB676" s="507">
        <v>4712.5525041021401</v>
      </c>
      <c r="AC676" s="507">
        <v>1984.87</v>
      </c>
      <c r="AD676" s="507">
        <v>1979.62</v>
      </c>
      <c r="AE676" s="507">
        <v>5.25</v>
      </c>
      <c r="AF676" s="507">
        <v>1979.62</v>
      </c>
      <c r="AG676" s="507"/>
      <c r="AH676" s="507">
        <v>0</v>
      </c>
      <c r="AI676" s="507">
        <v>0</v>
      </c>
      <c r="AJ676" s="507">
        <v>0</v>
      </c>
      <c r="AK676" s="507">
        <v>0</v>
      </c>
      <c r="AL676" s="507">
        <v>0</v>
      </c>
      <c r="AM676" s="507">
        <v>0</v>
      </c>
      <c r="AN676" s="507"/>
      <c r="AO676" s="507"/>
    </row>
    <row r="677" spans="1:41">
      <c r="A677" s="2" t="s">
        <v>466</v>
      </c>
      <c r="B677" s="2" t="s">
        <v>382</v>
      </c>
      <c r="C677" s="2" t="s">
        <v>379</v>
      </c>
      <c r="D677" s="2" t="s">
        <v>30</v>
      </c>
      <c r="E677" s="2" t="s">
        <v>19</v>
      </c>
      <c r="F677" s="2" t="s">
        <v>380</v>
      </c>
      <c r="G677" s="2" t="s">
        <v>57</v>
      </c>
      <c r="H677">
        <v>1</v>
      </c>
      <c r="I677" s="2" t="s">
        <v>526</v>
      </c>
      <c r="J677" s="3">
        <v>0.15684552284455039</v>
      </c>
      <c r="K677" s="3">
        <v>5.2488000000000001</v>
      </c>
      <c r="L677" s="507">
        <v>18125.842257017579</v>
      </c>
      <c r="M677" s="507">
        <v>0</v>
      </c>
      <c r="N677" s="507">
        <v>18125.842257017579</v>
      </c>
      <c r="O677" s="507">
        <v>0</v>
      </c>
      <c r="P677">
        <v>1</v>
      </c>
      <c r="Q677" s="2" t="s">
        <v>526</v>
      </c>
      <c r="R677" s="3">
        <v>0.15702038124548567</v>
      </c>
      <c r="S677" s="3">
        <v>5.2488000000000001</v>
      </c>
      <c r="T677" s="507">
        <v>46093.213144019646</v>
      </c>
      <c r="U677" s="507">
        <v>0</v>
      </c>
      <c r="V677" s="507">
        <v>46093.213144019646</v>
      </c>
      <c r="W677" s="507">
        <v>0</v>
      </c>
      <c r="X677" s="507">
        <v>18125.842257017579</v>
      </c>
      <c r="Y677" s="507">
        <v>46093.213144019646</v>
      </c>
      <c r="Z677" s="507">
        <v>95138.920838633872</v>
      </c>
      <c r="AA677" s="507">
        <v>241934.05715033034</v>
      </c>
      <c r="AB677" s="507">
        <v>242203.77605334943</v>
      </c>
      <c r="AC677" s="507">
        <v>-146795.14000000001</v>
      </c>
      <c r="AD677" s="507">
        <v>-147064.85999999999</v>
      </c>
      <c r="AE677" s="507">
        <v>269.72000000000003</v>
      </c>
      <c r="AF677" s="507"/>
      <c r="AG677" s="507">
        <v>-147064.85999999999</v>
      </c>
      <c r="AH677" s="507">
        <v>0</v>
      </c>
      <c r="AI677" s="507">
        <v>0</v>
      </c>
      <c r="AJ677" s="507">
        <v>0</v>
      </c>
      <c r="AK677" s="507">
        <v>0</v>
      </c>
      <c r="AL677" s="507">
        <v>0</v>
      </c>
      <c r="AM677" s="507">
        <v>0</v>
      </c>
      <c r="AN677" s="507"/>
      <c r="AO677" s="507"/>
    </row>
    <row r="678" spans="1:41">
      <c r="A678" s="2" t="s">
        <v>467</v>
      </c>
      <c r="B678" s="2" t="s">
        <v>382</v>
      </c>
      <c r="C678" s="2" t="s">
        <v>379</v>
      </c>
      <c r="D678" s="2" t="s">
        <v>30</v>
      </c>
      <c r="E678" s="2" t="s">
        <v>19</v>
      </c>
      <c r="F678" s="2" t="s">
        <v>380</v>
      </c>
      <c r="G678" s="2" t="s">
        <v>57</v>
      </c>
      <c r="H678">
        <v>1</v>
      </c>
      <c r="I678" s="2" t="s">
        <v>526</v>
      </c>
      <c r="J678" s="3">
        <v>0.15684552284455039</v>
      </c>
      <c r="K678" s="3">
        <v>5.2488000000000001</v>
      </c>
      <c r="L678" s="507">
        <v>355.12266184048758</v>
      </c>
      <c r="M678" s="507">
        <v>0</v>
      </c>
      <c r="N678" s="507">
        <v>355.12266184048758</v>
      </c>
      <c r="O678" s="507">
        <v>0</v>
      </c>
      <c r="P678">
        <v>1</v>
      </c>
      <c r="Q678" s="2" t="s">
        <v>526</v>
      </c>
      <c r="R678" s="3">
        <v>0.15702038124548567</v>
      </c>
      <c r="S678" s="3">
        <v>5.2488000000000001</v>
      </c>
      <c r="T678" s="507">
        <v>3271.0850124939498</v>
      </c>
      <c r="U678" s="507">
        <v>0</v>
      </c>
      <c r="V678" s="507">
        <v>3271.0850124939498</v>
      </c>
      <c r="W678" s="507">
        <v>0</v>
      </c>
      <c r="X678" s="507">
        <v>355.12266184048758</v>
      </c>
      <c r="Y678" s="507">
        <v>3271.0850124939498</v>
      </c>
      <c r="Z678" s="507">
        <v>1863.9678274683513</v>
      </c>
      <c r="AA678" s="507">
        <v>17169.271013578244</v>
      </c>
      <c r="AB678" s="507">
        <v>17188.412084488085</v>
      </c>
      <c r="AC678" s="507">
        <v>-15305.3</v>
      </c>
      <c r="AD678" s="507">
        <v>-15324.44</v>
      </c>
      <c r="AE678" s="507">
        <v>19.14</v>
      </c>
      <c r="AF678" s="507"/>
      <c r="AG678" s="507">
        <v>-15324.44</v>
      </c>
      <c r="AH678" s="507">
        <v>0</v>
      </c>
      <c r="AI678" s="507">
        <v>0</v>
      </c>
      <c r="AJ678" s="507">
        <v>0</v>
      </c>
      <c r="AK678" s="507">
        <v>0</v>
      </c>
      <c r="AL678" s="507">
        <v>0</v>
      </c>
      <c r="AM678" s="507">
        <v>0</v>
      </c>
      <c r="AN678" s="507"/>
      <c r="AO678" s="507"/>
    </row>
    <row r="679" spans="1:41">
      <c r="A679" s="2" t="s">
        <v>468</v>
      </c>
      <c r="B679" s="2" t="s">
        <v>382</v>
      </c>
      <c r="C679" s="2" t="s">
        <v>379</v>
      </c>
      <c r="D679" s="2" t="s">
        <v>30</v>
      </c>
      <c r="E679" s="2" t="s">
        <v>19</v>
      </c>
      <c r="F679" s="2" t="s">
        <v>380</v>
      </c>
      <c r="G679" s="2" t="s">
        <v>57</v>
      </c>
      <c r="H679">
        <v>1</v>
      </c>
      <c r="I679" s="2" t="s">
        <v>526</v>
      </c>
      <c r="J679" s="3">
        <v>0.15684552284455039</v>
      </c>
      <c r="K679" s="3">
        <v>5.2488000000000001</v>
      </c>
      <c r="L679" s="507">
        <v>5599.4161401096117</v>
      </c>
      <c r="M679" s="507">
        <v>0</v>
      </c>
      <c r="N679" s="507">
        <v>5599.4161401096117</v>
      </c>
      <c r="O679" s="507">
        <v>0</v>
      </c>
      <c r="P679">
        <v>1</v>
      </c>
      <c r="Q679" s="2" t="s">
        <v>526</v>
      </c>
      <c r="R679" s="3">
        <v>0.15702038124548567</v>
      </c>
      <c r="S679" s="3">
        <v>5.2488000000000001</v>
      </c>
      <c r="T679" s="507">
        <v>4635.3828573465189</v>
      </c>
      <c r="U679" s="507">
        <v>0</v>
      </c>
      <c r="V679" s="507">
        <v>4635.3828573465189</v>
      </c>
      <c r="W679" s="507">
        <v>0</v>
      </c>
      <c r="X679" s="507">
        <v>5599.4161401096117</v>
      </c>
      <c r="Y679" s="507">
        <v>4635.3828573465189</v>
      </c>
      <c r="Z679" s="507">
        <v>29390.215436207331</v>
      </c>
      <c r="AA679" s="507">
        <v>24330.197541640409</v>
      </c>
      <c r="AB679" s="507">
        <v>24357.321933586154</v>
      </c>
      <c r="AC679" s="507">
        <v>5060.0200000000004</v>
      </c>
      <c r="AD679" s="507">
        <v>5032.8900000000003</v>
      </c>
      <c r="AE679" s="507">
        <v>27.13</v>
      </c>
      <c r="AF679" s="507">
        <v>5032.8900000000003</v>
      </c>
      <c r="AG679" s="507"/>
      <c r="AH679" s="507">
        <v>0</v>
      </c>
      <c r="AI679" s="507">
        <v>0</v>
      </c>
      <c r="AJ679" s="507">
        <v>0</v>
      </c>
      <c r="AK679" s="507">
        <v>0</v>
      </c>
      <c r="AL679" s="507">
        <v>0</v>
      </c>
      <c r="AM679" s="507">
        <v>0</v>
      </c>
      <c r="AN679" s="507"/>
      <c r="AO679" s="507"/>
    </row>
    <row r="680" spans="1:41">
      <c r="A680" s="2" t="s">
        <v>469</v>
      </c>
      <c r="B680" s="2" t="s">
        <v>382</v>
      </c>
      <c r="C680" s="2" t="s">
        <v>379</v>
      </c>
      <c r="D680" s="2" t="s">
        <v>30</v>
      </c>
      <c r="E680" s="2" t="s">
        <v>19</v>
      </c>
      <c r="F680" s="2" t="s">
        <v>380</v>
      </c>
      <c r="G680" s="2" t="s">
        <v>57</v>
      </c>
      <c r="H680">
        <v>1</v>
      </c>
      <c r="I680" s="2" t="s">
        <v>526</v>
      </c>
      <c r="J680" s="3">
        <v>0.15684552284455039</v>
      </c>
      <c r="K680" s="3">
        <v>5.2488000000000001</v>
      </c>
      <c r="L680" s="507">
        <v>13831.384332404936</v>
      </c>
      <c r="M680" s="507">
        <v>0</v>
      </c>
      <c r="N680" s="507">
        <v>13831.384332404936</v>
      </c>
      <c r="O680" s="507">
        <v>0</v>
      </c>
      <c r="P680">
        <v>1</v>
      </c>
      <c r="Q680" s="2" t="s">
        <v>526</v>
      </c>
      <c r="R680" s="3">
        <v>0.15702038124548567</v>
      </c>
      <c r="S680" s="3">
        <v>5.2488000000000001</v>
      </c>
      <c r="T680" s="507">
        <v>2310.3271510692493</v>
      </c>
      <c r="U680" s="507">
        <v>0</v>
      </c>
      <c r="V680" s="507">
        <v>2310.3271510692493</v>
      </c>
      <c r="W680" s="507">
        <v>0</v>
      </c>
      <c r="X680" s="507">
        <v>13831.384332404936</v>
      </c>
      <c r="Y680" s="507">
        <v>2310.3271510692493</v>
      </c>
      <c r="Z680" s="507">
        <v>72598.170083927034</v>
      </c>
      <c r="AA680" s="507">
        <v>12126.445150532276</v>
      </c>
      <c r="AB680" s="507">
        <v>12139.964253721169</v>
      </c>
      <c r="AC680" s="507">
        <v>60471.72</v>
      </c>
      <c r="AD680" s="507">
        <v>60458.21</v>
      </c>
      <c r="AE680" s="507">
        <v>13.51</v>
      </c>
      <c r="AF680" s="507">
        <v>60458.21</v>
      </c>
      <c r="AG680" s="507"/>
      <c r="AH680" s="507">
        <v>0</v>
      </c>
      <c r="AI680" s="507">
        <v>0</v>
      </c>
      <c r="AJ680" s="507">
        <v>0</v>
      </c>
      <c r="AK680" s="507">
        <v>0</v>
      </c>
      <c r="AL680" s="507">
        <v>0</v>
      </c>
      <c r="AM680" s="507">
        <v>0</v>
      </c>
      <c r="AN680" s="507"/>
      <c r="AO680" s="507"/>
    </row>
    <row r="681" spans="1:41">
      <c r="A681" s="2" t="s">
        <v>470</v>
      </c>
      <c r="B681" s="2" t="s">
        <v>382</v>
      </c>
      <c r="C681" s="2" t="s">
        <v>379</v>
      </c>
      <c r="D681" s="2" t="s">
        <v>30</v>
      </c>
      <c r="E681" s="2" t="s">
        <v>19</v>
      </c>
      <c r="F681" s="2" t="s">
        <v>380</v>
      </c>
      <c r="G681" s="2" t="s">
        <v>57</v>
      </c>
      <c r="H681">
        <v>1</v>
      </c>
      <c r="I681" s="2" t="s">
        <v>526</v>
      </c>
      <c r="J681" s="3">
        <v>0.15684552284455039</v>
      </c>
      <c r="K681" s="3">
        <v>5.2488000000000001</v>
      </c>
      <c r="L681" s="507">
        <v>1402.8957760054377</v>
      </c>
      <c r="M681" s="507">
        <v>0</v>
      </c>
      <c r="N681" s="507">
        <v>1402.8957760054377</v>
      </c>
      <c r="O681" s="507">
        <v>0</v>
      </c>
      <c r="P681">
        <v>1</v>
      </c>
      <c r="Q681" s="2" t="s">
        <v>526</v>
      </c>
      <c r="R681" s="3">
        <v>0.15702038124548567</v>
      </c>
      <c r="S681" s="3">
        <v>5.2488000000000001</v>
      </c>
      <c r="T681" s="507">
        <v>4485.8543780772761</v>
      </c>
      <c r="U681" s="507">
        <v>0</v>
      </c>
      <c r="V681" s="507">
        <v>4485.8543780772761</v>
      </c>
      <c r="W681" s="507">
        <v>0</v>
      </c>
      <c r="X681" s="507">
        <v>1402.8957760054377</v>
      </c>
      <c r="Y681" s="507">
        <v>4485.8543780772761</v>
      </c>
      <c r="Z681" s="507">
        <v>7363.5193490973415</v>
      </c>
      <c r="AA681" s="507">
        <v>23545.352459652007</v>
      </c>
      <c r="AB681" s="507">
        <v>23571.601871212406</v>
      </c>
      <c r="AC681" s="507">
        <v>-16181.83</v>
      </c>
      <c r="AD681" s="507">
        <v>-16208.08</v>
      </c>
      <c r="AE681" s="507">
        <v>26.25</v>
      </c>
      <c r="AF681" s="507"/>
      <c r="AG681" s="507">
        <v>-16208.08</v>
      </c>
      <c r="AH681" s="507">
        <v>0</v>
      </c>
      <c r="AI681" s="507">
        <v>0</v>
      </c>
      <c r="AJ681" s="507">
        <v>0</v>
      </c>
      <c r="AK681" s="507">
        <v>0</v>
      </c>
      <c r="AL681" s="507">
        <v>0</v>
      </c>
      <c r="AM681" s="507">
        <v>0</v>
      </c>
      <c r="AN681" s="507"/>
      <c r="AO681" s="507"/>
    </row>
    <row r="682" spans="1:41">
      <c r="A682" s="2" t="s">
        <v>471</v>
      </c>
      <c r="B682" s="2" t="s">
        <v>382</v>
      </c>
      <c r="C682" s="2" t="s">
        <v>379</v>
      </c>
      <c r="D682" s="2" t="s">
        <v>30</v>
      </c>
      <c r="E682" s="2" t="s">
        <v>19</v>
      </c>
      <c r="F682" s="2" t="s">
        <v>380</v>
      </c>
      <c r="G682" s="2" t="s">
        <v>57</v>
      </c>
      <c r="H682">
        <v>1</v>
      </c>
      <c r="I682" s="2" t="s">
        <v>526</v>
      </c>
      <c r="J682" s="3">
        <v>0.15684552284455039</v>
      </c>
      <c r="K682" s="3">
        <v>5.2488000000000001</v>
      </c>
      <c r="L682" s="507">
        <v>896.83443653709946</v>
      </c>
      <c r="M682" s="507">
        <v>0</v>
      </c>
      <c r="N682" s="507">
        <v>896.83443653709946</v>
      </c>
      <c r="O682" s="507">
        <v>0</v>
      </c>
      <c r="P682">
        <v>1</v>
      </c>
      <c r="Q682" s="2" t="s">
        <v>526</v>
      </c>
      <c r="R682" s="3">
        <v>0.15702038124548567</v>
      </c>
      <c r="S682" s="3">
        <v>5.2488000000000001</v>
      </c>
      <c r="T682" s="507">
        <v>1528.7305752929731</v>
      </c>
      <c r="U682" s="507">
        <v>0</v>
      </c>
      <c r="V682" s="507">
        <v>1528.7305752929731</v>
      </c>
      <c r="W682" s="507">
        <v>0</v>
      </c>
      <c r="X682" s="507">
        <v>896.83443653709946</v>
      </c>
      <c r="Y682" s="507">
        <v>1528.7305752929731</v>
      </c>
      <c r="Z682" s="507">
        <v>4707.3045904959281</v>
      </c>
      <c r="AA682" s="507">
        <v>8024.0010435977574</v>
      </c>
      <c r="AB682" s="507">
        <v>8032.9465586889155</v>
      </c>
      <c r="AC682" s="507">
        <v>-3316.7</v>
      </c>
      <c r="AD682" s="507">
        <v>-3325.64</v>
      </c>
      <c r="AE682" s="507">
        <v>8.94</v>
      </c>
      <c r="AF682" s="507"/>
      <c r="AG682" s="507">
        <v>-3325.64</v>
      </c>
      <c r="AH682" s="507">
        <v>0</v>
      </c>
      <c r="AI682" s="507">
        <v>0</v>
      </c>
      <c r="AJ682" s="507">
        <v>0</v>
      </c>
      <c r="AK682" s="507">
        <v>0</v>
      </c>
      <c r="AL682" s="507">
        <v>0</v>
      </c>
      <c r="AM682" s="507">
        <v>0</v>
      </c>
      <c r="AN682" s="507"/>
      <c r="AO682" s="507"/>
    </row>
    <row r="683" spans="1:41">
      <c r="A683" s="2" t="s">
        <v>472</v>
      </c>
      <c r="B683" s="2" t="s">
        <v>382</v>
      </c>
      <c r="C683" s="2" t="s">
        <v>379</v>
      </c>
      <c r="D683" s="2" t="s">
        <v>30</v>
      </c>
      <c r="E683" s="2" t="s">
        <v>19</v>
      </c>
      <c r="F683" s="2" t="s">
        <v>380</v>
      </c>
      <c r="G683" s="2" t="s">
        <v>57</v>
      </c>
      <c r="H683">
        <v>1</v>
      </c>
      <c r="I683" s="2" t="s">
        <v>526</v>
      </c>
      <c r="J683" s="3">
        <v>0.15684552284455039</v>
      </c>
      <c r="K683" s="3">
        <v>5.2488000000000001</v>
      </c>
      <c r="L683" s="507">
        <v>25122.870439518552</v>
      </c>
      <c r="M683" s="507">
        <v>0</v>
      </c>
      <c r="N683" s="507">
        <v>25122.870439518552</v>
      </c>
      <c r="O683" s="507">
        <v>0</v>
      </c>
      <c r="P683">
        <v>1</v>
      </c>
      <c r="Q683" s="2" t="s">
        <v>526</v>
      </c>
      <c r="R683" s="3">
        <v>0.15702038124548567</v>
      </c>
      <c r="S683" s="3">
        <v>5.2488000000000001</v>
      </c>
      <c r="T683" s="507">
        <v>3176.1568574298713</v>
      </c>
      <c r="U683" s="507">
        <v>0</v>
      </c>
      <c r="V683" s="507">
        <v>3176.1568574298713</v>
      </c>
      <c r="W683" s="507">
        <v>0</v>
      </c>
      <c r="X683" s="507">
        <v>25122.870439518552</v>
      </c>
      <c r="Y683" s="507">
        <v>3176.1568574298713</v>
      </c>
      <c r="Z683" s="507">
        <v>131864.92236294498</v>
      </c>
      <c r="AA683" s="507">
        <v>16671.01211327791</v>
      </c>
      <c r="AB683" s="507">
        <v>16689.597702890114</v>
      </c>
      <c r="AC683" s="507">
        <v>115193.91</v>
      </c>
      <c r="AD683" s="507">
        <v>115175.32</v>
      </c>
      <c r="AE683" s="507">
        <v>18.59</v>
      </c>
      <c r="AF683" s="507">
        <v>115175.32</v>
      </c>
      <c r="AG683" s="507"/>
      <c r="AH683" s="507">
        <v>0</v>
      </c>
      <c r="AI683" s="507">
        <v>0</v>
      </c>
      <c r="AJ683" s="507">
        <v>0</v>
      </c>
      <c r="AK683" s="507">
        <v>0</v>
      </c>
      <c r="AL683" s="507">
        <v>0</v>
      </c>
      <c r="AM683" s="507">
        <v>0</v>
      </c>
      <c r="AN683" s="507"/>
      <c r="AO683" s="507"/>
    </row>
    <row r="684" spans="1:41">
      <c r="A684" s="2" t="s">
        <v>473</v>
      </c>
      <c r="B684" s="2" t="s">
        <v>382</v>
      </c>
      <c r="C684" s="2" t="s">
        <v>379</v>
      </c>
      <c r="D684" s="2" t="s">
        <v>30</v>
      </c>
      <c r="E684" s="2" t="s">
        <v>19</v>
      </c>
      <c r="F684" s="2" t="s">
        <v>380</v>
      </c>
      <c r="G684" s="2" t="s">
        <v>57</v>
      </c>
      <c r="H684">
        <v>1</v>
      </c>
      <c r="I684" s="2" t="s">
        <v>526</v>
      </c>
      <c r="J684" s="3">
        <v>0.15684552284455039</v>
      </c>
      <c r="K684" s="3">
        <v>5.2488000000000001</v>
      </c>
      <c r="L684" s="507">
        <v>46093.213144019646</v>
      </c>
      <c r="M684" s="507">
        <v>0</v>
      </c>
      <c r="N684" s="507">
        <v>46093.213144019646</v>
      </c>
      <c r="O684" s="507">
        <v>0</v>
      </c>
      <c r="P684">
        <v>1</v>
      </c>
      <c r="Q684" s="2" t="s">
        <v>526</v>
      </c>
      <c r="R684" s="3">
        <v>0.15702038124548567</v>
      </c>
      <c r="S684" s="3">
        <v>5.2488000000000001</v>
      </c>
      <c r="T684" s="507">
        <v>16670.867351766559</v>
      </c>
      <c r="U684" s="507">
        <v>0</v>
      </c>
      <c r="V684" s="507">
        <v>16670.867351766559</v>
      </c>
      <c r="W684" s="507">
        <v>0</v>
      </c>
      <c r="X684" s="507">
        <v>46093.213144019646</v>
      </c>
      <c r="Y684" s="507">
        <v>16670.867351766559</v>
      </c>
      <c r="Z684" s="507">
        <v>241934.05715033034</v>
      </c>
      <c r="AA684" s="507">
        <v>87502.048555952322</v>
      </c>
      <c r="AB684" s="507">
        <v>87599.599751622853</v>
      </c>
      <c r="AC684" s="507">
        <v>154432.01</v>
      </c>
      <c r="AD684" s="507">
        <v>154334.46</v>
      </c>
      <c r="AE684" s="507">
        <v>97.55</v>
      </c>
      <c r="AF684" s="507">
        <v>154334.46</v>
      </c>
      <c r="AG684" s="507"/>
      <c r="AH684" s="507">
        <v>0</v>
      </c>
      <c r="AI684" s="507">
        <v>0</v>
      </c>
      <c r="AJ684" s="507">
        <v>0</v>
      </c>
      <c r="AK684" s="507">
        <v>0</v>
      </c>
      <c r="AL684" s="507">
        <v>0</v>
      </c>
      <c r="AM684" s="507">
        <v>0</v>
      </c>
      <c r="AN684" s="507"/>
      <c r="AO684" s="507"/>
    </row>
    <row r="685" spans="1:41">
      <c r="A685" s="2"/>
      <c r="B685" s="2"/>
      <c r="C685" s="2"/>
      <c r="D685" s="2"/>
      <c r="E685" s="2"/>
      <c r="F685" s="2"/>
      <c r="G685" s="2"/>
      <c r="I685" s="2"/>
      <c r="J685" s="3"/>
      <c r="K685" s="3"/>
      <c r="L685" s="507"/>
      <c r="M685" s="507"/>
      <c r="N685" s="507"/>
      <c r="O685" s="507"/>
      <c r="P685">
        <v>1</v>
      </c>
      <c r="Q685" s="2" t="s">
        <v>526</v>
      </c>
      <c r="R685" s="3">
        <v>0.15702038124548567</v>
      </c>
      <c r="S685" s="3">
        <v>5.2488000000000001</v>
      </c>
      <c r="T685" s="507">
        <v>698.29799818736262</v>
      </c>
      <c r="U685" s="507">
        <v>0</v>
      </c>
      <c r="V685" s="507">
        <v>698.29799818736262</v>
      </c>
      <c r="W685" s="507">
        <v>0</v>
      </c>
      <c r="X685" s="507"/>
      <c r="Y685" s="507">
        <v>698.29799818736262</v>
      </c>
      <c r="Z685" s="507"/>
      <c r="AA685" s="507">
        <v>3665.2265328858289</v>
      </c>
      <c r="AB685" s="507"/>
      <c r="AC685" s="507"/>
      <c r="AD685" s="507"/>
      <c r="AE685" s="507"/>
      <c r="AF685" s="507"/>
      <c r="AG685" s="507"/>
      <c r="AH685" s="507"/>
      <c r="AI685" s="507">
        <v>0</v>
      </c>
      <c r="AJ685" s="507"/>
      <c r="AK685" s="507"/>
      <c r="AL685" s="507"/>
      <c r="AM685" s="507"/>
      <c r="AN685" s="507"/>
      <c r="AO685" s="507"/>
    </row>
    <row r="686" spans="1:41">
      <c r="A686" s="2" t="s">
        <v>474</v>
      </c>
      <c r="B686" s="2" t="s">
        <v>382</v>
      </c>
      <c r="C686" s="2" t="s">
        <v>379</v>
      </c>
      <c r="D686" s="2" t="s">
        <v>30</v>
      </c>
      <c r="E686" s="2" t="s">
        <v>19</v>
      </c>
      <c r="F686" s="2" t="s">
        <v>380</v>
      </c>
      <c r="G686" s="2" t="s">
        <v>57</v>
      </c>
      <c r="H686">
        <v>1</v>
      </c>
      <c r="I686" s="2" t="s">
        <v>526</v>
      </c>
      <c r="J686" s="3">
        <v>0.15684552284455039</v>
      </c>
      <c r="K686" s="3">
        <v>5.2488000000000001</v>
      </c>
      <c r="L686" s="507">
        <v>1076.3366471182578</v>
      </c>
      <c r="M686" s="507">
        <v>0</v>
      </c>
      <c r="N686" s="507">
        <v>1076.3366471182578</v>
      </c>
      <c r="O686" s="507">
        <v>0</v>
      </c>
      <c r="P686">
        <v>1</v>
      </c>
      <c r="Q686" s="2" t="s">
        <v>526</v>
      </c>
      <c r="R686" s="3">
        <v>0.15702038124548567</v>
      </c>
      <c r="S686" s="3">
        <v>5.2488000000000001</v>
      </c>
      <c r="T686" s="507">
        <v>1931.2993712479879</v>
      </c>
      <c r="U686" s="507">
        <v>0</v>
      </c>
      <c r="V686" s="507">
        <v>1931.2993712479879</v>
      </c>
      <c r="W686" s="507">
        <v>0</v>
      </c>
      <c r="X686" s="507">
        <v>1076.3366471182578</v>
      </c>
      <c r="Y686" s="507">
        <v>1931.2993712479879</v>
      </c>
      <c r="Z686" s="507">
        <v>5649.4757933943119</v>
      </c>
      <c r="AA686" s="507">
        <v>10137.004139806439</v>
      </c>
      <c r="AB686" s="507">
        <v>10148.305325214949</v>
      </c>
      <c r="AC686" s="507">
        <v>-4487.53</v>
      </c>
      <c r="AD686" s="507">
        <v>-4498.83</v>
      </c>
      <c r="AE686" s="507">
        <v>11.3</v>
      </c>
      <c r="AF686" s="507"/>
      <c r="AG686" s="507">
        <v>-4498.83</v>
      </c>
      <c r="AH686" s="507">
        <v>0</v>
      </c>
      <c r="AI686" s="507">
        <v>0</v>
      </c>
      <c r="AJ686" s="507">
        <v>0</v>
      </c>
      <c r="AK686" s="507">
        <v>0</v>
      </c>
      <c r="AL686" s="507">
        <v>0</v>
      </c>
      <c r="AM686" s="507">
        <v>0</v>
      </c>
      <c r="AN686" s="507"/>
      <c r="AO686" s="507"/>
    </row>
    <row r="687" spans="1:41">
      <c r="A687" s="2" t="s">
        <v>475</v>
      </c>
      <c r="B687" s="2" t="s">
        <v>382</v>
      </c>
      <c r="C687" s="2" t="s">
        <v>379</v>
      </c>
      <c r="D687" s="2" t="s">
        <v>30</v>
      </c>
      <c r="E687" s="2" t="s">
        <v>19</v>
      </c>
      <c r="F687" s="2" t="s">
        <v>380</v>
      </c>
      <c r="G687" s="2" t="s">
        <v>57</v>
      </c>
      <c r="H687">
        <v>1</v>
      </c>
      <c r="I687" s="2" t="s">
        <v>526</v>
      </c>
      <c r="J687" s="3">
        <v>0.15684552284455039</v>
      </c>
      <c r="K687" s="3">
        <v>5.2488000000000001</v>
      </c>
      <c r="L687" s="507">
        <v>3271.0850124939498</v>
      </c>
      <c r="M687" s="507">
        <v>0</v>
      </c>
      <c r="N687" s="507">
        <v>3271.0850124939498</v>
      </c>
      <c r="O687" s="507">
        <v>0</v>
      </c>
      <c r="P687">
        <v>1</v>
      </c>
      <c r="Q687" s="2" t="s">
        <v>526</v>
      </c>
      <c r="R687" s="3">
        <v>0.15702038124548567</v>
      </c>
      <c r="S687" s="3">
        <v>5.2488000000000001</v>
      </c>
      <c r="T687" s="507">
        <v>850.66751856272094</v>
      </c>
      <c r="U687" s="507">
        <v>0</v>
      </c>
      <c r="V687" s="507">
        <v>850.66751856272094</v>
      </c>
      <c r="W687" s="507">
        <v>0</v>
      </c>
      <c r="X687" s="507">
        <v>3271.0850124939498</v>
      </c>
      <c r="Y687" s="507">
        <v>850.66751856272094</v>
      </c>
      <c r="Z687" s="507">
        <v>17169.271013578244</v>
      </c>
      <c r="AA687" s="507">
        <v>4464.9836714320099</v>
      </c>
      <c r="AB687" s="507">
        <v>4469.9614348442465</v>
      </c>
      <c r="AC687" s="507">
        <v>12704.29</v>
      </c>
      <c r="AD687" s="507">
        <v>12699.31</v>
      </c>
      <c r="AE687" s="507">
        <v>4.9800000000000004</v>
      </c>
      <c r="AF687" s="507">
        <v>12699.31</v>
      </c>
      <c r="AG687" s="507"/>
      <c r="AH687" s="507">
        <v>0</v>
      </c>
      <c r="AI687" s="507">
        <v>0</v>
      </c>
      <c r="AJ687" s="507">
        <v>0</v>
      </c>
      <c r="AK687" s="507">
        <v>0</v>
      </c>
      <c r="AL687" s="507">
        <v>0</v>
      </c>
      <c r="AM687" s="507">
        <v>0</v>
      </c>
      <c r="AN687" s="507"/>
      <c r="AO687" s="507"/>
    </row>
    <row r="688" spans="1:41">
      <c r="A688" s="2" t="s">
        <v>476</v>
      </c>
      <c r="B688" s="2" t="s">
        <v>382</v>
      </c>
      <c r="C688" s="2" t="s">
        <v>379</v>
      </c>
      <c r="D688" s="2" t="s">
        <v>30</v>
      </c>
      <c r="E688" s="2" t="s">
        <v>19</v>
      </c>
      <c r="F688" s="2" t="s">
        <v>380</v>
      </c>
      <c r="G688" s="2" t="s">
        <v>57</v>
      </c>
      <c r="H688">
        <v>1</v>
      </c>
      <c r="I688" s="2" t="s">
        <v>526</v>
      </c>
      <c r="J688" s="3">
        <v>0.15684552284455039</v>
      </c>
      <c r="K688" s="3">
        <v>5.2488000000000001</v>
      </c>
      <c r="L688" s="507">
        <v>4635.3828573465189</v>
      </c>
      <c r="M688" s="507">
        <v>0</v>
      </c>
      <c r="N688" s="507">
        <v>4635.3828573465189</v>
      </c>
      <c r="O688" s="507">
        <v>0</v>
      </c>
      <c r="P688">
        <v>1</v>
      </c>
      <c r="Q688" s="2" t="s">
        <v>526</v>
      </c>
      <c r="R688" s="3">
        <v>0.15702038124548567</v>
      </c>
      <c r="S688" s="3">
        <v>5.2488000000000001</v>
      </c>
      <c r="T688" s="507">
        <v>912.81678804379249</v>
      </c>
      <c r="U688" s="507">
        <v>0</v>
      </c>
      <c r="V688" s="507">
        <v>912.81678804379249</v>
      </c>
      <c r="W688" s="507">
        <v>0</v>
      </c>
      <c r="X688" s="507">
        <v>4635.3828573465189</v>
      </c>
      <c r="Y688" s="507">
        <v>912.81678804379249</v>
      </c>
      <c r="Z688" s="507">
        <v>24330.197541640409</v>
      </c>
      <c r="AA688" s="507">
        <v>4791.1927570842581</v>
      </c>
      <c r="AB688" s="507">
        <v>4796.5341929689585</v>
      </c>
      <c r="AC688" s="507">
        <v>19539</v>
      </c>
      <c r="AD688" s="507">
        <v>19533.66</v>
      </c>
      <c r="AE688" s="507">
        <v>5.34</v>
      </c>
      <c r="AF688" s="507">
        <v>19533.66</v>
      </c>
      <c r="AG688" s="507"/>
      <c r="AH688" s="507">
        <v>0</v>
      </c>
      <c r="AI688" s="507">
        <v>0</v>
      </c>
      <c r="AJ688" s="507">
        <v>0</v>
      </c>
      <c r="AK688" s="507">
        <v>0</v>
      </c>
      <c r="AL688" s="507">
        <v>0</v>
      </c>
      <c r="AM688" s="507">
        <v>0</v>
      </c>
      <c r="AN688" s="507"/>
      <c r="AO688" s="507"/>
    </row>
    <row r="689" spans="1:41">
      <c r="A689" s="2" t="s">
        <v>477</v>
      </c>
      <c r="B689" s="2" t="s">
        <v>382</v>
      </c>
      <c r="C689" s="2" t="s">
        <v>379</v>
      </c>
      <c r="D689" s="2" t="s">
        <v>30</v>
      </c>
      <c r="E689" s="2" t="s">
        <v>19</v>
      </c>
      <c r="F689" s="2" t="s">
        <v>380</v>
      </c>
      <c r="G689" s="2" t="s">
        <v>57</v>
      </c>
      <c r="H689">
        <v>1</v>
      </c>
      <c r="I689" s="2" t="s">
        <v>526</v>
      </c>
      <c r="J689" s="3">
        <v>0.15684552284455039</v>
      </c>
      <c r="K689" s="3">
        <v>5.2488000000000001</v>
      </c>
      <c r="L689" s="507">
        <v>2310.3271510692493</v>
      </c>
      <c r="M689" s="507">
        <v>0</v>
      </c>
      <c r="N689" s="507">
        <v>2310.3271510692493</v>
      </c>
      <c r="O689" s="507">
        <v>0</v>
      </c>
      <c r="P689">
        <v>1</v>
      </c>
      <c r="Q689" s="2" t="s">
        <v>526</v>
      </c>
      <c r="R689" s="3">
        <v>0.15702038124548567</v>
      </c>
      <c r="S689" s="3">
        <v>5.2488000000000001</v>
      </c>
      <c r="T689" s="507">
        <v>1851.2253753145155</v>
      </c>
      <c r="U689" s="507">
        <v>0</v>
      </c>
      <c r="V689" s="507">
        <v>1851.2253753145155</v>
      </c>
      <c r="W689" s="507">
        <v>0</v>
      </c>
      <c r="X689" s="507">
        <v>2310.3271510692493</v>
      </c>
      <c r="Y689" s="507">
        <v>1851.2253753145155</v>
      </c>
      <c r="Z689" s="507">
        <v>12126.445150532276</v>
      </c>
      <c r="AA689" s="507">
        <v>9716.7117499508295</v>
      </c>
      <c r="AB689" s="507">
        <v>9727.5443746131841</v>
      </c>
      <c r="AC689" s="507">
        <v>2409.73</v>
      </c>
      <c r="AD689" s="507">
        <v>2398.9</v>
      </c>
      <c r="AE689" s="507">
        <v>10.83</v>
      </c>
      <c r="AF689" s="507">
        <v>2398.9</v>
      </c>
      <c r="AG689" s="507"/>
      <c r="AH689" s="507">
        <v>0</v>
      </c>
      <c r="AI689" s="507">
        <v>0</v>
      </c>
      <c r="AJ689" s="507">
        <v>0</v>
      </c>
      <c r="AK689" s="507">
        <v>0</v>
      </c>
      <c r="AL689" s="507">
        <v>0</v>
      </c>
      <c r="AM689" s="507">
        <v>0</v>
      </c>
      <c r="AN689" s="507"/>
      <c r="AO689" s="507"/>
    </row>
    <row r="690" spans="1:41">
      <c r="A690" s="2" t="s">
        <v>478</v>
      </c>
      <c r="B690" s="2" t="s">
        <v>382</v>
      </c>
      <c r="C690" s="2" t="s">
        <v>379</v>
      </c>
      <c r="D690" s="2" t="s">
        <v>30</v>
      </c>
      <c r="E690" s="2" t="s">
        <v>19</v>
      </c>
      <c r="F690" s="2" t="s">
        <v>380</v>
      </c>
      <c r="G690" s="2" t="s">
        <v>57</v>
      </c>
      <c r="H690">
        <v>1</v>
      </c>
      <c r="I690" s="2" t="s">
        <v>526</v>
      </c>
      <c r="J690" s="3">
        <v>0.15684552284455039</v>
      </c>
      <c r="K690" s="3">
        <v>5.2488000000000001</v>
      </c>
      <c r="L690" s="507">
        <v>4485.8543780772761</v>
      </c>
      <c r="M690" s="507">
        <v>0</v>
      </c>
      <c r="N690" s="507">
        <v>4485.8543780772761</v>
      </c>
      <c r="O690" s="507">
        <v>0</v>
      </c>
      <c r="P690">
        <v>1</v>
      </c>
      <c r="Q690" s="2" t="s">
        <v>526</v>
      </c>
      <c r="R690" s="3">
        <v>0.15702038124548567</v>
      </c>
      <c r="S690" s="3">
        <v>5.2488000000000001</v>
      </c>
      <c r="T690" s="507">
        <v>8585.9252796399051</v>
      </c>
      <c r="U690" s="507">
        <v>0</v>
      </c>
      <c r="V690" s="507">
        <v>8585.9252796399051</v>
      </c>
      <c r="W690" s="507">
        <v>0</v>
      </c>
      <c r="X690" s="507">
        <v>4485.8543780772761</v>
      </c>
      <c r="Y690" s="507">
        <v>8585.9252796399051</v>
      </c>
      <c r="Z690" s="507">
        <v>23545.352459652007</v>
      </c>
      <c r="AA690" s="507">
        <v>45065.804607773935</v>
      </c>
      <c r="AB690" s="507">
        <v>45116.045981500531</v>
      </c>
      <c r="AC690" s="507">
        <v>-21520.45</v>
      </c>
      <c r="AD690" s="507">
        <v>-21570.69</v>
      </c>
      <c r="AE690" s="507">
        <v>50.24</v>
      </c>
      <c r="AF690" s="507"/>
      <c r="AG690" s="507">
        <v>-21570.69</v>
      </c>
      <c r="AH690" s="507">
        <v>0</v>
      </c>
      <c r="AI690" s="507">
        <v>0</v>
      </c>
      <c r="AJ690" s="507">
        <v>0</v>
      </c>
      <c r="AK690" s="507">
        <v>0</v>
      </c>
      <c r="AL690" s="507">
        <v>0</v>
      </c>
      <c r="AM690" s="507">
        <v>0</v>
      </c>
      <c r="AN690" s="507"/>
      <c r="AO690" s="507"/>
    </row>
    <row r="691" spans="1:41">
      <c r="A691" s="2" t="s">
        <v>479</v>
      </c>
      <c r="B691" s="2" t="s">
        <v>382</v>
      </c>
      <c r="C691" s="2" t="s">
        <v>379</v>
      </c>
      <c r="D691" s="2" t="s">
        <v>30</v>
      </c>
      <c r="E691" s="2" t="s">
        <v>19</v>
      </c>
      <c r="F691" s="2" t="s">
        <v>380</v>
      </c>
      <c r="G691" s="2" t="s">
        <v>57</v>
      </c>
      <c r="H691">
        <v>1</v>
      </c>
      <c r="I691" s="2" t="s">
        <v>526</v>
      </c>
      <c r="J691" s="3">
        <v>0.15684552284455039</v>
      </c>
      <c r="K691" s="3">
        <v>5.2488000000000001</v>
      </c>
      <c r="L691" s="507">
        <v>5237.0420946669628</v>
      </c>
      <c r="M691" s="507">
        <v>0</v>
      </c>
      <c r="N691" s="507">
        <v>5237.0420946669628</v>
      </c>
      <c r="O691" s="507">
        <v>0</v>
      </c>
      <c r="P691">
        <v>1</v>
      </c>
      <c r="Q691" s="2" t="s">
        <v>526</v>
      </c>
      <c r="R691" s="3">
        <v>0.15702038124548567</v>
      </c>
      <c r="S691" s="3">
        <v>5.2488000000000001</v>
      </c>
      <c r="T691" s="507">
        <v>5497.7270548553734</v>
      </c>
      <c r="U691" s="507">
        <v>0</v>
      </c>
      <c r="V691" s="507">
        <v>5497.7270548553734</v>
      </c>
      <c r="W691" s="507">
        <v>0</v>
      </c>
      <c r="X691" s="507">
        <v>5237.0420946669628</v>
      </c>
      <c r="Y691" s="507">
        <v>5497.7270548553734</v>
      </c>
      <c r="Z691" s="507">
        <v>27488.186546487956</v>
      </c>
      <c r="AA691" s="507">
        <v>28856.469765524886</v>
      </c>
      <c r="AB691" s="507">
        <v>28888.640248101157</v>
      </c>
      <c r="AC691" s="507">
        <v>-1368.28</v>
      </c>
      <c r="AD691" s="507">
        <v>-1400.45</v>
      </c>
      <c r="AE691" s="507">
        <v>32.17</v>
      </c>
      <c r="AF691" s="507"/>
      <c r="AG691" s="507">
        <v>-1400.45</v>
      </c>
      <c r="AH691" s="507">
        <v>0</v>
      </c>
      <c r="AI691" s="507">
        <v>0</v>
      </c>
      <c r="AJ691" s="507">
        <v>0</v>
      </c>
      <c r="AK691" s="507">
        <v>0</v>
      </c>
      <c r="AL691" s="507">
        <v>0</v>
      </c>
      <c r="AM691" s="507">
        <v>0</v>
      </c>
      <c r="AN691" s="507"/>
      <c r="AO691" s="507"/>
    </row>
    <row r="692" spans="1:41">
      <c r="A692" s="2" t="s">
        <v>480</v>
      </c>
      <c r="B692" s="2" t="s">
        <v>382</v>
      </c>
      <c r="C692" s="2" t="s">
        <v>379</v>
      </c>
      <c r="D692" s="2" t="s">
        <v>30</v>
      </c>
      <c r="E692" s="2" t="s">
        <v>19</v>
      </c>
      <c r="F692" s="2" t="s">
        <v>380</v>
      </c>
      <c r="G692" s="2" t="s">
        <v>57</v>
      </c>
      <c r="H692">
        <v>1</v>
      </c>
      <c r="I692" s="2" t="s">
        <v>526</v>
      </c>
      <c r="J692" s="3">
        <v>0.15684552284455039</v>
      </c>
      <c r="K692" s="3">
        <v>5.2488000000000001</v>
      </c>
      <c r="L692" s="507">
        <v>1528.7305752929731</v>
      </c>
      <c r="M692" s="507">
        <v>0</v>
      </c>
      <c r="N692" s="507">
        <v>1528.7305752929731</v>
      </c>
      <c r="O692" s="507">
        <v>0</v>
      </c>
      <c r="P692">
        <v>1</v>
      </c>
      <c r="Q692" s="2" t="s">
        <v>526</v>
      </c>
      <c r="R692" s="3">
        <v>0.15702038124548567</v>
      </c>
      <c r="S692" s="3">
        <v>5.2488000000000001</v>
      </c>
      <c r="T692" s="507">
        <v>646.63590859983935</v>
      </c>
      <c r="U692" s="507">
        <v>0</v>
      </c>
      <c r="V692" s="507">
        <v>646.63590859983935</v>
      </c>
      <c r="W692" s="507">
        <v>0</v>
      </c>
      <c r="X692" s="507">
        <v>1528.7305752929731</v>
      </c>
      <c r="Y692" s="507">
        <v>646.63590859983935</v>
      </c>
      <c r="Z692" s="507">
        <v>8024.0010435977574</v>
      </c>
      <c r="AA692" s="507">
        <v>3394.0625570588368</v>
      </c>
      <c r="AB692" s="507">
        <v>3397.8464097352685</v>
      </c>
      <c r="AC692" s="507">
        <v>4629.9399999999996</v>
      </c>
      <c r="AD692" s="507">
        <v>4626.1499999999996</v>
      </c>
      <c r="AE692" s="507">
        <v>3.79</v>
      </c>
      <c r="AF692" s="507">
        <v>4626.1499999999996</v>
      </c>
      <c r="AG692" s="507"/>
      <c r="AH692" s="507">
        <v>0</v>
      </c>
      <c r="AI692" s="507">
        <v>0</v>
      </c>
      <c r="AJ692" s="507">
        <v>0</v>
      </c>
      <c r="AK692" s="507">
        <v>0</v>
      </c>
      <c r="AL692" s="507">
        <v>0</v>
      </c>
      <c r="AM692" s="507">
        <v>0</v>
      </c>
      <c r="AN692" s="507"/>
      <c r="AO692" s="507"/>
    </row>
    <row r="693" spans="1:41">
      <c r="A693" s="2" t="s">
        <v>481</v>
      </c>
      <c r="B693" s="2" t="s">
        <v>382</v>
      </c>
      <c r="C693" s="2" t="s">
        <v>379</v>
      </c>
      <c r="D693" s="2" t="s">
        <v>30</v>
      </c>
      <c r="E693" s="2" t="s">
        <v>19</v>
      </c>
      <c r="F693" s="2" t="s">
        <v>380</v>
      </c>
      <c r="G693" s="2" t="s">
        <v>57</v>
      </c>
      <c r="H693">
        <v>1</v>
      </c>
      <c r="I693" s="2" t="s">
        <v>526</v>
      </c>
      <c r="J693" s="3">
        <v>0.15684552284455039</v>
      </c>
      <c r="K693" s="3">
        <v>5.2488000000000001</v>
      </c>
      <c r="L693" s="507">
        <v>3176.1568574298713</v>
      </c>
      <c r="M693" s="507">
        <v>0</v>
      </c>
      <c r="N693" s="507">
        <v>3176.1568574298713</v>
      </c>
      <c r="O693" s="507">
        <v>0</v>
      </c>
      <c r="P693">
        <v>1</v>
      </c>
      <c r="Q693" s="2" t="s">
        <v>526</v>
      </c>
      <c r="R693" s="3">
        <v>0.15702038124548567</v>
      </c>
      <c r="S693" s="3">
        <v>5.2488000000000001</v>
      </c>
      <c r="T693" s="507">
        <v>251.2078451723275</v>
      </c>
      <c r="U693" s="507">
        <v>0</v>
      </c>
      <c r="V693" s="507">
        <v>251.2078451723275</v>
      </c>
      <c r="W693" s="507">
        <v>0</v>
      </c>
      <c r="X693" s="507">
        <v>3176.1568574298713</v>
      </c>
      <c r="Y693" s="507">
        <v>251.2078451723275</v>
      </c>
      <c r="Z693" s="507">
        <v>16671.01211327791</v>
      </c>
      <c r="AA693" s="507">
        <v>1318.5397377405127</v>
      </c>
      <c r="AB693" s="507">
        <v>1320.0097047878949</v>
      </c>
      <c r="AC693" s="507">
        <v>15352.47</v>
      </c>
      <c r="AD693" s="507">
        <v>15351</v>
      </c>
      <c r="AE693" s="507">
        <v>1.47</v>
      </c>
      <c r="AF693" s="507">
        <v>15351</v>
      </c>
      <c r="AG693" s="507"/>
      <c r="AH693" s="507">
        <v>0</v>
      </c>
      <c r="AI693" s="507">
        <v>0</v>
      </c>
      <c r="AJ693" s="507">
        <v>0</v>
      </c>
      <c r="AK693" s="507">
        <v>0</v>
      </c>
      <c r="AL693" s="507">
        <v>0</v>
      </c>
      <c r="AM693" s="507">
        <v>0</v>
      </c>
      <c r="AN693" s="507"/>
      <c r="AO693" s="507"/>
    </row>
    <row r="694" spans="1:41">
      <c r="A694" s="2" t="s">
        <v>482</v>
      </c>
      <c r="B694" s="2" t="s">
        <v>382</v>
      </c>
      <c r="C694" s="2" t="s">
        <v>379</v>
      </c>
      <c r="D694" s="2" t="s">
        <v>30</v>
      </c>
      <c r="E694" s="2" t="s">
        <v>19</v>
      </c>
      <c r="F694" s="2" t="s">
        <v>380</v>
      </c>
      <c r="G694" s="2" t="s">
        <v>57</v>
      </c>
      <c r="H694">
        <v>1</v>
      </c>
      <c r="I694" s="2" t="s">
        <v>526</v>
      </c>
      <c r="J694" s="3">
        <v>0.15684552284455039</v>
      </c>
      <c r="K694" s="3">
        <v>5.2488000000000001</v>
      </c>
      <c r="L694" s="507">
        <v>16670.867351766559</v>
      </c>
      <c r="M694" s="507">
        <v>0</v>
      </c>
      <c r="N694" s="507">
        <v>16670.867351766559</v>
      </c>
      <c r="O694" s="507">
        <v>0</v>
      </c>
      <c r="P694">
        <v>1</v>
      </c>
      <c r="Q694" s="2" t="s">
        <v>526</v>
      </c>
      <c r="R694" s="3">
        <v>0.15702038124548567</v>
      </c>
      <c r="S694" s="3">
        <v>5.2488000000000001</v>
      </c>
      <c r="T694" s="507">
        <v>549.96649439467046</v>
      </c>
      <c r="U694" s="507">
        <v>0</v>
      </c>
      <c r="V694" s="507">
        <v>549.96649439467046</v>
      </c>
      <c r="W694" s="507">
        <v>0</v>
      </c>
      <c r="X694" s="507">
        <v>16670.867351766559</v>
      </c>
      <c r="Y694" s="507">
        <v>549.96649439467046</v>
      </c>
      <c r="Z694" s="507">
        <v>87502.048555952322</v>
      </c>
      <c r="AA694" s="507">
        <v>2886.6641357787462</v>
      </c>
      <c r="AB694" s="507">
        <v>2889.8823180109534</v>
      </c>
      <c r="AC694" s="507">
        <v>84615.38</v>
      </c>
      <c r="AD694" s="507">
        <v>84612.17</v>
      </c>
      <c r="AE694" s="507">
        <v>3.21</v>
      </c>
      <c r="AF694" s="507">
        <v>84612.17</v>
      </c>
      <c r="AG694" s="507"/>
      <c r="AH694" s="507">
        <v>0</v>
      </c>
      <c r="AI694" s="507">
        <v>0</v>
      </c>
      <c r="AJ694" s="507">
        <v>0</v>
      </c>
      <c r="AK694" s="507">
        <v>0</v>
      </c>
      <c r="AL694" s="507">
        <v>0</v>
      </c>
      <c r="AM694" s="507">
        <v>0</v>
      </c>
      <c r="AN694" s="507"/>
      <c r="AO694" s="507"/>
    </row>
    <row r="695" spans="1:41">
      <c r="A695" s="2" t="s">
        <v>483</v>
      </c>
      <c r="B695" s="2" t="s">
        <v>382</v>
      </c>
      <c r="C695" s="2" t="s">
        <v>379</v>
      </c>
      <c r="D695" s="2" t="s">
        <v>30</v>
      </c>
      <c r="E695" s="2" t="s">
        <v>19</v>
      </c>
      <c r="F695" s="2" t="s">
        <v>380</v>
      </c>
      <c r="G695" s="2" t="s">
        <v>57</v>
      </c>
      <c r="H695">
        <v>1</v>
      </c>
      <c r="I695" s="2" t="s">
        <v>526</v>
      </c>
      <c r="J695" s="3">
        <v>0.15684552284455039</v>
      </c>
      <c r="K695" s="3">
        <v>5.2488000000000001</v>
      </c>
      <c r="L695" s="507">
        <v>1931.2993712479879</v>
      </c>
      <c r="M695" s="507">
        <v>0</v>
      </c>
      <c r="N695" s="507">
        <v>1931.2993712479879</v>
      </c>
      <c r="O695" s="507">
        <v>0</v>
      </c>
      <c r="P695">
        <v>1</v>
      </c>
      <c r="Q695" s="2" t="s">
        <v>526</v>
      </c>
      <c r="R695" s="3">
        <v>0.15702038124548567</v>
      </c>
      <c r="S695" s="3">
        <v>5.2488000000000001</v>
      </c>
      <c r="T695" s="507">
        <v>1236.6005235566358</v>
      </c>
      <c r="U695" s="507">
        <v>0</v>
      </c>
      <c r="V695" s="507">
        <v>1236.6005235566358</v>
      </c>
      <c r="W695" s="507">
        <v>0</v>
      </c>
      <c r="X695" s="507">
        <v>1931.2993712479879</v>
      </c>
      <c r="Y695" s="507">
        <v>1236.6005235566358</v>
      </c>
      <c r="Z695" s="507">
        <v>10137.004139806439</v>
      </c>
      <c r="AA695" s="507">
        <v>6490.6688280440703</v>
      </c>
      <c r="AB695" s="507">
        <v>6497.9049158308862</v>
      </c>
      <c r="AC695" s="507">
        <v>3646.34</v>
      </c>
      <c r="AD695" s="507">
        <v>3639.1</v>
      </c>
      <c r="AE695" s="507">
        <v>7.24</v>
      </c>
      <c r="AF695" s="507">
        <v>3639.1</v>
      </c>
      <c r="AG695" s="507"/>
      <c r="AH695" s="507">
        <v>0</v>
      </c>
      <c r="AI695" s="507">
        <v>0</v>
      </c>
      <c r="AJ695" s="507">
        <v>0</v>
      </c>
      <c r="AK695" s="507">
        <v>0</v>
      </c>
      <c r="AL695" s="507">
        <v>0</v>
      </c>
      <c r="AM695" s="507">
        <v>0</v>
      </c>
      <c r="AN695" s="507"/>
      <c r="AO695" s="507"/>
    </row>
    <row r="696" spans="1:41">
      <c r="A696" s="2" t="s">
        <v>484</v>
      </c>
      <c r="B696" s="2" t="s">
        <v>382</v>
      </c>
      <c r="C696" s="2" t="s">
        <v>379</v>
      </c>
      <c r="D696" s="2" t="s">
        <v>30</v>
      </c>
      <c r="E696" s="2" t="s">
        <v>19</v>
      </c>
      <c r="F696" s="2" t="s">
        <v>380</v>
      </c>
      <c r="G696" s="2" t="s">
        <v>57</v>
      </c>
      <c r="H696">
        <v>1</v>
      </c>
      <c r="I696" s="2" t="s">
        <v>526</v>
      </c>
      <c r="J696" s="3">
        <v>0.15684552284455039</v>
      </c>
      <c r="K696" s="3">
        <v>5.2488000000000001</v>
      </c>
      <c r="L696" s="507">
        <v>850.66751856272094</v>
      </c>
      <c r="M696" s="507">
        <v>0</v>
      </c>
      <c r="N696" s="507">
        <v>850.66751856272094</v>
      </c>
      <c r="O696" s="507">
        <v>0</v>
      </c>
      <c r="P696">
        <v>1</v>
      </c>
      <c r="Q696" s="2" t="s">
        <v>526</v>
      </c>
      <c r="R696" s="3">
        <v>0.15702038124548567</v>
      </c>
      <c r="S696" s="3">
        <v>5.2488000000000001</v>
      </c>
      <c r="T696" s="507">
        <v>1846.0412229382509</v>
      </c>
      <c r="U696" s="507">
        <v>0</v>
      </c>
      <c r="V696" s="507">
        <v>1846.0412229382509</v>
      </c>
      <c r="W696" s="507">
        <v>0</v>
      </c>
      <c r="X696" s="507">
        <v>850.66751856272094</v>
      </c>
      <c r="Y696" s="507">
        <v>1846.0412229382509</v>
      </c>
      <c r="Z696" s="507">
        <v>4464.9836714320099</v>
      </c>
      <c r="AA696" s="507">
        <v>9689.5011709582923</v>
      </c>
      <c r="AB696" s="507">
        <v>9700.3034600506835</v>
      </c>
      <c r="AC696" s="507">
        <v>-5224.5200000000004</v>
      </c>
      <c r="AD696" s="507">
        <v>-5235.32</v>
      </c>
      <c r="AE696" s="507">
        <v>10.8</v>
      </c>
      <c r="AF696" s="507"/>
      <c r="AG696" s="507">
        <v>-5235.32</v>
      </c>
      <c r="AH696" s="507">
        <v>0</v>
      </c>
      <c r="AI696" s="507">
        <v>0</v>
      </c>
      <c r="AJ696" s="507">
        <v>0</v>
      </c>
      <c r="AK696" s="507">
        <v>0</v>
      </c>
      <c r="AL696" s="507">
        <v>0</v>
      </c>
      <c r="AM696" s="507">
        <v>0</v>
      </c>
      <c r="AN696" s="507"/>
      <c r="AO696" s="507"/>
    </row>
    <row r="697" spans="1:41">
      <c r="A697" s="2" t="s">
        <v>485</v>
      </c>
      <c r="B697" s="2" t="s">
        <v>382</v>
      </c>
      <c r="C697" s="2" t="s">
        <v>379</v>
      </c>
      <c r="D697" s="2" t="s">
        <v>30</v>
      </c>
      <c r="E697" s="2" t="s">
        <v>19</v>
      </c>
      <c r="F697" s="2" t="s">
        <v>380</v>
      </c>
      <c r="G697" s="2" t="s">
        <v>57</v>
      </c>
      <c r="H697">
        <v>1</v>
      </c>
      <c r="I697" s="2" t="s">
        <v>526</v>
      </c>
      <c r="J697" s="3">
        <v>0.15684552284455039</v>
      </c>
      <c r="K697" s="3">
        <v>5.2488000000000001</v>
      </c>
      <c r="L697" s="507">
        <v>912.81678804379249</v>
      </c>
      <c r="M697" s="507">
        <v>0</v>
      </c>
      <c r="N697" s="507">
        <v>912.81678804379249</v>
      </c>
      <c r="O697" s="507">
        <v>0</v>
      </c>
      <c r="P697">
        <v>1</v>
      </c>
      <c r="Q697" s="2" t="s">
        <v>526</v>
      </c>
      <c r="R697" s="3">
        <v>0.15702038124548567</v>
      </c>
      <c r="S697" s="3">
        <v>5.2488000000000001</v>
      </c>
      <c r="T697" s="507">
        <v>45689.126634000037</v>
      </c>
      <c r="U697" s="507">
        <v>0</v>
      </c>
      <c r="V697" s="507">
        <v>45689.126634000037</v>
      </c>
      <c r="W697" s="507">
        <v>0</v>
      </c>
      <c r="X697" s="507">
        <v>912.81678804379249</v>
      </c>
      <c r="Y697" s="507">
        <v>45689.126634000037</v>
      </c>
      <c r="Z697" s="507">
        <v>4791.1927570842581</v>
      </c>
      <c r="AA697" s="507">
        <v>239813.08787653939</v>
      </c>
      <c r="AB697" s="507">
        <v>240080.44222819025</v>
      </c>
      <c r="AC697" s="507">
        <v>-235021.9</v>
      </c>
      <c r="AD697" s="507">
        <v>-235289.25</v>
      </c>
      <c r="AE697" s="507">
        <v>267.35000000000002</v>
      </c>
      <c r="AF697" s="507"/>
      <c r="AG697" s="507">
        <v>-235289.25</v>
      </c>
      <c r="AH697" s="507">
        <v>0</v>
      </c>
      <c r="AI697" s="507">
        <v>0</v>
      </c>
      <c r="AJ697" s="507">
        <v>0</v>
      </c>
      <c r="AK697" s="507">
        <v>0</v>
      </c>
      <c r="AL697" s="507">
        <v>0</v>
      </c>
      <c r="AM697" s="507">
        <v>0</v>
      </c>
      <c r="AN697" s="507"/>
      <c r="AO697" s="507"/>
    </row>
    <row r="698" spans="1:41">
      <c r="A698" s="2" t="s">
        <v>486</v>
      </c>
      <c r="B698" s="2" t="s">
        <v>382</v>
      </c>
      <c r="C698" s="2" t="s">
        <v>379</v>
      </c>
      <c r="D698" s="2" t="s">
        <v>30</v>
      </c>
      <c r="E698" s="2" t="s">
        <v>19</v>
      </c>
      <c r="F698" s="2" t="s">
        <v>380</v>
      </c>
      <c r="G698" s="2" t="s">
        <v>57</v>
      </c>
      <c r="H698">
        <v>1</v>
      </c>
      <c r="I698" s="2" t="s">
        <v>526</v>
      </c>
      <c r="J698" s="3">
        <v>0.15684552284455039</v>
      </c>
      <c r="K698" s="3">
        <v>5.2488000000000001</v>
      </c>
      <c r="L698" s="507">
        <v>1851.2253753145155</v>
      </c>
      <c r="M698" s="507">
        <v>0</v>
      </c>
      <c r="N698" s="507">
        <v>1851.2253753145155</v>
      </c>
      <c r="O698" s="507">
        <v>0</v>
      </c>
      <c r="P698">
        <v>1</v>
      </c>
      <c r="Q698" s="2" t="s">
        <v>526</v>
      </c>
      <c r="R698" s="3">
        <v>0.15702038124548567</v>
      </c>
      <c r="S698" s="3">
        <v>5.2488000000000001</v>
      </c>
      <c r="T698" s="507">
        <v>3054.8264587812223</v>
      </c>
      <c r="U698" s="507">
        <v>0</v>
      </c>
      <c r="V698" s="507">
        <v>3054.8264587812223</v>
      </c>
      <c r="W698" s="507">
        <v>0</v>
      </c>
      <c r="X698" s="507">
        <v>1851.2253753145155</v>
      </c>
      <c r="Y698" s="507">
        <v>3054.8264587812223</v>
      </c>
      <c r="Z698" s="507">
        <v>9716.7117499508295</v>
      </c>
      <c r="AA698" s="507">
        <v>16034.17311685088</v>
      </c>
      <c r="AB698" s="507">
        <v>16052.048729878807</v>
      </c>
      <c r="AC698" s="507">
        <v>-6317.46</v>
      </c>
      <c r="AD698" s="507">
        <v>-6335.34</v>
      </c>
      <c r="AE698" s="507">
        <v>17.88</v>
      </c>
      <c r="AF698" s="507"/>
      <c r="AG698" s="507">
        <v>-6335.34</v>
      </c>
      <c r="AH698" s="507">
        <v>0</v>
      </c>
      <c r="AI698" s="507">
        <v>0</v>
      </c>
      <c r="AJ698" s="507">
        <v>0</v>
      </c>
      <c r="AK698" s="507">
        <v>0</v>
      </c>
      <c r="AL698" s="507">
        <v>0</v>
      </c>
      <c r="AM698" s="507">
        <v>0</v>
      </c>
      <c r="AN698" s="507"/>
      <c r="AO698" s="507"/>
    </row>
    <row r="699" spans="1:41">
      <c r="A699" s="2" t="s">
        <v>487</v>
      </c>
      <c r="B699" s="2" t="s">
        <v>382</v>
      </c>
      <c r="C699" s="2" t="s">
        <v>379</v>
      </c>
      <c r="D699" s="2" t="s">
        <v>30</v>
      </c>
      <c r="E699" s="2" t="s">
        <v>19</v>
      </c>
      <c r="F699" s="2" t="s">
        <v>380</v>
      </c>
      <c r="G699" s="2" t="s">
        <v>57</v>
      </c>
      <c r="H699">
        <v>1</v>
      </c>
      <c r="I699" s="2" t="s">
        <v>526</v>
      </c>
      <c r="J699" s="3">
        <v>0.15684552284455039</v>
      </c>
      <c r="K699" s="3">
        <v>5.2488000000000001</v>
      </c>
      <c r="L699" s="507">
        <v>8585.9252796399051</v>
      </c>
      <c r="M699" s="507">
        <v>0</v>
      </c>
      <c r="N699" s="507">
        <v>8585.9252796399051</v>
      </c>
      <c r="O699" s="507">
        <v>0</v>
      </c>
      <c r="P699">
        <v>1</v>
      </c>
      <c r="Q699" s="2" t="s">
        <v>526</v>
      </c>
      <c r="R699" s="3">
        <v>0.15702038124548567</v>
      </c>
      <c r="S699" s="3">
        <v>5.2488000000000001</v>
      </c>
      <c r="T699" s="507">
        <v>2645.4414070987195</v>
      </c>
      <c r="U699" s="507">
        <v>0</v>
      </c>
      <c r="V699" s="507">
        <v>2645.4414070987195</v>
      </c>
      <c r="W699" s="507">
        <v>0</v>
      </c>
      <c r="X699" s="507">
        <v>8585.9252796399051</v>
      </c>
      <c r="Y699" s="507">
        <v>2645.4414070987195</v>
      </c>
      <c r="Z699" s="507">
        <v>45065.804607773935</v>
      </c>
      <c r="AA699" s="507">
        <v>13885.39285757976</v>
      </c>
      <c r="AB699" s="507">
        <v>13900.87291430947</v>
      </c>
      <c r="AC699" s="507">
        <v>31180.41</v>
      </c>
      <c r="AD699" s="507">
        <v>31164.93</v>
      </c>
      <c r="AE699" s="507">
        <v>15.48</v>
      </c>
      <c r="AF699" s="507">
        <v>31164.93</v>
      </c>
      <c r="AG699" s="507"/>
      <c r="AH699" s="507">
        <v>0</v>
      </c>
      <c r="AI699" s="507">
        <v>0</v>
      </c>
      <c r="AJ699" s="507">
        <v>0</v>
      </c>
      <c r="AK699" s="507">
        <v>0</v>
      </c>
      <c r="AL699" s="507">
        <v>0</v>
      </c>
      <c r="AM699" s="507">
        <v>0</v>
      </c>
      <c r="AN699" s="507"/>
      <c r="AO699" s="507"/>
    </row>
    <row r="700" spans="1:41">
      <c r="A700" s="2" t="s">
        <v>488</v>
      </c>
      <c r="B700" s="2" t="s">
        <v>382</v>
      </c>
      <c r="C700" s="2" t="s">
        <v>379</v>
      </c>
      <c r="D700" s="2" t="s">
        <v>30</v>
      </c>
      <c r="E700" s="2" t="s">
        <v>19</v>
      </c>
      <c r="F700" s="2" t="s">
        <v>380</v>
      </c>
      <c r="G700" s="2" t="s">
        <v>57</v>
      </c>
      <c r="H700">
        <v>1</v>
      </c>
      <c r="I700" s="2" t="s">
        <v>526</v>
      </c>
      <c r="J700" s="3">
        <v>0.15684552284455039</v>
      </c>
      <c r="K700" s="3">
        <v>5.2488000000000001</v>
      </c>
      <c r="L700" s="507">
        <v>5497.7270548553734</v>
      </c>
      <c r="M700" s="507">
        <v>0</v>
      </c>
      <c r="N700" s="507">
        <v>5497.7270548553734</v>
      </c>
      <c r="O700" s="507">
        <v>0</v>
      </c>
      <c r="P700">
        <v>1</v>
      </c>
      <c r="Q700" s="2" t="s">
        <v>526</v>
      </c>
      <c r="R700" s="3">
        <v>0.15702038124548567</v>
      </c>
      <c r="S700" s="3">
        <v>5.2488000000000001</v>
      </c>
      <c r="T700" s="507">
        <v>249.70284102848251</v>
      </c>
      <c r="U700" s="507">
        <v>0</v>
      </c>
      <c r="V700" s="507">
        <v>249.70284102848251</v>
      </c>
      <c r="W700" s="507">
        <v>0</v>
      </c>
      <c r="X700" s="507">
        <v>5497.7270548553734</v>
      </c>
      <c r="Y700" s="507">
        <v>249.70284102848251</v>
      </c>
      <c r="Z700" s="507">
        <v>28856.469765524886</v>
      </c>
      <c r="AA700" s="507">
        <v>1310.640271990299</v>
      </c>
      <c r="AB700" s="507">
        <v>1312.1014323601028</v>
      </c>
      <c r="AC700" s="507">
        <v>27545.83</v>
      </c>
      <c r="AD700" s="507">
        <v>27544.37</v>
      </c>
      <c r="AE700" s="507">
        <v>1.46</v>
      </c>
      <c r="AF700" s="507">
        <v>27544.37</v>
      </c>
      <c r="AG700" s="507"/>
      <c r="AH700" s="507">
        <v>0</v>
      </c>
      <c r="AI700" s="507">
        <v>0</v>
      </c>
      <c r="AJ700" s="507">
        <v>0</v>
      </c>
      <c r="AK700" s="507">
        <v>0</v>
      </c>
      <c r="AL700" s="507">
        <v>0</v>
      </c>
      <c r="AM700" s="507">
        <v>0</v>
      </c>
      <c r="AN700" s="507"/>
      <c r="AO700" s="507"/>
    </row>
    <row r="701" spans="1:41">
      <c r="A701" s="2" t="s">
        <v>489</v>
      </c>
      <c r="B701" s="2" t="s">
        <v>382</v>
      </c>
      <c r="C701" s="2" t="s">
        <v>379</v>
      </c>
      <c r="D701" s="2" t="s">
        <v>30</v>
      </c>
      <c r="E701" s="2" t="s">
        <v>19</v>
      </c>
      <c r="F701" s="2" t="s">
        <v>380</v>
      </c>
      <c r="G701" s="2" t="s">
        <v>57</v>
      </c>
      <c r="H701">
        <v>1</v>
      </c>
      <c r="I701" s="2" t="s">
        <v>526</v>
      </c>
      <c r="J701" s="3">
        <v>0.15684552284455039</v>
      </c>
      <c r="K701" s="3">
        <v>5.2488000000000001</v>
      </c>
      <c r="L701" s="507">
        <v>646.63590859983935</v>
      </c>
      <c r="M701" s="507">
        <v>0</v>
      </c>
      <c r="N701" s="507">
        <v>646.63590859983935</v>
      </c>
      <c r="O701" s="507">
        <v>0</v>
      </c>
      <c r="P701">
        <v>1</v>
      </c>
      <c r="Q701" s="2" t="s">
        <v>526</v>
      </c>
      <c r="R701" s="3">
        <v>0.15702038124548567</v>
      </c>
      <c r="S701" s="3">
        <v>5.2488000000000001</v>
      </c>
      <c r="T701" s="507">
        <v>7944.4907191914481</v>
      </c>
      <c r="U701" s="507">
        <v>0</v>
      </c>
      <c r="V701" s="507">
        <v>7944.4907191914481</v>
      </c>
      <c r="W701" s="507">
        <v>0</v>
      </c>
      <c r="X701" s="507">
        <v>646.63590859983935</v>
      </c>
      <c r="Y701" s="507">
        <v>7944.4907191914481</v>
      </c>
      <c r="Z701" s="507">
        <v>3394.0625570588368</v>
      </c>
      <c r="AA701" s="507">
        <v>41699.042886892072</v>
      </c>
      <c r="AB701" s="507">
        <v>41745.530844134948</v>
      </c>
      <c r="AC701" s="507">
        <v>-38304.980000000003</v>
      </c>
      <c r="AD701" s="507">
        <v>-38351.47</v>
      </c>
      <c r="AE701" s="507">
        <v>46.49</v>
      </c>
      <c r="AF701" s="507"/>
      <c r="AG701" s="507">
        <v>-38351.47</v>
      </c>
      <c r="AH701" s="507">
        <v>0</v>
      </c>
      <c r="AI701" s="507">
        <v>0</v>
      </c>
      <c r="AJ701" s="507">
        <v>0</v>
      </c>
      <c r="AK701" s="507">
        <v>0</v>
      </c>
      <c r="AL701" s="507">
        <v>0</v>
      </c>
      <c r="AM701" s="507">
        <v>0</v>
      </c>
      <c r="AN701" s="507"/>
      <c r="AO701" s="507"/>
    </row>
    <row r="702" spans="1:41">
      <c r="A702" s="2" t="s">
        <v>490</v>
      </c>
      <c r="B702" s="2" t="s">
        <v>382</v>
      </c>
      <c r="C702" s="2" t="s">
        <v>379</v>
      </c>
      <c r="D702" s="2" t="s">
        <v>30</v>
      </c>
      <c r="E702" s="2" t="s">
        <v>19</v>
      </c>
      <c r="F702" s="2" t="s">
        <v>380</v>
      </c>
      <c r="G702" s="2" t="s">
        <v>57</v>
      </c>
      <c r="H702">
        <v>1</v>
      </c>
      <c r="I702" s="2" t="s">
        <v>526</v>
      </c>
      <c r="J702" s="3">
        <v>0.15684552284455039</v>
      </c>
      <c r="K702" s="3">
        <v>5.2488000000000001</v>
      </c>
      <c r="L702" s="507">
        <v>251.2078451723275</v>
      </c>
      <c r="M702" s="507">
        <v>0</v>
      </c>
      <c r="N702" s="507">
        <v>251.2078451723275</v>
      </c>
      <c r="O702" s="507">
        <v>0</v>
      </c>
      <c r="P702">
        <v>1</v>
      </c>
      <c r="Q702" s="2" t="s">
        <v>526</v>
      </c>
      <c r="R702" s="3">
        <v>0.15702038124548567</v>
      </c>
      <c r="S702" s="3">
        <v>5.2488000000000001</v>
      </c>
      <c r="T702" s="507">
        <v>5925.3082271801522</v>
      </c>
      <c r="U702" s="507">
        <v>0</v>
      </c>
      <c r="V702" s="507">
        <v>5925.3082271801522</v>
      </c>
      <c r="W702" s="507">
        <v>0</v>
      </c>
      <c r="X702" s="507">
        <v>251.2078451723275</v>
      </c>
      <c r="Y702" s="507">
        <v>5925.3082271801522</v>
      </c>
      <c r="Z702" s="507">
        <v>1318.5397377405127</v>
      </c>
      <c r="AA702" s="507">
        <v>31100.757822823183</v>
      </c>
      <c r="AB702" s="507">
        <v>31135.430338060767</v>
      </c>
      <c r="AC702" s="507">
        <v>-29782.22</v>
      </c>
      <c r="AD702" s="507">
        <v>-29816.89</v>
      </c>
      <c r="AE702" s="507">
        <v>34.67</v>
      </c>
      <c r="AF702" s="507"/>
      <c r="AG702" s="507">
        <v>-29816.89</v>
      </c>
      <c r="AH702" s="507">
        <v>0</v>
      </c>
      <c r="AI702" s="507">
        <v>0</v>
      </c>
      <c r="AJ702" s="507">
        <v>0</v>
      </c>
      <c r="AK702" s="507">
        <v>0</v>
      </c>
      <c r="AL702" s="507">
        <v>0</v>
      </c>
      <c r="AM702" s="507">
        <v>0</v>
      </c>
      <c r="AN702" s="507"/>
      <c r="AO702" s="507"/>
    </row>
    <row r="703" spans="1:41">
      <c r="A703" s="2" t="s">
        <v>491</v>
      </c>
      <c r="B703" s="2" t="s">
        <v>382</v>
      </c>
      <c r="C703" s="2" t="s">
        <v>379</v>
      </c>
      <c r="D703" s="2" t="s">
        <v>30</v>
      </c>
      <c r="E703" s="2" t="s">
        <v>19</v>
      </c>
      <c r="F703" s="2" t="s">
        <v>380</v>
      </c>
      <c r="G703" s="2" t="s">
        <v>57</v>
      </c>
      <c r="H703">
        <v>1</v>
      </c>
      <c r="I703" s="2" t="s">
        <v>526</v>
      </c>
      <c r="J703" s="3">
        <v>0.15684552284455039</v>
      </c>
      <c r="K703" s="3">
        <v>5.2488000000000001</v>
      </c>
      <c r="L703" s="507">
        <v>549.96649439467046</v>
      </c>
      <c r="M703" s="507">
        <v>0</v>
      </c>
      <c r="N703" s="507">
        <v>549.96649439467046</v>
      </c>
      <c r="O703" s="507">
        <v>0</v>
      </c>
      <c r="P703">
        <v>1</v>
      </c>
      <c r="Q703" s="2" t="s">
        <v>526</v>
      </c>
      <c r="R703" s="3">
        <v>0.15702038124548567</v>
      </c>
      <c r="S703" s="3">
        <v>5.2488000000000001</v>
      </c>
      <c r="T703" s="507">
        <v>14952.847926924253</v>
      </c>
      <c r="U703" s="507">
        <v>0</v>
      </c>
      <c r="V703" s="507">
        <v>14952.847926924253</v>
      </c>
      <c r="W703" s="507">
        <v>0</v>
      </c>
      <c r="X703" s="507">
        <v>549.96649439467046</v>
      </c>
      <c r="Y703" s="507">
        <v>14952.847926924253</v>
      </c>
      <c r="Z703" s="507">
        <v>2886.6641357787462</v>
      </c>
      <c r="AA703" s="507">
        <v>78484.50819884002</v>
      </c>
      <c r="AB703" s="507">
        <v>78572.006237374677</v>
      </c>
      <c r="AC703" s="507">
        <v>-75597.84</v>
      </c>
      <c r="AD703" s="507">
        <v>-75685.34</v>
      </c>
      <c r="AE703" s="507">
        <v>87.5</v>
      </c>
      <c r="AF703" s="507"/>
      <c r="AG703" s="507">
        <v>-75685.34</v>
      </c>
      <c r="AH703" s="507">
        <v>0</v>
      </c>
      <c r="AI703" s="507">
        <v>0</v>
      </c>
      <c r="AJ703" s="507">
        <v>0</v>
      </c>
      <c r="AK703" s="507">
        <v>0</v>
      </c>
      <c r="AL703" s="507">
        <v>0</v>
      </c>
      <c r="AM703" s="507">
        <v>0</v>
      </c>
      <c r="AN703" s="507"/>
      <c r="AO703" s="507"/>
    </row>
    <row r="704" spans="1:41">
      <c r="A704" s="2" t="s">
        <v>492</v>
      </c>
      <c r="B704" s="2" t="s">
        <v>382</v>
      </c>
      <c r="C704" s="2" t="s">
        <v>379</v>
      </c>
      <c r="D704" s="2" t="s">
        <v>30</v>
      </c>
      <c r="E704" s="2" t="s">
        <v>19</v>
      </c>
      <c r="F704" s="2" t="s">
        <v>380</v>
      </c>
      <c r="G704" s="2" t="s">
        <v>57</v>
      </c>
      <c r="H704">
        <v>1</v>
      </c>
      <c r="I704" s="2" t="s">
        <v>526</v>
      </c>
      <c r="J704" s="3">
        <v>0.15684552284455039</v>
      </c>
      <c r="K704" s="3">
        <v>5.2488000000000001</v>
      </c>
      <c r="L704" s="507">
        <v>1236.6005235566358</v>
      </c>
      <c r="M704" s="507">
        <v>0</v>
      </c>
      <c r="N704" s="507">
        <v>1236.6005235566358</v>
      </c>
      <c r="O704" s="507">
        <v>0</v>
      </c>
      <c r="P704">
        <v>1</v>
      </c>
      <c r="Q704" s="2" t="s">
        <v>526</v>
      </c>
      <c r="R704" s="3">
        <v>0.15702038124548567</v>
      </c>
      <c r="S704" s="3">
        <v>5.2488000000000001</v>
      </c>
      <c r="T704" s="507">
        <v>347.63502324108026</v>
      </c>
      <c r="U704" s="507">
        <v>0</v>
      </c>
      <c r="V704" s="507">
        <v>347.63502324108026</v>
      </c>
      <c r="W704" s="507">
        <v>0</v>
      </c>
      <c r="X704" s="507">
        <v>1236.6005235566358</v>
      </c>
      <c r="Y704" s="507">
        <v>347.63502324108026</v>
      </c>
      <c r="Z704" s="507">
        <v>6490.6688280440703</v>
      </c>
      <c r="AA704" s="507">
        <v>1824.666709987782</v>
      </c>
      <c r="AB704" s="507">
        <v>1826.7009300111647</v>
      </c>
      <c r="AC704" s="507">
        <v>4666</v>
      </c>
      <c r="AD704" s="507">
        <v>4663.97</v>
      </c>
      <c r="AE704" s="507">
        <v>2.0299999999999998</v>
      </c>
      <c r="AF704" s="507">
        <v>4663.97</v>
      </c>
      <c r="AG704" s="507"/>
      <c r="AH704" s="507">
        <v>0</v>
      </c>
      <c r="AI704" s="507">
        <v>0</v>
      </c>
      <c r="AJ704" s="507">
        <v>0</v>
      </c>
      <c r="AK704" s="507">
        <v>0</v>
      </c>
      <c r="AL704" s="507">
        <v>0</v>
      </c>
      <c r="AM704" s="507">
        <v>0</v>
      </c>
      <c r="AN704" s="507"/>
      <c r="AO704" s="507"/>
    </row>
    <row r="705" spans="1:41">
      <c r="A705" s="2" t="s">
        <v>493</v>
      </c>
      <c r="B705" s="2" t="s">
        <v>382</v>
      </c>
      <c r="C705" s="2" t="s">
        <v>379</v>
      </c>
      <c r="D705" s="2" t="s">
        <v>30</v>
      </c>
      <c r="E705" s="2" t="s">
        <v>19</v>
      </c>
      <c r="F705" s="2" t="s">
        <v>380</v>
      </c>
      <c r="G705" s="2" t="s">
        <v>57</v>
      </c>
      <c r="H705">
        <v>1</v>
      </c>
      <c r="I705" s="2" t="s">
        <v>526</v>
      </c>
      <c r="J705" s="3">
        <v>0.15684552284455039</v>
      </c>
      <c r="K705" s="3">
        <v>5.2488000000000001</v>
      </c>
      <c r="L705" s="507">
        <v>1846.0412229382509</v>
      </c>
      <c r="M705" s="507">
        <v>0</v>
      </c>
      <c r="N705" s="507">
        <v>1846.0412229382509</v>
      </c>
      <c r="O705" s="507">
        <v>0</v>
      </c>
      <c r="P705">
        <v>1</v>
      </c>
      <c r="Q705" s="2" t="s">
        <v>526</v>
      </c>
      <c r="R705" s="3">
        <v>0.15702038124548567</v>
      </c>
      <c r="S705" s="3">
        <v>5.2488000000000001</v>
      </c>
      <c r="T705" s="507">
        <v>1329.1287465284429</v>
      </c>
      <c r="U705" s="507">
        <v>0</v>
      </c>
      <c r="V705" s="507">
        <v>1329.1287465284429</v>
      </c>
      <c r="W705" s="507">
        <v>0</v>
      </c>
      <c r="X705" s="507">
        <v>1846.0412229382509</v>
      </c>
      <c r="Y705" s="507">
        <v>1329.1287465284429</v>
      </c>
      <c r="Z705" s="507">
        <v>9689.5011709582923</v>
      </c>
      <c r="AA705" s="507">
        <v>6976.3309647784909</v>
      </c>
      <c r="AB705" s="507">
        <v>6984.1084904277604</v>
      </c>
      <c r="AC705" s="507">
        <v>2713.17</v>
      </c>
      <c r="AD705" s="507">
        <v>2705.39</v>
      </c>
      <c r="AE705" s="507">
        <v>7.78</v>
      </c>
      <c r="AF705" s="507">
        <v>2705.39</v>
      </c>
      <c r="AG705" s="507"/>
      <c r="AH705" s="507">
        <v>0</v>
      </c>
      <c r="AI705" s="507">
        <v>0</v>
      </c>
      <c r="AJ705" s="507">
        <v>0</v>
      </c>
      <c r="AK705" s="507">
        <v>0</v>
      </c>
      <c r="AL705" s="507">
        <v>0</v>
      </c>
      <c r="AM705" s="507">
        <v>0</v>
      </c>
      <c r="AN705" s="507"/>
      <c r="AO705" s="507"/>
    </row>
    <row r="706" spans="1:41">
      <c r="A706" s="2" t="s">
        <v>494</v>
      </c>
      <c r="B706" s="2" t="s">
        <v>382</v>
      </c>
      <c r="C706" s="2" t="s">
        <v>379</v>
      </c>
      <c r="D706" s="2" t="s">
        <v>30</v>
      </c>
      <c r="E706" s="2" t="s">
        <v>19</v>
      </c>
      <c r="F706" s="2" t="s">
        <v>380</v>
      </c>
      <c r="G706" s="2" t="s">
        <v>57</v>
      </c>
      <c r="H706">
        <v>1</v>
      </c>
      <c r="I706" s="2" t="s">
        <v>526</v>
      </c>
      <c r="J706" s="3">
        <v>0.15684552284455039</v>
      </c>
      <c r="K706" s="3">
        <v>5.2488000000000001</v>
      </c>
      <c r="L706" s="507">
        <v>45689.126634000037</v>
      </c>
      <c r="M706" s="507">
        <v>0</v>
      </c>
      <c r="N706" s="507">
        <v>45689.126634000037</v>
      </c>
      <c r="O706" s="507">
        <v>0</v>
      </c>
      <c r="P706">
        <v>1</v>
      </c>
      <c r="Q706" s="2" t="s">
        <v>526</v>
      </c>
      <c r="R706" s="3">
        <v>0.15702038124548567</v>
      </c>
      <c r="S706" s="3">
        <v>5.2488000000000001</v>
      </c>
      <c r="T706" s="507">
        <v>1407.3515798885619</v>
      </c>
      <c r="U706" s="507">
        <v>0</v>
      </c>
      <c r="V706" s="507">
        <v>1407.3515798885619</v>
      </c>
      <c r="W706" s="507">
        <v>0</v>
      </c>
      <c r="X706" s="507">
        <v>45689.126634000037</v>
      </c>
      <c r="Y706" s="507">
        <v>1407.3515798885619</v>
      </c>
      <c r="Z706" s="507">
        <v>239813.08787653939</v>
      </c>
      <c r="AA706" s="507">
        <v>7386.9069725190839</v>
      </c>
      <c r="AB706" s="507">
        <v>7395.1422266573391</v>
      </c>
      <c r="AC706" s="507">
        <v>232426.18</v>
      </c>
      <c r="AD706" s="507">
        <v>232417.95</v>
      </c>
      <c r="AE706" s="507">
        <v>8.23</v>
      </c>
      <c r="AF706" s="507">
        <v>232417.95</v>
      </c>
      <c r="AG706" s="507"/>
      <c r="AH706" s="507">
        <v>0</v>
      </c>
      <c r="AI706" s="507">
        <v>0</v>
      </c>
      <c r="AJ706" s="507">
        <v>0</v>
      </c>
      <c r="AK706" s="507">
        <v>0</v>
      </c>
      <c r="AL706" s="507">
        <v>0</v>
      </c>
      <c r="AM706" s="507">
        <v>0</v>
      </c>
      <c r="AN706" s="507"/>
      <c r="AO706" s="507"/>
    </row>
    <row r="707" spans="1:41">
      <c r="A707" s="2" t="s">
        <v>495</v>
      </c>
      <c r="B707" s="2" t="s">
        <v>382</v>
      </c>
      <c r="C707" s="2" t="s">
        <v>379</v>
      </c>
      <c r="D707" s="2" t="s">
        <v>30</v>
      </c>
      <c r="E707" s="2" t="s">
        <v>19</v>
      </c>
      <c r="F707" s="2" t="s">
        <v>380</v>
      </c>
      <c r="G707" s="2" t="s">
        <v>57</v>
      </c>
      <c r="H707">
        <v>1</v>
      </c>
      <c r="I707" s="2" t="s">
        <v>526</v>
      </c>
      <c r="J707" s="3">
        <v>0.15684552284455039</v>
      </c>
      <c r="K707" s="3">
        <v>5.2488000000000001</v>
      </c>
      <c r="L707" s="507">
        <v>3054.8264587812223</v>
      </c>
      <c r="M707" s="507">
        <v>0</v>
      </c>
      <c r="N707" s="507">
        <v>3054.8264587812223</v>
      </c>
      <c r="O707" s="507">
        <v>0</v>
      </c>
      <c r="P707">
        <v>1</v>
      </c>
      <c r="Q707" s="2" t="s">
        <v>526</v>
      </c>
      <c r="R707" s="3">
        <v>0.15702038124548567</v>
      </c>
      <c r="S707" s="3">
        <v>5.2488000000000001</v>
      </c>
      <c r="T707" s="507">
        <v>2468.1170788181175</v>
      </c>
      <c r="U707" s="507">
        <v>0</v>
      </c>
      <c r="V707" s="507">
        <v>2468.1170788181175</v>
      </c>
      <c r="W707" s="507">
        <v>0</v>
      </c>
      <c r="X707" s="507">
        <v>3054.8264587812223</v>
      </c>
      <c r="Y707" s="507">
        <v>2468.1170788181175</v>
      </c>
      <c r="Z707" s="507">
        <v>16034.17311685088</v>
      </c>
      <c r="AA707" s="507">
        <v>12954.652923300535</v>
      </c>
      <c r="AB707" s="507">
        <v>12969.095349541067</v>
      </c>
      <c r="AC707" s="507">
        <v>3079.52</v>
      </c>
      <c r="AD707" s="507">
        <v>3065.08</v>
      </c>
      <c r="AE707" s="507">
        <v>14.44</v>
      </c>
      <c r="AF707" s="507">
        <v>3065.08</v>
      </c>
      <c r="AG707" s="507"/>
      <c r="AH707" s="507">
        <v>0</v>
      </c>
      <c r="AI707" s="507">
        <v>0</v>
      </c>
      <c r="AJ707" s="507">
        <v>0</v>
      </c>
      <c r="AK707" s="507">
        <v>0</v>
      </c>
      <c r="AL707" s="507">
        <v>0</v>
      </c>
      <c r="AM707" s="507">
        <v>0</v>
      </c>
      <c r="AN707" s="507"/>
      <c r="AO707" s="507"/>
    </row>
    <row r="708" spans="1:41">
      <c r="A708" s="2" t="s">
        <v>496</v>
      </c>
      <c r="B708" s="2" t="s">
        <v>382</v>
      </c>
      <c r="C708" s="2" t="s">
        <v>379</v>
      </c>
      <c r="D708" s="2" t="s">
        <v>30</v>
      </c>
      <c r="E708" s="2" t="s">
        <v>19</v>
      </c>
      <c r="F708" s="2" t="s">
        <v>380</v>
      </c>
      <c r="G708" s="2" t="s">
        <v>57</v>
      </c>
      <c r="H708">
        <v>1</v>
      </c>
      <c r="I708" s="2" t="s">
        <v>526</v>
      </c>
      <c r="J708" s="3">
        <v>0.15684552284455039</v>
      </c>
      <c r="K708" s="3">
        <v>5.2488000000000001</v>
      </c>
      <c r="L708" s="507">
        <v>3738.2119817310631</v>
      </c>
      <c r="M708" s="507">
        <v>0</v>
      </c>
      <c r="N708" s="507">
        <v>3738.2119817310631</v>
      </c>
      <c r="O708" s="507">
        <v>0</v>
      </c>
      <c r="P708">
        <v>1</v>
      </c>
      <c r="Q708" s="2" t="s">
        <v>526</v>
      </c>
      <c r="R708" s="3">
        <v>0.15702038124548567</v>
      </c>
      <c r="S708" s="3">
        <v>5.2488000000000001</v>
      </c>
      <c r="T708" s="507">
        <v>2738.1677553055583</v>
      </c>
      <c r="U708" s="507">
        <v>0</v>
      </c>
      <c r="V708" s="507">
        <v>2738.1677553055583</v>
      </c>
      <c r="W708" s="507">
        <v>0</v>
      </c>
      <c r="X708" s="507">
        <v>3738.2119817310631</v>
      </c>
      <c r="Y708" s="507">
        <v>2738.1677553055583</v>
      </c>
      <c r="Z708" s="507">
        <v>19621.127049710005</v>
      </c>
      <c r="AA708" s="507">
        <v>14372.094914047815</v>
      </c>
      <c r="AB708" s="507">
        <v>14388.117567988989</v>
      </c>
      <c r="AC708" s="507">
        <v>5249.03</v>
      </c>
      <c r="AD708" s="507">
        <v>5233.01</v>
      </c>
      <c r="AE708" s="507">
        <v>16.02</v>
      </c>
      <c r="AF708" s="507">
        <v>5233.01</v>
      </c>
      <c r="AG708" s="507"/>
      <c r="AH708" s="507">
        <v>0</v>
      </c>
      <c r="AI708" s="507">
        <v>0</v>
      </c>
      <c r="AJ708" s="507">
        <v>0</v>
      </c>
      <c r="AK708" s="507">
        <v>0</v>
      </c>
      <c r="AL708" s="507">
        <v>0</v>
      </c>
      <c r="AM708" s="507">
        <v>0</v>
      </c>
      <c r="AN708" s="507"/>
      <c r="AO708" s="507"/>
    </row>
    <row r="709" spans="1:41">
      <c r="A709" s="2" t="s">
        <v>497</v>
      </c>
      <c r="B709" s="2" t="s">
        <v>382</v>
      </c>
      <c r="C709" s="2" t="s">
        <v>379</v>
      </c>
      <c r="D709" s="2" t="s">
        <v>30</v>
      </c>
      <c r="E709" s="2" t="s">
        <v>19</v>
      </c>
      <c r="F709" s="2" t="s">
        <v>380</v>
      </c>
      <c r="G709" s="2" t="s">
        <v>57</v>
      </c>
      <c r="H709">
        <v>1</v>
      </c>
      <c r="I709" s="2" t="s">
        <v>526</v>
      </c>
      <c r="J709" s="3">
        <v>0.15684552284455039</v>
      </c>
      <c r="K709" s="3">
        <v>5.2488000000000001</v>
      </c>
      <c r="L709" s="507">
        <v>2645.4414070987195</v>
      </c>
      <c r="M709" s="507">
        <v>0</v>
      </c>
      <c r="N709" s="507">
        <v>2645.4414070987195</v>
      </c>
      <c r="O709" s="507">
        <v>0</v>
      </c>
      <c r="P709">
        <v>1</v>
      </c>
      <c r="Q709" s="2" t="s">
        <v>526</v>
      </c>
      <c r="R709" s="3">
        <v>0.15702038124548567</v>
      </c>
      <c r="S709" s="3">
        <v>5.2488000000000001</v>
      </c>
      <c r="T709" s="507">
        <v>5355.2077230518771</v>
      </c>
      <c r="U709" s="507">
        <v>0</v>
      </c>
      <c r="V709" s="507">
        <v>5355.2077230518771</v>
      </c>
      <c r="W709" s="507">
        <v>0</v>
      </c>
      <c r="X709" s="507">
        <v>2645.4414070987195</v>
      </c>
      <c r="Y709" s="507">
        <v>5355.2077230518771</v>
      </c>
      <c r="Z709" s="507">
        <v>13885.39285757976</v>
      </c>
      <c r="AA709" s="507">
        <v>28108.414296754694</v>
      </c>
      <c r="AB709" s="507">
        <v>28139.750813651186</v>
      </c>
      <c r="AC709" s="507">
        <v>-14223.02</v>
      </c>
      <c r="AD709" s="507">
        <v>-14254.36</v>
      </c>
      <c r="AE709" s="507">
        <v>31.34</v>
      </c>
      <c r="AF709" s="507"/>
      <c r="AG709" s="507">
        <v>-14254.36</v>
      </c>
      <c r="AH709" s="507">
        <v>0</v>
      </c>
      <c r="AI709" s="507">
        <v>0</v>
      </c>
      <c r="AJ709" s="507">
        <v>0</v>
      </c>
      <c r="AK709" s="507">
        <v>0</v>
      </c>
      <c r="AL709" s="507">
        <v>0</v>
      </c>
      <c r="AM709" s="507">
        <v>0</v>
      </c>
      <c r="AN709" s="507"/>
      <c r="AO709" s="507"/>
    </row>
    <row r="710" spans="1:41">
      <c r="A710" s="2" t="s">
        <v>498</v>
      </c>
      <c r="B710" s="2" t="s">
        <v>382</v>
      </c>
      <c r="C710" s="2" t="s">
        <v>379</v>
      </c>
      <c r="D710" s="2" t="s">
        <v>30</v>
      </c>
      <c r="E710" s="2" t="s">
        <v>19</v>
      </c>
      <c r="F710" s="2" t="s">
        <v>380</v>
      </c>
      <c r="G710" s="2" t="s">
        <v>57</v>
      </c>
      <c r="H710">
        <v>1</v>
      </c>
      <c r="I710" s="2" t="s">
        <v>526</v>
      </c>
      <c r="J710" s="3">
        <v>0.15684552284455039</v>
      </c>
      <c r="K710" s="3">
        <v>5.2488000000000001</v>
      </c>
      <c r="L710" s="507">
        <v>249.70284102848251</v>
      </c>
      <c r="M710" s="507">
        <v>0</v>
      </c>
      <c r="N710" s="507">
        <v>249.70284102848251</v>
      </c>
      <c r="O710" s="507">
        <v>0</v>
      </c>
      <c r="P710">
        <v>1</v>
      </c>
      <c r="Q710" s="2" t="s">
        <v>526</v>
      </c>
      <c r="R710" s="3">
        <v>0.15702038124548567</v>
      </c>
      <c r="S710" s="3">
        <v>5.2488000000000001</v>
      </c>
      <c r="T710" s="507">
        <v>3340.7436022039228</v>
      </c>
      <c r="U710" s="507">
        <v>0</v>
      </c>
      <c r="V710" s="507">
        <v>3340.7436022039228</v>
      </c>
      <c r="W710" s="507">
        <v>0</v>
      </c>
      <c r="X710" s="507">
        <v>249.70284102848251</v>
      </c>
      <c r="Y710" s="507">
        <v>3340.7436022039228</v>
      </c>
      <c r="Z710" s="507">
        <v>1310.640271990299</v>
      </c>
      <c r="AA710" s="507">
        <v>17534.89501924795</v>
      </c>
      <c r="AB710" s="507">
        <v>17554.443704145207</v>
      </c>
      <c r="AC710" s="507">
        <v>-16224.25</v>
      </c>
      <c r="AD710" s="507">
        <v>-16243.8</v>
      </c>
      <c r="AE710" s="507">
        <v>19.55</v>
      </c>
      <c r="AF710" s="507"/>
      <c r="AG710" s="507">
        <v>-16243.8</v>
      </c>
      <c r="AH710" s="507">
        <v>0</v>
      </c>
      <c r="AI710" s="507">
        <v>0</v>
      </c>
      <c r="AJ710" s="507">
        <v>0</v>
      </c>
      <c r="AK710" s="507">
        <v>0</v>
      </c>
      <c r="AL710" s="507">
        <v>0</v>
      </c>
      <c r="AM710" s="507">
        <v>0</v>
      </c>
      <c r="AN710" s="507"/>
      <c r="AO710" s="507"/>
    </row>
    <row r="711" spans="1:41">
      <c r="A711" s="2" t="s">
        <v>499</v>
      </c>
      <c r="B711" s="2" t="s">
        <v>382</v>
      </c>
      <c r="C711" s="2" t="s">
        <v>379</v>
      </c>
      <c r="D711" s="2" t="s">
        <v>30</v>
      </c>
      <c r="E711" s="2" t="s">
        <v>19</v>
      </c>
      <c r="F711" s="2" t="s">
        <v>380</v>
      </c>
      <c r="G711" s="2" t="s">
        <v>57</v>
      </c>
      <c r="H711">
        <v>1</v>
      </c>
      <c r="I711" s="2" t="s">
        <v>526</v>
      </c>
      <c r="J711" s="3">
        <v>0.15684552284455039</v>
      </c>
      <c r="K711" s="3">
        <v>5.2488000000000001</v>
      </c>
      <c r="L711" s="507">
        <v>7944.4907191914481</v>
      </c>
      <c r="M711" s="507">
        <v>0</v>
      </c>
      <c r="N711" s="507">
        <v>7944.4907191914481</v>
      </c>
      <c r="O711" s="507">
        <v>0</v>
      </c>
      <c r="P711">
        <v>1</v>
      </c>
      <c r="Q711" s="2" t="s">
        <v>526</v>
      </c>
      <c r="R711" s="3">
        <v>0.15702038124548567</v>
      </c>
      <c r="S711" s="3">
        <v>5.2488000000000001</v>
      </c>
      <c r="T711" s="507">
        <v>1446.6469165981227</v>
      </c>
      <c r="U711" s="507">
        <v>0</v>
      </c>
      <c r="V711" s="507">
        <v>1446.6469165981227</v>
      </c>
      <c r="W711" s="507">
        <v>0</v>
      </c>
      <c r="X711" s="507">
        <v>7944.4907191914481</v>
      </c>
      <c r="Y711" s="507">
        <v>1446.6469165981227</v>
      </c>
      <c r="Z711" s="507">
        <v>41699.042886892072</v>
      </c>
      <c r="AA711" s="507">
        <v>7593.1603358402272</v>
      </c>
      <c r="AB711" s="507">
        <v>7601.6255304488495</v>
      </c>
      <c r="AC711" s="507">
        <v>34105.879999999997</v>
      </c>
      <c r="AD711" s="507">
        <v>34097.42</v>
      </c>
      <c r="AE711" s="507">
        <v>8.4600000000000009</v>
      </c>
      <c r="AF711" s="507">
        <v>34097.42</v>
      </c>
      <c r="AG711" s="507"/>
      <c r="AH711" s="507">
        <v>0</v>
      </c>
      <c r="AI711" s="507">
        <v>0</v>
      </c>
      <c r="AJ711" s="507">
        <v>0</v>
      </c>
      <c r="AK711" s="507">
        <v>0</v>
      </c>
      <c r="AL711" s="507">
        <v>0</v>
      </c>
      <c r="AM711" s="507">
        <v>0</v>
      </c>
      <c r="AN711" s="507"/>
      <c r="AO711" s="507"/>
    </row>
    <row r="712" spans="1:41">
      <c r="A712" s="2" t="s">
        <v>500</v>
      </c>
      <c r="B712" s="2" t="s">
        <v>382</v>
      </c>
      <c r="C712" s="2" t="s">
        <v>379</v>
      </c>
      <c r="D712" s="2" t="s">
        <v>30</v>
      </c>
      <c r="E712" s="2" t="s">
        <v>19</v>
      </c>
      <c r="F712" s="2" t="s">
        <v>380</v>
      </c>
      <c r="G712" s="2" t="s">
        <v>57</v>
      </c>
      <c r="H712">
        <v>1</v>
      </c>
      <c r="I712" s="2" t="s">
        <v>526</v>
      </c>
      <c r="J712" s="3">
        <v>0.15684552284455039</v>
      </c>
      <c r="K712" s="3">
        <v>5.2488000000000001</v>
      </c>
      <c r="L712" s="507">
        <v>3071.3717850123644</v>
      </c>
      <c r="M712" s="507">
        <v>0</v>
      </c>
      <c r="N712" s="507">
        <v>3071.3717850123644</v>
      </c>
      <c r="O712" s="507">
        <v>0</v>
      </c>
      <c r="P712">
        <v>1</v>
      </c>
      <c r="Q712" s="2" t="s">
        <v>526</v>
      </c>
      <c r="R712" s="3">
        <v>0.15702038124548567</v>
      </c>
      <c r="S712" s="3">
        <v>5.2488000000000001</v>
      </c>
      <c r="T712" s="507">
        <v>8585.9252796399051</v>
      </c>
      <c r="U712" s="507">
        <v>0</v>
      </c>
      <c r="V712" s="507">
        <v>8585.9252796399051</v>
      </c>
      <c r="W712" s="507">
        <v>0</v>
      </c>
      <c r="X712" s="507">
        <v>3071.3717850123644</v>
      </c>
      <c r="Y712" s="507">
        <v>8585.9252796399051</v>
      </c>
      <c r="Z712" s="507">
        <v>16121.016225172898</v>
      </c>
      <c r="AA712" s="507">
        <v>45065.804607773935</v>
      </c>
      <c r="AB712" s="507">
        <v>45116.045981500531</v>
      </c>
      <c r="AC712" s="507">
        <v>-28944.79</v>
      </c>
      <c r="AD712" s="507">
        <v>-28995.03</v>
      </c>
      <c r="AE712" s="507">
        <v>50.24</v>
      </c>
      <c r="AF712" s="507"/>
      <c r="AG712" s="507">
        <v>-28995.03</v>
      </c>
      <c r="AH712" s="507">
        <v>0</v>
      </c>
      <c r="AI712" s="507">
        <v>0</v>
      </c>
      <c r="AJ712" s="507">
        <v>0</v>
      </c>
      <c r="AK712" s="507">
        <v>0</v>
      </c>
      <c r="AL712" s="507">
        <v>0</v>
      </c>
      <c r="AM712" s="507">
        <v>0</v>
      </c>
      <c r="AN712" s="507"/>
      <c r="AO712" s="507"/>
    </row>
    <row r="713" spans="1:41">
      <c r="A713" s="2" t="s">
        <v>501</v>
      </c>
      <c r="B713" s="2" t="s">
        <v>382</v>
      </c>
      <c r="C713" s="2" t="s">
        <v>379</v>
      </c>
      <c r="D713" s="2" t="s">
        <v>30</v>
      </c>
      <c r="E713" s="2" t="s">
        <v>19</v>
      </c>
      <c r="F713" s="2" t="s">
        <v>380</v>
      </c>
      <c r="G713" s="2" t="s">
        <v>57</v>
      </c>
      <c r="H713">
        <v>1</v>
      </c>
      <c r="I713" s="2" t="s">
        <v>526</v>
      </c>
      <c r="J713" s="3">
        <v>0.15684552284455039</v>
      </c>
      <c r="K713" s="3">
        <v>5.2488000000000001</v>
      </c>
      <c r="L713" s="507">
        <v>5925.3082271801522</v>
      </c>
      <c r="M713" s="507">
        <v>0</v>
      </c>
      <c r="N713" s="507">
        <v>5925.3082271801522</v>
      </c>
      <c r="O713" s="507">
        <v>0</v>
      </c>
      <c r="P713">
        <v>1</v>
      </c>
      <c r="Q713" s="2" t="s">
        <v>526</v>
      </c>
      <c r="R713" s="3">
        <v>0.15702038124548567</v>
      </c>
      <c r="S713" s="3">
        <v>5.2488000000000001</v>
      </c>
      <c r="T713" s="507">
        <v>14952.847926924253</v>
      </c>
      <c r="U713" s="507">
        <v>0</v>
      </c>
      <c r="V713" s="507">
        <v>14952.847926924253</v>
      </c>
      <c r="W713" s="507">
        <v>0</v>
      </c>
      <c r="X713" s="507">
        <v>5925.3082271801522</v>
      </c>
      <c r="Y713" s="507">
        <v>14952.847926924253</v>
      </c>
      <c r="Z713" s="507">
        <v>31100.757822823183</v>
      </c>
      <c r="AA713" s="507">
        <v>78484.50819884002</v>
      </c>
      <c r="AB713" s="507">
        <v>78572.006237374677</v>
      </c>
      <c r="AC713" s="507">
        <v>-47383.75</v>
      </c>
      <c r="AD713" s="507">
        <v>-47471.25</v>
      </c>
      <c r="AE713" s="507">
        <v>87.5</v>
      </c>
      <c r="AF713" s="507"/>
      <c r="AG713" s="507">
        <v>-47471.25</v>
      </c>
      <c r="AH713" s="507">
        <v>0</v>
      </c>
      <c r="AI713" s="507">
        <v>0</v>
      </c>
      <c r="AJ713" s="507">
        <v>0</v>
      </c>
      <c r="AK713" s="507">
        <v>0</v>
      </c>
      <c r="AL713" s="507">
        <v>0</v>
      </c>
      <c r="AM713" s="507">
        <v>0</v>
      </c>
      <c r="AN713" s="507"/>
      <c r="AO713" s="507"/>
    </row>
    <row r="714" spans="1:41">
      <c r="A714" s="2" t="s">
        <v>502</v>
      </c>
      <c r="B714" s="2" t="s">
        <v>382</v>
      </c>
      <c r="C714" s="2" t="s">
        <v>379</v>
      </c>
      <c r="D714" s="2" t="s">
        <v>30</v>
      </c>
      <c r="E714" s="2" t="s">
        <v>19</v>
      </c>
      <c r="F714" s="2" t="s">
        <v>380</v>
      </c>
      <c r="G714" s="2" t="s">
        <v>57</v>
      </c>
      <c r="H714">
        <v>1</v>
      </c>
      <c r="I714" s="2" t="s">
        <v>526</v>
      </c>
      <c r="J714" s="3">
        <v>0.15684552284455039</v>
      </c>
      <c r="K714" s="3">
        <v>5.2488000000000001</v>
      </c>
      <c r="L714" s="507">
        <v>14952.847926924253</v>
      </c>
      <c r="M714" s="507">
        <v>0</v>
      </c>
      <c r="N714" s="507">
        <v>14952.847926924253</v>
      </c>
      <c r="O714" s="507">
        <v>0</v>
      </c>
      <c r="P714">
        <v>1</v>
      </c>
      <c r="Q714" s="2" t="s">
        <v>526</v>
      </c>
      <c r="R714" s="3">
        <v>0.15702038124548567</v>
      </c>
      <c r="S714" s="3">
        <v>5.2488000000000001</v>
      </c>
      <c r="T714" s="507">
        <v>26295.001759238254</v>
      </c>
      <c r="U714" s="507">
        <v>0</v>
      </c>
      <c r="V714" s="507">
        <v>26295.001759238254</v>
      </c>
      <c r="W714" s="507">
        <v>0</v>
      </c>
      <c r="X714" s="507">
        <v>14952.847926924253</v>
      </c>
      <c r="Y714" s="507">
        <v>26295.001759238254</v>
      </c>
      <c r="Z714" s="507">
        <v>78484.50819884002</v>
      </c>
      <c r="AA714" s="507">
        <v>138017.20523388975</v>
      </c>
      <c r="AB714" s="507">
        <v>138171.07298459802</v>
      </c>
      <c r="AC714" s="507">
        <v>-59532.7</v>
      </c>
      <c r="AD714" s="507">
        <v>-59686.559999999998</v>
      </c>
      <c r="AE714" s="507">
        <v>153.86000000000001</v>
      </c>
      <c r="AF714" s="507"/>
      <c r="AG714" s="507">
        <v>-59686.559999999998</v>
      </c>
      <c r="AH714" s="507">
        <v>0</v>
      </c>
      <c r="AI714" s="507">
        <v>0</v>
      </c>
      <c r="AJ714" s="507">
        <v>0</v>
      </c>
      <c r="AK714" s="507">
        <v>0</v>
      </c>
      <c r="AL714" s="507">
        <v>0</v>
      </c>
      <c r="AM714" s="507">
        <v>0</v>
      </c>
      <c r="AN714" s="507"/>
      <c r="AO714" s="507"/>
    </row>
    <row r="715" spans="1:41">
      <c r="A715" s="2" t="s">
        <v>503</v>
      </c>
      <c r="B715" s="2" t="s">
        <v>382</v>
      </c>
      <c r="C715" s="2" t="s">
        <v>379</v>
      </c>
      <c r="D715" s="2" t="s">
        <v>30</v>
      </c>
      <c r="E715" s="2" t="s">
        <v>19</v>
      </c>
      <c r="F715" s="2" t="s">
        <v>380</v>
      </c>
      <c r="G715" s="2" t="s">
        <v>57</v>
      </c>
      <c r="H715">
        <v>1</v>
      </c>
      <c r="I715" s="2" t="s">
        <v>526</v>
      </c>
      <c r="J715" s="3">
        <v>0.15684552284455039</v>
      </c>
      <c r="K715" s="3">
        <v>5.2488000000000001</v>
      </c>
      <c r="L715" s="507">
        <v>347.63502324108026</v>
      </c>
      <c r="M715" s="507">
        <v>0</v>
      </c>
      <c r="N715" s="507">
        <v>347.63502324108026</v>
      </c>
      <c r="O715" s="507">
        <v>0</v>
      </c>
      <c r="P715">
        <v>1</v>
      </c>
      <c r="Q715" s="2" t="s">
        <v>526</v>
      </c>
      <c r="R715" s="3">
        <v>0.15702038124548567</v>
      </c>
      <c r="S715" s="3">
        <v>5.2488000000000001</v>
      </c>
      <c r="T715" s="507">
        <v>3669.9492403750683</v>
      </c>
      <c r="U715" s="507">
        <v>0</v>
      </c>
      <c r="V715" s="507">
        <v>3669.9492403750683</v>
      </c>
      <c r="W715" s="507">
        <v>0</v>
      </c>
      <c r="X715" s="507">
        <v>347.63502324108026</v>
      </c>
      <c r="Y715" s="507">
        <v>3669.9492403750683</v>
      </c>
      <c r="Z715" s="507">
        <v>1824.666709987782</v>
      </c>
      <c r="AA715" s="507">
        <v>19262.829572880659</v>
      </c>
      <c r="AB715" s="507">
        <v>19284.304636468805</v>
      </c>
      <c r="AC715" s="507">
        <v>-17438.16</v>
      </c>
      <c r="AD715" s="507">
        <v>-17459.64</v>
      </c>
      <c r="AE715" s="507">
        <v>21.48</v>
      </c>
      <c r="AF715" s="507"/>
      <c r="AG715" s="507">
        <v>-17459.64</v>
      </c>
      <c r="AH715" s="507">
        <v>0</v>
      </c>
      <c r="AI715" s="507">
        <v>0</v>
      </c>
      <c r="AJ715" s="507">
        <v>0</v>
      </c>
      <c r="AK715" s="507">
        <v>0</v>
      </c>
      <c r="AL715" s="507">
        <v>0</v>
      </c>
      <c r="AM715" s="507">
        <v>0</v>
      </c>
      <c r="AN715" s="507"/>
      <c r="AO715" s="507"/>
    </row>
    <row r="716" spans="1:41">
      <c r="A716" s="2" t="s">
        <v>504</v>
      </c>
      <c r="B716" s="2" t="s">
        <v>382</v>
      </c>
      <c r="C716" s="2" t="s">
        <v>379</v>
      </c>
      <c r="D716" s="2" t="s">
        <v>30</v>
      </c>
      <c r="E716" s="2" t="s">
        <v>19</v>
      </c>
      <c r="F716" s="2" t="s">
        <v>380</v>
      </c>
      <c r="G716" s="2" t="s">
        <v>57</v>
      </c>
      <c r="H716">
        <v>1</v>
      </c>
      <c r="I716" s="2" t="s">
        <v>526</v>
      </c>
      <c r="J716" s="3">
        <v>0.15684552284455039</v>
      </c>
      <c r="K716" s="3">
        <v>5.2488000000000001</v>
      </c>
      <c r="L716" s="508">
        <v>1329.1287465284429</v>
      </c>
      <c r="M716" s="508">
        <v>0</v>
      </c>
      <c r="N716" s="508">
        <v>1329.1287465284429</v>
      </c>
      <c r="O716" s="508">
        <v>0</v>
      </c>
      <c r="P716">
        <v>1</v>
      </c>
      <c r="Q716" s="2" t="s">
        <v>526</v>
      </c>
      <c r="R716" s="3">
        <v>0.15702038124548567</v>
      </c>
      <c r="S716" s="3">
        <v>5.2488000000000001</v>
      </c>
      <c r="T716" s="508">
        <v>336.43907835579574</v>
      </c>
      <c r="U716" s="508">
        <v>0</v>
      </c>
      <c r="V716" s="508">
        <v>336.43907835579574</v>
      </c>
      <c r="W716" s="508">
        <v>0</v>
      </c>
      <c r="X716" s="508">
        <v>1329.1287465284429</v>
      </c>
      <c r="Y716" s="508">
        <v>336.43907835579574</v>
      </c>
      <c r="Z716" s="508">
        <v>6976.3309647784909</v>
      </c>
      <c r="AA716" s="508">
        <v>1765.9014344739007</v>
      </c>
      <c r="AB716" s="508">
        <v>1767.8701403409307</v>
      </c>
      <c r="AC716" s="508">
        <v>5210.43</v>
      </c>
      <c r="AD716" s="508">
        <v>5208.46</v>
      </c>
      <c r="AE716" s="508">
        <v>1.97</v>
      </c>
      <c r="AF716" s="508">
        <v>5208.46</v>
      </c>
      <c r="AG716" s="508"/>
      <c r="AH716" s="508">
        <v>0</v>
      </c>
      <c r="AI716" s="508">
        <v>0</v>
      </c>
      <c r="AJ716" s="508">
        <v>0</v>
      </c>
      <c r="AK716" s="508">
        <v>0</v>
      </c>
      <c r="AL716" s="508">
        <v>0</v>
      </c>
      <c r="AM716" s="508">
        <v>0</v>
      </c>
      <c r="AN716" s="508"/>
      <c r="AO716" s="508"/>
    </row>
    <row r="717" spans="1:41">
      <c r="A717" s="2" t="s">
        <v>505</v>
      </c>
      <c r="B717" s="2" t="s">
        <v>382</v>
      </c>
      <c r="C717" s="2" t="s">
        <v>379</v>
      </c>
      <c r="D717" s="2" t="s">
        <v>30</v>
      </c>
      <c r="E717" s="2" t="s">
        <v>19</v>
      </c>
      <c r="F717" s="2" t="s">
        <v>380</v>
      </c>
      <c r="G717" s="2" t="s">
        <v>57</v>
      </c>
      <c r="H717">
        <v>1</v>
      </c>
      <c r="I717" s="2" t="s">
        <v>526</v>
      </c>
      <c r="J717" s="3">
        <v>0.15684552284455039</v>
      </c>
      <c r="K717" s="3">
        <v>5.2488000000000001</v>
      </c>
      <c r="L717" s="508">
        <v>1407.3515798885619</v>
      </c>
      <c r="M717" s="508">
        <v>0</v>
      </c>
      <c r="N717" s="508">
        <v>1407.3515798885619</v>
      </c>
      <c r="O717" s="508">
        <v>0</v>
      </c>
      <c r="P717">
        <v>1</v>
      </c>
      <c r="Q717" s="2" t="s">
        <v>526</v>
      </c>
      <c r="R717" s="3">
        <v>0.15702038124548567</v>
      </c>
      <c r="S717" s="3">
        <v>5.2488000000000001</v>
      </c>
      <c r="T717" s="508">
        <v>612.99200076425973</v>
      </c>
      <c r="U717" s="508">
        <v>0</v>
      </c>
      <c r="V717" s="508">
        <v>612.99200076425973</v>
      </c>
      <c r="W717" s="508">
        <v>0</v>
      </c>
      <c r="X717" s="508">
        <v>1407.3515798885619</v>
      </c>
      <c r="Y717" s="508">
        <v>612.99200076425973</v>
      </c>
      <c r="Z717" s="508">
        <v>7386.9069725190839</v>
      </c>
      <c r="AA717" s="508">
        <v>3217.4724136114464</v>
      </c>
      <c r="AB717" s="508">
        <v>3221.0593957011747</v>
      </c>
      <c r="AC717" s="508">
        <v>4169.43</v>
      </c>
      <c r="AD717" s="508">
        <v>4165.8500000000004</v>
      </c>
      <c r="AE717" s="508">
        <v>3.58</v>
      </c>
      <c r="AF717" s="508">
        <v>4165.8500000000004</v>
      </c>
      <c r="AG717" s="508"/>
      <c r="AH717" s="508">
        <v>0</v>
      </c>
      <c r="AI717" s="508">
        <v>0</v>
      </c>
      <c r="AJ717" s="508">
        <v>0</v>
      </c>
      <c r="AK717" s="508">
        <v>0</v>
      </c>
      <c r="AL717" s="508">
        <v>0</v>
      </c>
      <c r="AM717" s="508">
        <v>0</v>
      </c>
      <c r="AN717" s="508"/>
      <c r="AO717" s="508"/>
    </row>
    <row r="718" spans="1:41">
      <c r="A718" s="2" t="s">
        <v>506</v>
      </c>
      <c r="B718" s="2" t="s">
        <v>382</v>
      </c>
      <c r="C718" s="2" t="s">
        <v>379</v>
      </c>
      <c r="D718" s="2" t="s">
        <v>30</v>
      </c>
      <c r="E718" s="2" t="s">
        <v>19</v>
      </c>
      <c r="F718" s="2" t="s">
        <v>380</v>
      </c>
      <c r="G718" s="2" t="s">
        <v>57</v>
      </c>
      <c r="H718">
        <v>1</v>
      </c>
      <c r="I718" s="2" t="s">
        <v>526</v>
      </c>
      <c r="J718" s="3">
        <v>0.15684552284455039</v>
      </c>
      <c r="K718" s="3">
        <v>5.2488000000000001</v>
      </c>
      <c r="L718" s="508">
        <v>2468.1170788181175</v>
      </c>
      <c r="M718" s="508">
        <v>0</v>
      </c>
      <c r="N718" s="508">
        <v>2468.1170788181175</v>
      </c>
      <c r="O718" s="508">
        <v>0</v>
      </c>
      <c r="P718">
        <v>1</v>
      </c>
      <c r="Q718" s="2" t="s">
        <v>526</v>
      </c>
      <c r="R718" s="3">
        <v>0.15702038124548567</v>
      </c>
      <c r="S718" s="3">
        <v>5.2488000000000001</v>
      </c>
      <c r="T718" s="508">
        <v>3676.8028782223741</v>
      </c>
      <c r="U718" s="508">
        <v>0</v>
      </c>
      <c r="V718" s="508">
        <v>3676.8028782223741</v>
      </c>
      <c r="W718" s="508">
        <v>0</v>
      </c>
      <c r="X718" s="508">
        <v>2468.1170788181175</v>
      </c>
      <c r="Y718" s="508">
        <v>3676.8028782223741</v>
      </c>
      <c r="Z718" s="508">
        <v>12954.652923300535</v>
      </c>
      <c r="AA718" s="508">
        <v>19298.802947213597</v>
      </c>
      <c r="AB718" s="508">
        <v>19320.318115527705</v>
      </c>
      <c r="AC718" s="508">
        <v>-6344.15</v>
      </c>
      <c r="AD718" s="508">
        <v>-6365.67</v>
      </c>
      <c r="AE718" s="508">
        <v>21.52</v>
      </c>
      <c r="AF718" s="508"/>
      <c r="AG718" s="508">
        <v>-6365.67</v>
      </c>
      <c r="AH718" s="508">
        <v>0</v>
      </c>
      <c r="AI718" s="508">
        <v>0</v>
      </c>
      <c r="AJ718" s="508">
        <v>0</v>
      </c>
      <c r="AK718" s="508">
        <v>0</v>
      </c>
      <c r="AL718" s="508">
        <v>0</v>
      </c>
      <c r="AM718" s="508">
        <v>0</v>
      </c>
      <c r="AN718" s="508"/>
      <c r="AO718" s="508"/>
    </row>
    <row r="719" spans="1:41">
      <c r="A719" s="2" t="s">
        <v>507</v>
      </c>
      <c r="B719" s="2" t="s">
        <v>382</v>
      </c>
      <c r="C719" s="2" t="s">
        <v>379</v>
      </c>
      <c r="D719" s="2" t="s">
        <v>30</v>
      </c>
      <c r="E719" s="2" t="s">
        <v>19</v>
      </c>
      <c r="F719" s="2" t="s">
        <v>380</v>
      </c>
      <c r="G719" s="2" t="s">
        <v>57</v>
      </c>
      <c r="H719">
        <v>1</v>
      </c>
      <c r="I719" s="2" t="s">
        <v>526</v>
      </c>
      <c r="J719" s="3">
        <v>0.15684552284455039</v>
      </c>
      <c r="K719" s="3">
        <v>5.2488000000000001</v>
      </c>
      <c r="L719" s="508">
        <v>2738.1677553055583</v>
      </c>
      <c r="M719" s="508">
        <v>0</v>
      </c>
      <c r="N719" s="508">
        <v>2738.1677553055583</v>
      </c>
      <c r="O719" s="508">
        <v>0</v>
      </c>
      <c r="P719">
        <v>1</v>
      </c>
      <c r="Q719" s="2" t="s">
        <v>526</v>
      </c>
      <c r="R719" s="3">
        <v>0.15702038124548567</v>
      </c>
      <c r="S719" s="3">
        <v>5.2488000000000001</v>
      </c>
      <c r="T719" s="508">
        <v>462.53644492354795</v>
      </c>
      <c r="U719" s="508">
        <v>0</v>
      </c>
      <c r="V719" s="508">
        <v>462.53644492354795</v>
      </c>
      <c r="W719" s="508">
        <v>0</v>
      </c>
      <c r="X719" s="508">
        <v>2738.1677553055583</v>
      </c>
      <c r="Y719" s="508">
        <v>462.53644492354795</v>
      </c>
      <c r="Z719" s="508">
        <v>14372.094914047815</v>
      </c>
      <c r="AA719" s="508">
        <v>2427.7612921147183</v>
      </c>
      <c r="AB719" s="508">
        <v>2430.4678689407115</v>
      </c>
      <c r="AC719" s="508">
        <v>11944.33</v>
      </c>
      <c r="AD719" s="508">
        <v>11941.63</v>
      </c>
      <c r="AE719" s="508">
        <v>2.7</v>
      </c>
      <c r="AF719" s="508">
        <v>11941.63</v>
      </c>
      <c r="AG719" s="508"/>
      <c r="AH719" s="508">
        <v>0</v>
      </c>
      <c r="AI719" s="508">
        <v>0</v>
      </c>
      <c r="AJ719" s="508">
        <v>0</v>
      </c>
      <c r="AK719" s="508">
        <v>0</v>
      </c>
      <c r="AL719" s="508">
        <v>0</v>
      </c>
      <c r="AM719" s="508">
        <v>0</v>
      </c>
      <c r="AN719" s="508"/>
      <c r="AO719" s="508"/>
    </row>
    <row r="720" spans="1:41">
      <c r="A720" s="2" t="s">
        <v>508</v>
      </c>
      <c r="B720" s="2" t="s">
        <v>382</v>
      </c>
      <c r="C720" s="2" t="s">
        <v>379</v>
      </c>
      <c r="D720" s="2" t="s">
        <v>30</v>
      </c>
      <c r="E720" s="2" t="s">
        <v>19</v>
      </c>
      <c r="F720" s="2" t="s">
        <v>380</v>
      </c>
      <c r="G720" s="2" t="s">
        <v>57</v>
      </c>
      <c r="H720">
        <v>1</v>
      </c>
      <c r="I720" s="2" t="s">
        <v>526</v>
      </c>
      <c r="J720" s="3">
        <v>0.15684552284455039</v>
      </c>
      <c r="K720" s="3">
        <v>5.2488000000000001</v>
      </c>
      <c r="L720" s="508">
        <v>5355.2077230518771</v>
      </c>
      <c r="M720" s="508">
        <v>0</v>
      </c>
      <c r="N720" s="508">
        <v>5355.2077230518771</v>
      </c>
      <c r="O720" s="508">
        <v>0</v>
      </c>
      <c r="P720">
        <v>1</v>
      </c>
      <c r="Q720" s="2" t="s">
        <v>526</v>
      </c>
      <c r="R720" s="3">
        <v>0.15702038124548567</v>
      </c>
      <c r="S720" s="3">
        <v>5.2488000000000001</v>
      </c>
      <c r="T720" s="508">
        <v>268.31390320072887</v>
      </c>
      <c r="U720" s="508">
        <v>0</v>
      </c>
      <c r="V720" s="508">
        <v>268.31390320072887</v>
      </c>
      <c r="W720" s="508">
        <v>0</v>
      </c>
      <c r="X720" s="508">
        <v>5355.2077230518771</v>
      </c>
      <c r="Y720" s="508">
        <v>268.31390320072887</v>
      </c>
      <c r="Z720" s="508">
        <v>28108.414296754694</v>
      </c>
      <c r="AA720" s="508">
        <v>1408.3260151199856</v>
      </c>
      <c r="AB720" s="508">
        <v>1409.8960799234519</v>
      </c>
      <c r="AC720" s="508">
        <v>26700.09</v>
      </c>
      <c r="AD720" s="508">
        <v>26698.52</v>
      </c>
      <c r="AE720" s="508">
        <v>1.57</v>
      </c>
      <c r="AF720" s="508">
        <v>26698.52</v>
      </c>
      <c r="AG720" s="508"/>
      <c r="AH720" s="508">
        <v>0</v>
      </c>
      <c r="AI720" s="508">
        <v>0</v>
      </c>
      <c r="AJ720" s="508">
        <v>0</v>
      </c>
      <c r="AK720" s="508">
        <v>0</v>
      </c>
      <c r="AL720" s="508">
        <v>0</v>
      </c>
      <c r="AM720" s="508">
        <v>0</v>
      </c>
      <c r="AN720" s="508"/>
      <c r="AO720" s="508"/>
    </row>
    <row r="721" spans="1:41">
      <c r="A721" s="2" t="s">
        <v>509</v>
      </c>
      <c r="B721" s="2" t="s">
        <v>382</v>
      </c>
      <c r="C721" s="2" t="s">
        <v>379</v>
      </c>
      <c r="D721" s="2" t="s">
        <v>30</v>
      </c>
      <c r="E721" s="2" t="s">
        <v>19</v>
      </c>
      <c r="F721" s="2" t="s">
        <v>380</v>
      </c>
      <c r="G721" s="2" t="s">
        <v>57</v>
      </c>
      <c r="H721">
        <v>1</v>
      </c>
      <c r="I721" s="2" t="s">
        <v>526</v>
      </c>
      <c r="J721" s="3">
        <v>0.15684552284455039</v>
      </c>
      <c r="K721" s="3">
        <v>5.2488000000000001</v>
      </c>
      <c r="L721" s="508">
        <v>7474.4942894308297</v>
      </c>
      <c r="M721" s="508">
        <v>0</v>
      </c>
      <c r="N721" s="508">
        <v>7474.4942894308297</v>
      </c>
      <c r="O721" s="508">
        <v>0</v>
      </c>
      <c r="P721">
        <v>1</v>
      </c>
      <c r="Q721" s="2" t="s">
        <v>526</v>
      </c>
      <c r="R721" s="3">
        <v>0.15702038124548567</v>
      </c>
      <c r="S721" s="3">
        <v>5.2488000000000001</v>
      </c>
      <c r="T721" s="508">
        <v>13457.563134231828</v>
      </c>
      <c r="U721" s="508">
        <v>0</v>
      </c>
      <c r="V721" s="508">
        <v>13457.563134231828</v>
      </c>
      <c r="W721" s="508">
        <v>0</v>
      </c>
      <c r="X721" s="508">
        <v>7474.4942894308297</v>
      </c>
      <c r="Y721" s="508">
        <v>13457.563134231828</v>
      </c>
      <c r="Z721" s="508">
        <v>39232.125626364541</v>
      </c>
      <c r="AA721" s="508">
        <v>70636.057378956029</v>
      </c>
      <c r="AB721" s="508">
        <v>70714.805613637218</v>
      </c>
      <c r="AC721" s="508">
        <v>-31403.93</v>
      </c>
      <c r="AD721" s="508">
        <v>-31482.68</v>
      </c>
      <c r="AE721" s="508">
        <v>78.75</v>
      </c>
      <c r="AF721" s="508"/>
      <c r="AG721" s="508">
        <v>-31482.68</v>
      </c>
      <c r="AH721" s="508">
        <v>0</v>
      </c>
      <c r="AI721" s="508">
        <v>0</v>
      </c>
      <c r="AJ721" s="508">
        <v>0</v>
      </c>
      <c r="AK721" s="508">
        <v>0</v>
      </c>
      <c r="AL721" s="508">
        <v>0</v>
      </c>
      <c r="AM721" s="508">
        <v>0</v>
      </c>
      <c r="AN721" s="508"/>
      <c r="AO721" s="508"/>
    </row>
    <row r="722" spans="1:41">
      <c r="A722" s="2" t="s">
        <v>510</v>
      </c>
      <c r="B722" s="2" t="s">
        <v>382</v>
      </c>
      <c r="C722" s="2" t="s">
        <v>379</v>
      </c>
      <c r="D722" s="2" t="s">
        <v>30</v>
      </c>
      <c r="E722" s="2" t="s">
        <v>19</v>
      </c>
      <c r="F722" s="2" t="s">
        <v>380</v>
      </c>
      <c r="G722" s="2" t="s">
        <v>57</v>
      </c>
      <c r="H722">
        <v>1</v>
      </c>
      <c r="I722" s="2" t="s">
        <v>526</v>
      </c>
      <c r="J722" s="3">
        <v>0.15684552284455039</v>
      </c>
      <c r="K722" s="3">
        <v>5.2488000000000001</v>
      </c>
      <c r="L722" s="508">
        <v>5430.1090939305668</v>
      </c>
      <c r="M722" s="508">
        <v>0</v>
      </c>
      <c r="N722" s="508">
        <v>5430.1090939305668</v>
      </c>
      <c r="O722" s="508">
        <v>0</v>
      </c>
      <c r="P722">
        <v>1</v>
      </c>
      <c r="Q722" s="2" t="s">
        <v>526</v>
      </c>
      <c r="R722" s="3">
        <v>0.15702038124548567</v>
      </c>
      <c r="S722" s="3">
        <v>5.2488000000000001</v>
      </c>
      <c r="T722" s="508">
        <v>9169.9693144600369</v>
      </c>
      <c r="U722" s="508">
        <v>0</v>
      </c>
      <c r="V722" s="508">
        <v>9169.9693144600369</v>
      </c>
      <c r="W722" s="508">
        <v>0</v>
      </c>
      <c r="X722" s="508">
        <v>5430.1090939305668</v>
      </c>
      <c r="Y722" s="508">
        <v>9169.9693144600369</v>
      </c>
      <c r="Z722" s="508">
        <v>28501.556612222761</v>
      </c>
      <c r="AA722" s="508">
        <v>48131.33493773784</v>
      </c>
      <c r="AB722" s="508">
        <v>48184.99390172647</v>
      </c>
      <c r="AC722" s="508">
        <v>-19629.78</v>
      </c>
      <c r="AD722" s="508">
        <v>-19683.439999999999</v>
      </c>
      <c r="AE722" s="508">
        <v>53.66</v>
      </c>
      <c r="AF722" s="508"/>
      <c r="AG722" s="508">
        <v>-19683.439999999999</v>
      </c>
      <c r="AH722" s="508">
        <v>0</v>
      </c>
      <c r="AI722" s="508">
        <v>0</v>
      </c>
      <c r="AJ722" s="508">
        <v>0</v>
      </c>
      <c r="AK722" s="508">
        <v>0</v>
      </c>
      <c r="AL722" s="508">
        <v>0</v>
      </c>
      <c r="AM722" s="508">
        <v>0</v>
      </c>
      <c r="AN722" s="508"/>
      <c r="AO722" s="508"/>
    </row>
    <row r="723" spans="1:41">
      <c r="A723" s="2" t="s">
        <v>511</v>
      </c>
      <c r="B723" s="2" t="s">
        <v>382</v>
      </c>
      <c r="C723" s="2" t="s">
        <v>379</v>
      </c>
      <c r="D723" s="2" t="s">
        <v>30</v>
      </c>
      <c r="E723" s="2" t="s">
        <v>19</v>
      </c>
      <c r="F723" s="2" t="s">
        <v>380</v>
      </c>
      <c r="G723" s="2" t="s">
        <v>57</v>
      </c>
      <c r="H723">
        <v>1</v>
      </c>
      <c r="I723" s="2" t="s">
        <v>526</v>
      </c>
      <c r="J723" s="3">
        <v>0.15684552284455039</v>
      </c>
      <c r="K723" s="3">
        <v>5.2488000000000001</v>
      </c>
      <c r="L723" s="508">
        <v>3340.7436022039228</v>
      </c>
      <c r="M723" s="508">
        <v>0</v>
      </c>
      <c r="N723" s="508">
        <v>3340.7436022039228</v>
      </c>
      <c r="O723" s="508">
        <v>0</v>
      </c>
      <c r="P723">
        <v>1</v>
      </c>
      <c r="Q723" s="2" t="s">
        <v>526</v>
      </c>
      <c r="R723" s="3">
        <v>0.15702038124548567</v>
      </c>
      <c r="S723" s="3">
        <v>5.2488000000000001</v>
      </c>
      <c r="T723" s="508">
        <v>2677.606478274326</v>
      </c>
      <c r="U723" s="508">
        <v>0</v>
      </c>
      <c r="V723" s="508">
        <v>2677.606478274326</v>
      </c>
      <c r="W723" s="508">
        <v>0</v>
      </c>
      <c r="X723" s="508">
        <v>3340.7436022039228</v>
      </c>
      <c r="Y723" s="508">
        <v>2677.606478274326</v>
      </c>
      <c r="Z723" s="508">
        <v>17534.89501924795</v>
      </c>
      <c r="AA723" s="508">
        <v>14054.220883166283</v>
      </c>
      <c r="AB723" s="508">
        <v>14069.889156926685</v>
      </c>
      <c r="AC723" s="508">
        <v>3480.67</v>
      </c>
      <c r="AD723" s="508">
        <v>3465.01</v>
      </c>
      <c r="AE723" s="508">
        <v>15.66</v>
      </c>
      <c r="AF723" s="508">
        <v>3465.01</v>
      </c>
      <c r="AG723" s="508"/>
      <c r="AH723" s="508">
        <v>0</v>
      </c>
      <c r="AI723" s="508">
        <v>0</v>
      </c>
      <c r="AJ723" s="508">
        <v>0</v>
      </c>
      <c r="AK723" s="508">
        <v>0</v>
      </c>
      <c r="AL723" s="508">
        <v>0</v>
      </c>
      <c r="AM723" s="508">
        <v>0</v>
      </c>
      <c r="AN723" s="508"/>
      <c r="AO723" s="508"/>
    </row>
    <row r="724" spans="1:41">
      <c r="A724" s="2" t="s">
        <v>512</v>
      </c>
      <c r="B724" s="2" t="s">
        <v>382</v>
      </c>
      <c r="C724" s="2" t="s">
        <v>379</v>
      </c>
      <c r="D724" s="2" t="s">
        <v>30</v>
      </c>
      <c r="E724" s="2" t="s">
        <v>19</v>
      </c>
      <c r="F724" s="2" t="s">
        <v>380</v>
      </c>
      <c r="G724" s="2" t="s">
        <v>57</v>
      </c>
      <c r="H724">
        <v>1</v>
      </c>
      <c r="I724" s="2" t="s">
        <v>526</v>
      </c>
      <c r="J724" s="3">
        <v>0.15684552284455039</v>
      </c>
      <c r="K724" s="3">
        <v>5.2488000000000001</v>
      </c>
      <c r="L724" s="508">
        <v>1446.6469165981227</v>
      </c>
      <c r="M724" s="508">
        <v>0</v>
      </c>
      <c r="N724" s="508">
        <v>1446.6469165981227</v>
      </c>
      <c r="O724" s="508">
        <v>0</v>
      </c>
      <c r="P724">
        <v>1</v>
      </c>
      <c r="Q724" s="2" t="s">
        <v>526</v>
      </c>
      <c r="R724" s="3">
        <v>0.15702038124548567</v>
      </c>
      <c r="S724" s="3">
        <v>5.2488000000000001</v>
      </c>
      <c r="T724" s="508">
        <v>445.59486822234282</v>
      </c>
      <c r="U724" s="508">
        <v>0</v>
      </c>
      <c r="V724" s="508">
        <v>445.59486822234282</v>
      </c>
      <c r="W724" s="508">
        <v>0</v>
      </c>
      <c r="X724" s="508">
        <v>1446.6469165981227</v>
      </c>
      <c r="Y724" s="508">
        <v>445.59486822234282</v>
      </c>
      <c r="Z724" s="508">
        <v>7593.1603358402272</v>
      </c>
      <c r="AA724" s="508">
        <v>2338.8383443254329</v>
      </c>
      <c r="AB724" s="508">
        <v>2341.4457858737655</v>
      </c>
      <c r="AC724" s="508">
        <v>5254.32</v>
      </c>
      <c r="AD724" s="508">
        <v>5251.71</v>
      </c>
      <c r="AE724" s="508">
        <v>2.61</v>
      </c>
      <c r="AF724" s="508">
        <v>5251.71</v>
      </c>
      <c r="AG724" s="508"/>
      <c r="AH724" s="508">
        <v>0</v>
      </c>
      <c r="AI724" s="508">
        <v>0</v>
      </c>
      <c r="AJ724" s="508">
        <v>0</v>
      </c>
      <c r="AK724" s="508">
        <v>0</v>
      </c>
      <c r="AL724" s="508">
        <v>0</v>
      </c>
      <c r="AM724" s="508">
        <v>0</v>
      </c>
      <c r="AN724" s="508"/>
      <c r="AO724" s="508"/>
    </row>
    <row r="725" spans="1:41">
      <c r="A725" s="2" t="s">
        <v>513</v>
      </c>
      <c r="B725" s="2" t="s">
        <v>382</v>
      </c>
      <c r="C725" s="2" t="s">
        <v>379</v>
      </c>
      <c r="D725" s="2" t="s">
        <v>30</v>
      </c>
      <c r="E725" s="2" t="s">
        <v>19</v>
      </c>
      <c r="F725" s="2" t="s">
        <v>380</v>
      </c>
      <c r="G725" s="2" t="s">
        <v>57</v>
      </c>
      <c r="H725">
        <v>1</v>
      </c>
      <c r="I725" s="2" t="s">
        <v>526</v>
      </c>
      <c r="J725" s="3">
        <v>0.15684552284455039</v>
      </c>
      <c r="K725" s="3">
        <v>5.2488000000000001</v>
      </c>
      <c r="L725" s="508">
        <v>8585.9252796399051</v>
      </c>
      <c r="M725" s="508">
        <v>0</v>
      </c>
      <c r="N725" s="508">
        <v>8585.9252796399051</v>
      </c>
      <c r="O725" s="508">
        <v>0</v>
      </c>
      <c r="P725">
        <v>1</v>
      </c>
      <c r="Q725" s="2" t="s">
        <v>526</v>
      </c>
      <c r="R725" s="3">
        <v>0.15702038124548567</v>
      </c>
      <c r="S725" s="3">
        <v>5.2488000000000001</v>
      </c>
      <c r="T725" s="508">
        <v>1504.0067888882004</v>
      </c>
      <c r="U725" s="508">
        <v>0</v>
      </c>
      <c r="V725" s="508">
        <v>1504.0067888882004</v>
      </c>
      <c r="W725" s="508">
        <v>0</v>
      </c>
      <c r="X725" s="508">
        <v>8585.9252796399051</v>
      </c>
      <c r="Y725" s="508">
        <v>1504.0067888882004</v>
      </c>
      <c r="Z725" s="508">
        <v>45065.804607773935</v>
      </c>
      <c r="AA725" s="508">
        <v>7894.2308335163862</v>
      </c>
      <c r="AB725" s="508">
        <v>7903.0316749757294</v>
      </c>
      <c r="AC725" s="508">
        <v>37171.57</v>
      </c>
      <c r="AD725" s="508">
        <v>37162.769999999997</v>
      </c>
      <c r="AE725" s="508">
        <v>8.8000000000000007</v>
      </c>
      <c r="AF725" s="508">
        <v>37162.769999999997</v>
      </c>
      <c r="AG725" s="508"/>
      <c r="AH725" s="508">
        <v>0</v>
      </c>
      <c r="AI725" s="508">
        <v>0</v>
      </c>
      <c r="AJ725" s="508">
        <v>0</v>
      </c>
      <c r="AK725" s="508">
        <v>0</v>
      </c>
      <c r="AL725" s="508">
        <v>0</v>
      </c>
      <c r="AM725" s="508">
        <v>0</v>
      </c>
      <c r="AN725" s="508"/>
      <c r="AO725" s="508"/>
    </row>
    <row r="726" spans="1:41">
      <c r="A726" s="2" t="s">
        <v>514</v>
      </c>
      <c r="B726" s="2" t="s">
        <v>382</v>
      </c>
      <c r="C726" s="2" t="s">
        <v>379</v>
      </c>
      <c r="D726" s="2" t="s">
        <v>30</v>
      </c>
      <c r="E726" s="2" t="s">
        <v>19</v>
      </c>
      <c r="F726" s="2" t="s">
        <v>380</v>
      </c>
      <c r="G726" s="2" t="s">
        <v>57</v>
      </c>
      <c r="H726">
        <v>1</v>
      </c>
      <c r="I726" s="2" t="s">
        <v>526</v>
      </c>
      <c r="J726" s="3">
        <v>0.15684552284455039</v>
      </c>
      <c r="K726" s="3">
        <v>5.2488000000000001</v>
      </c>
      <c r="L726" s="508">
        <v>14952.847926924253</v>
      </c>
      <c r="M726" s="508">
        <v>0</v>
      </c>
      <c r="N726" s="508">
        <v>14952.847926924253</v>
      </c>
      <c r="O726" s="508">
        <v>0</v>
      </c>
      <c r="P726">
        <v>1</v>
      </c>
      <c r="Q726" s="2" t="s">
        <v>526</v>
      </c>
      <c r="R726" s="3">
        <v>0.15702038124548567</v>
      </c>
      <c r="S726" s="3">
        <v>5.2488000000000001</v>
      </c>
      <c r="T726" s="508">
        <v>3962.5047006349273</v>
      </c>
      <c r="U726" s="508">
        <v>0</v>
      </c>
      <c r="V726" s="508">
        <v>3962.5047006349273</v>
      </c>
      <c r="W726" s="508">
        <v>0</v>
      </c>
      <c r="X726" s="508">
        <v>14952.847926924253</v>
      </c>
      <c r="Y726" s="508">
        <v>3962.5047006349273</v>
      </c>
      <c r="Z726" s="508">
        <v>78484.50819884002</v>
      </c>
      <c r="AA726" s="508">
        <v>20798.394672692608</v>
      </c>
      <c r="AB726" s="508">
        <v>20821.58165290429</v>
      </c>
      <c r="AC726" s="508">
        <v>57686.11</v>
      </c>
      <c r="AD726" s="508">
        <v>57662.93</v>
      </c>
      <c r="AE726" s="508">
        <v>23.18</v>
      </c>
      <c r="AF726" s="508">
        <v>57662.93</v>
      </c>
      <c r="AG726" s="508"/>
      <c r="AH726" s="508">
        <v>0</v>
      </c>
      <c r="AI726" s="508">
        <v>0</v>
      </c>
      <c r="AJ726" s="508">
        <v>0</v>
      </c>
      <c r="AK726" s="508">
        <v>0</v>
      </c>
      <c r="AL726" s="508">
        <v>0</v>
      </c>
      <c r="AM726" s="508">
        <v>0</v>
      </c>
      <c r="AN726" s="508"/>
      <c r="AO726" s="508"/>
    </row>
    <row r="727" spans="1:41">
      <c r="A727" s="2" t="s">
        <v>515</v>
      </c>
      <c r="B727" s="2" t="s">
        <v>382</v>
      </c>
      <c r="C727" s="2" t="s">
        <v>379</v>
      </c>
      <c r="D727" s="2" t="s">
        <v>30</v>
      </c>
      <c r="E727" s="2" t="s">
        <v>19</v>
      </c>
      <c r="F727" s="2" t="s">
        <v>380</v>
      </c>
      <c r="G727" s="2" t="s">
        <v>57</v>
      </c>
      <c r="H727">
        <v>1</v>
      </c>
      <c r="I727" s="2" t="s">
        <v>526</v>
      </c>
      <c r="J727" s="3">
        <v>0.15684552284455039</v>
      </c>
      <c r="K727" s="3">
        <v>5.2488000000000001</v>
      </c>
      <c r="L727" s="508">
        <v>26295.001759238254</v>
      </c>
      <c r="M727" s="508">
        <v>0</v>
      </c>
      <c r="N727" s="508">
        <v>26295.001759238254</v>
      </c>
      <c r="O727" s="508">
        <v>0</v>
      </c>
      <c r="P727">
        <v>1</v>
      </c>
      <c r="Q727" s="2" t="s">
        <v>526</v>
      </c>
      <c r="R727" s="3">
        <v>0.15702038124548567</v>
      </c>
      <c r="S727" s="3">
        <v>5.2488000000000001</v>
      </c>
      <c r="T727" s="508">
        <v>2556.631209763942</v>
      </c>
      <c r="U727" s="508">
        <v>0</v>
      </c>
      <c r="V727" s="508">
        <v>2556.631209763942</v>
      </c>
      <c r="W727" s="508">
        <v>0</v>
      </c>
      <c r="X727" s="508">
        <v>26295.001759238254</v>
      </c>
      <c r="Y727" s="508">
        <v>2556.631209763942</v>
      </c>
      <c r="Z727" s="508">
        <v>138017.20523388975</v>
      </c>
      <c r="AA727" s="508">
        <v>13419.245893808979</v>
      </c>
      <c r="AB727" s="508">
        <v>13434.206269063518</v>
      </c>
      <c r="AC727" s="508">
        <v>124597.96</v>
      </c>
      <c r="AD727" s="508">
        <v>124583</v>
      </c>
      <c r="AE727" s="508">
        <v>14.96</v>
      </c>
      <c r="AF727" s="508">
        <v>124583</v>
      </c>
      <c r="AG727" s="508"/>
      <c r="AH727" s="508">
        <v>0</v>
      </c>
      <c r="AI727" s="508">
        <v>0</v>
      </c>
      <c r="AJ727" s="508">
        <v>0</v>
      </c>
      <c r="AK727" s="508">
        <v>0</v>
      </c>
      <c r="AL727" s="508">
        <v>0</v>
      </c>
      <c r="AM727" s="508">
        <v>0</v>
      </c>
      <c r="AN727" s="508"/>
      <c r="AO727" s="508"/>
    </row>
    <row r="728" spans="1:41">
      <c r="A728" s="2" t="s">
        <v>516</v>
      </c>
      <c r="B728" s="2" t="s">
        <v>382</v>
      </c>
      <c r="C728" s="2" t="s">
        <v>379</v>
      </c>
      <c r="D728" s="2" t="s">
        <v>30</v>
      </c>
      <c r="E728" s="2" t="s">
        <v>19</v>
      </c>
      <c r="F728" s="2" t="s">
        <v>380</v>
      </c>
      <c r="G728" s="2" t="s">
        <v>57</v>
      </c>
      <c r="H728">
        <v>1</v>
      </c>
      <c r="I728" s="2" t="s">
        <v>526</v>
      </c>
      <c r="J728" s="3">
        <v>0.15684552284455039</v>
      </c>
      <c r="K728" s="3">
        <v>5.2488000000000001</v>
      </c>
      <c r="L728" s="508">
        <v>3669.9492403750683</v>
      </c>
      <c r="M728" s="508">
        <v>0</v>
      </c>
      <c r="N728" s="508">
        <v>3669.9492403750683</v>
      </c>
      <c r="O728" s="508">
        <v>0</v>
      </c>
      <c r="P728">
        <v>1</v>
      </c>
      <c r="Q728" s="2" t="s">
        <v>526</v>
      </c>
      <c r="R728" s="3">
        <v>0.15702038124548567</v>
      </c>
      <c r="S728" s="3">
        <v>5.2488000000000001</v>
      </c>
      <c r="T728" s="508">
        <v>27927.124549164335</v>
      </c>
      <c r="U728" s="508">
        <v>0</v>
      </c>
      <c r="V728" s="508">
        <v>27927.124549164335</v>
      </c>
      <c r="W728" s="508">
        <v>0</v>
      </c>
      <c r="X728" s="508">
        <v>3669.9492403750683</v>
      </c>
      <c r="Y728" s="508">
        <v>27927.124549164335</v>
      </c>
      <c r="Z728" s="508">
        <v>19262.829572880659</v>
      </c>
      <c r="AA728" s="508">
        <v>146583.89133365377</v>
      </c>
      <c r="AB728" s="508">
        <v>146747.30960901553</v>
      </c>
      <c r="AC728" s="508">
        <v>-127321.06</v>
      </c>
      <c r="AD728" s="508">
        <v>-127484.48</v>
      </c>
      <c r="AE728" s="508">
        <v>163.41999999999999</v>
      </c>
      <c r="AF728" s="508"/>
      <c r="AG728" s="508">
        <v>-127484.48</v>
      </c>
      <c r="AH728" s="508">
        <v>0</v>
      </c>
      <c r="AI728" s="508">
        <v>0</v>
      </c>
      <c r="AJ728" s="508">
        <v>0</v>
      </c>
      <c r="AK728" s="508">
        <v>0</v>
      </c>
      <c r="AL728" s="508">
        <v>0</v>
      </c>
      <c r="AM728" s="508">
        <v>0</v>
      </c>
      <c r="AN728" s="508"/>
      <c r="AO728" s="508"/>
    </row>
    <row r="729" spans="1:41">
      <c r="A729" s="2" t="s">
        <v>517</v>
      </c>
      <c r="B729" s="2" t="s">
        <v>382</v>
      </c>
      <c r="C729" s="2" t="s">
        <v>379</v>
      </c>
      <c r="D729" s="2" t="s">
        <v>30</v>
      </c>
      <c r="E729" s="2" t="s">
        <v>19</v>
      </c>
      <c r="F729" s="2" t="s">
        <v>380</v>
      </c>
      <c r="G729" s="2" t="s">
        <v>170</v>
      </c>
      <c r="H729">
        <v>1</v>
      </c>
      <c r="I729" s="2" t="s">
        <v>526</v>
      </c>
      <c r="J729" s="3">
        <v>5.2308000000000003</v>
      </c>
      <c r="K729" s="3">
        <v>5.2488000000000001</v>
      </c>
      <c r="L729" s="508">
        <v>336.43907835579574</v>
      </c>
      <c r="M729" s="508">
        <v>0</v>
      </c>
      <c r="N729" s="508">
        <v>336.43907835579574</v>
      </c>
      <c r="O729" s="508">
        <v>0</v>
      </c>
      <c r="P729">
        <v>1</v>
      </c>
      <c r="Q729" s="2" t="s">
        <v>526</v>
      </c>
      <c r="R729" s="3">
        <v>5.2488000000000001</v>
      </c>
      <c r="S729" s="3">
        <v>5.2488000000000001</v>
      </c>
      <c r="T729" s="508">
        <v>1510.9501230579704</v>
      </c>
      <c r="U729" s="508">
        <v>0</v>
      </c>
      <c r="V729" s="508">
        <v>1510.9501230579704</v>
      </c>
      <c r="W729" s="508">
        <v>0</v>
      </c>
      <c r="X729" s="508">
        <v>336.43907835579574</v>
      </c>
      <c r="Y729" s="508">
        <v>1510.9501230579704</v>
      </c>
      <c r="Z729" s="508">
        <v>1765.9014344739007</v>
      </c>
      <c r="AA729" s="508">
        <v>7930.6750059066753</v>
      </c>
      <c r="AB729" s="508">
        <v>7957.9656975994021</v>
      </c>
      <c r="AC729" s="508">
        <v>-6164.77</v>
      </c>
      <c r="AD729" s="508">
        <v>-6192.06</v>
      </c>
      <c r="AE729" s="508">
        <v>27.29</v>
      </c>
      <c r="AF729" s="508"/>
      <c r="AG729" s="508">
        <v>-6192.06</v>
      </c>
      <c r="AH729" s="508">
        <v>0</v>
      </c>
      <c r="AI729" s="508">
        <v>0</v>
      </c>
      <c r="AJ729" s="508">
        <v>0</v>
      </c>
      <c r="AK729" s="508">
        <v>0</v>
      </c>
      <c r="AL729" s="508">
        <v>0</v>
      </c>
      <c r="AM729" s="508">
        <v>0</v>
      </c>
      <c r="AN729" s="508"/>
      <c r="AO729" s="508"/>
    </row>
    <row r="730" spans="1:41">
      <c r="A730" s="2" t="s">
        <v>1302</v>
      </c>
      <c r="B730" s="2" t="s">
        <v>382</v>
      </c>
      <c r="C730" s="2" t="s">
        <v>379</v>
      </c>
      <c r="D730" s="2" t="s">
        <v>30</v>
      </c>
      <c r="E730" s="2" t="s">
        <v>19</v>
      </c>
      <c r="F730" s="2" t="s">
        <v>380</v>
      </c>
      <c r="G730" s="2" t="s">
        <v>57</v>
      </c>
      <c r="H730">
        <v>1</v>
      </c>
      <c r="I730" s="2" t="s">
        <v>526</v>
      </c>
      <c r="J730" s="3">
        <v>0.15684552284455039</v>
      </c>
      <c r="K730" s="3">
        <v>5.2488000000000001</v>
      </c>
      <c r="L730" s="508">
        <v>612.99200076425973</v>
      </c>
      <c r="M730" s="508">
        <v>0</v>
      </c>
      <c r="N730" s="508">
        <v>612.99200076425973</v>
      </c>
      <c r="O730" s="508">
        <v>0</v>
      </c>
      <c r="P730">
        <v>1</v>
      </c>
      <c r="Q730" s="2" t="s">
        <v>526</v>
      </c>
      <c r="R730" s="3">
        <v>0.15702038124548567</v>
      </c>
      <c r="S730" s="3">
        <v>5.2488000000000001</v>
      </c>
      <c r="T730" s="508">
        <v>1210.352294305713</v>
      </c>
      <c r="U730" s="508">
        <v>0</v>
      </c>
      <c r="V730" s="508">
        <v>1210.352294305713</v>
      </c>
      <c r="W730" s="508">
        <v>0</v>
      </c>
      <c r="X730" s="508">
        <v>612.99200076425973</v>
      </c>
      <c r="Y730" s="508">
        <v>1210.352294305713</v>
      </c>
      <c r="Z730" s="508">
        <v>3217.4724136114464</v>
      </c>
      <c r="AA730" s="508">
        <v>6352.8971223518265</v>
      </c>
      <c r="AB730" s="508">
        <v>6359.9796160817996</v>
      </c>
      <c r="AC730" s="508">
        <v>-3135.42</v>
      </c>
      <c r="AD730" s="508">
        <v>-3142.51</v>
      </c>
      <c r="AE730" s="508">
        <v>7.09</v>
      </c>
      <c r="AF730" s="508"/>
      <c r="AG730" s="508">
        <v>-3142.51</v>
      </c>
      <c r="AH730" s="508">
        <v>0</v>
      </c>
      <c r="AI730" s="508">
        <v>0</v>
      </c>
      <c r="AJ730" s="508">
        <v>0</v>
      </c>
      <c r="AK730" s="508">
        <v>0</v>
      </c>
      <c r="AL730" s="508">
        <v>0</v>
      </c>
      <c r="AM730" s="508">
        <v>0</v>
      </c>
      <c r="AN730" s="508"/>
      <c r="AO730" s="508"/>
    </row>
    <row r="731" spans="1:41">
      <c r="A731" s="2" t="s">
        <v>1303</v>
      </c>
      <c r="B731" s="2" t="s">
        <v>382</v>
      </c>
      <c r="C731" s="2" t="s">
        <v>379</v>
      </c>
      <c r="D731" s="2" t="s">
        <v>30</v>
      </c>
      <c r="E731" s="2" t="s">
        <v>19</v>
      </c>
      <c r="F731" s="2" t="s">
        <v>380</v>
      </c>
      <c r="G731" s="2" t="s">
        <v>57</v>
      </c>
      <c r="H731">
        <v>1</v>
      </c>
      <c r="I731" s="2" t="s">
        <v>526</v>
      </c>
      <c r="J731" s="3">
        <v>0.15684552284455039</v>
      </c>
      <c r="K731" s="3">
        <v>5.2488000000000001</v>
      </c>
      <c r="L731" s="508">
        <v>3676.8028782223741</v>
      </c>
      <c r="M731" s="508">
        <v>0</v>
      </c>
      <c r="N731" s="508">
        <v>3676.8028782223741</v>
      </c>
      <c r="O731" s="508">
        <v>0</v>
      </c>
      <c r="P731">
        <v>1</v>
      </c>
      <c r="Q731" s="2" t="s">
        <v>526</v>
      </c>
      <c r="R731" s="3">
        <v>0.15702038124548567</v>
      </c>
      <c r="S731" s="3">
        <v>5.2488000000000001</v>
      </c>
      <c r="T731" s="508">
        <v>34515.073465722911</v>
      </c>
      <c r="U731" s="508">
        <v>0</v>
      </c>
      <c r="V731" s="508">
        <v>34515.073465722911</v>
      </c>
      <c r="W731" s="508">
        <v>0</v>
      </c>
      <c r="X731" s="508">
        <v>3676.8028782223741</v>
      </c>
      <c r="Y731" s="508">
        <v>34515.073465722911</v>
      </c>
      <c r="Z731" s="508">
        <v>19298.802947213597</v>
      </c>
      <c r="AA731" s="508">
        <v>181162.71760688644</v>
      </c>
      <c r="AB731" s="508">
        <v>181364.68590368779</v>
      </c>
      <c r="AC731" s="508">
        <v>-161863.91</v>
      </c>
      <c r="AD731" s="508">
        <v>-162065.88</v>
      </c>
      <c r="AE731" s="508">
        <v>201.97</v>
      </c>
      <c r="AF731" s="508"/>
      <c r="AG731" s="508">
        <v>-162065.88</v>
      </c>
      <c r="AH731" s="508">
        <v>0</v>
      </c>
      <c r="AI731" s="508">
        <v>0</v>
      </c>
      <c r="AJ731" s="508">
        <v>0</v>
      </c>
      <c r="AK731" s="508">
        <v>0</v>
      </c>
      <c r="AL731" s="508">
        <v>0</v>
      </c>
      <c r="AM731" s="508">
        <v>0</v>
      </c>
      <c r="AN731" s="508"/>
      <c r="AO731" s="508"/>
    </row>
    <row r="732" spans="1:41">
      <c r="A732" s="2" t="s">
        <v>1304</v>
      </c>
      <c r="B732" s="2" t="s">
        <v>382</v>
      </c>
      <c r="C732" s="2" t="s">
        <v>379</v>
      </c>
      <c r="D732" s="2" t="s">
        <v>30</v>
      </c>
      <c r="E732" s="2" t="s">
        <v>19</v>
      </c>
      <c r="F732" s="2" t="s">
        <v>380</v>
      </c>
      <c r="G732" s="2" t="s">
        <v>57</v>
      </c>
      <c r="H732">
        <v>1</v>
      </c>
      <c r="I732" s="2" t="s">
        <v>526</v>
      </c>
      <c r="J732" s="3">
        <v>0.15684552284455039</v>
      </c>
      <c r="K732" s="3">
        <v>5.2488000000000001</v>
      </c>
      <c r="L732" s="508">
        <v>462.53644492354795</v>
      </c>
      <c r="M732" s="508">
        <v>0</v>
      </c>
      <c r="N732" s="508">
        <v>462.53644492354795</v>
      </c>
      <c r="O732" s="508">
        <v>0</v>
      </c>
      <c r="P732">
        <v>1</v>
      </c>
      <c r="Q732" s="2" t="s">
        <v>526</v>
      </c>
      <c r="R732" s="3">
        <v>0.15702038124548567</v>
      </c>
      <c r="S732" s="3">
        <v>5.2488000000000001</v>
      </c>
      <c r="T732" s="508">
        <v>481.01143617965926</v>
      </c>
      <c r="U732" s="508">
        <v>0</v>
      </c>
      <c r="V732" s="508">
        <v>481.01143617965926</v>
      </c>
      <c r="W732" s="508">
        <v>0</v>
      </c>
      <c r="X732" s="508">
        <v>462.53644492354795</v>
      </c>
      <c r="Y732" s="508">
        <v>481.01143617965926</v>
      </c>
      <c r="Z732" s="508">
        <v>2427.7612921147183</v>
      </c>
      <c r="AA732" s="508">
        <v>2524.7328262197957</v>
      </c>
      <c r="AB732" s="508">
        <v>2527.5475112472996</v>
      </c>
      <c r="AC732" s="508">
        <v>-96.97</v>
      </c>
      <c r="AD732" s="508">
        <v>-99.79</v>
      </c>
      <c r="AE732" s="508">
        <v>2.82</v>
      </c>
      <c r="AF732" s="508"/>
      <c r="AG732" s="508">
        <v>-99.79</v>
      </c>
      <c r="AH732" s="508">
        <v>0</v>
      </c>
      <c r="AI732" s="508">
        <v>0</v>
      </c>
      <c r="AJ732" s="508">
        <v>0</v>
      </c>
      <c r="AK732" s="508">
        <v>0</v>
      </c>
      <c r="AL732" s="508">
        <v>0</v>
      </c>
      <c r="AM732" s="508">
        <v>0</v>
      </c>
      <c r="AN732" s="508"/>
      <c r="AO732" s="508"/>
    </row>
    <row r="733" spans="1:41">
      <c r="A733" s="2" t="s">
        <v>1305</v>
      </c>
      <c r="B733" s="2" t="s">
        <v>382</v>
      </c>
      <c r="C733" s="2" t="s">
        <v>379</v>
      </c>
      <c r="D733" s="2" t="s">
        <v>30</v>
      </c>
      <c r="E733" s="2" t="s">
        <v>19</v>
      </c>
      <c r="F733" s="2" t="s">
        <v>380</v>
      </c>
      <c r="G733" s="2" t="s">
        <v>57</v>
      </c>
      <c r="H733">
        <v>1</v>
      </c>
      <c r="I733" s="2" t="s">
        <v>526</v>
      </c>
      <c r="J733" s="3">
        <v>0.15684552284455039</v>
      </c>
      <c r="K733" s="3">
        <v>5.2488000000000001</v>
      </c>
      <c r="L733" s="508">
        <v>268.31390320072887</v>
      </c>
      <c r="M733" s="508">
        <v>0</v>
      </c>
      <c r="N733" s="508">
        <v>268.31390320072887</v>
      </c>
      <c r="O733" s="508">
        <v>0</v>
      </c>
      <c r="P733">
        <v>1</v>
      </c>
      <c r="Q733" s="2" t="s">
        <v>526</v>
      </c>
      <c r="R733" s="3">
        <v>0.15702038124548567</v>
      </c>
      <c r="S733" s="3">
        <v>5.2488000000000001</v>
      </c>
      <c r="T733" s="508">
        <v>305.8605043452356</v>
      </c>
      <c r="U733" s="508">
        <v>0</v>
      </c>
      <c r="V733" s="508">
        <v>305.8605043452356</v>
      </c>
      <c r="W733" s="508">
        <v>0</v>
      </c>
      <c r="X733" s="508">
        <v>268.31390320072887</v>
      </c>
      <c r="Y733" s="508">
        <v>305.8605043452356</v>
      </c>
      <c r="Z733" s="508">
        <v>1408.3260151199856</v>
      </c>
      <c r="AA733" s="508">
        <v>1605.4006152072727</v>
      </c>
      <c r="AB733" s="508">
        <v>1607.1903875854991</v>
      </c>
      <c r="AC733" s="508">
        <v>-197.07</v>
      </c>
      <c r="AD733" s="508">
        <v>-198.86</v>
      </c>
      <c r="AE733" s="508">
        <v>1.79</v>
      </c>
      <c r="AF733" s="508"/>
      <c r="AG733" s="508">
        <v>-198.86</v>
      </c>
      <c r="AH733" s="508">
        <v>0</v>
      </c>
      <c r="AI733" s="508">
        <v>0</v>
      </c>
      <c r="AJ733" s="508">
        <v>0</v>
      </c>
      <c r="AK733" s="508">
        <v>0</v>
      </c>
      <c r="AL733" s="508">
        <v>0</v>
      </c>
      <c r="AM733" s="508">
        <v>0</v>
      </c>
      <c r="AN733" s="508"/>
      <c r="AO733" s="508"/>
    </row>
    <row r="734" spans="1:41">
      <c r="A734" s="2" t="s">
        <v>1306</v>
      </c>
      <c r="B734" s="2" t="s">
        <v>382</v>
      </c>
      <c r="C734" s="2" t="s">
        <v>379</v>
      </c>
      <c r="D734" s="2" t="s">
        <v>30</v>
      </c>
      <c r="E734" s="2" t="s">
        <v>19</v>
      </c>
      <c r="F734" s="2" t="s">
        <v>380</v>
      </c>
      <c r="G734" s="2" t="s">
        <v>57</v>
      </c>
      <c r="H734">
        <v>1</v>
      </c>
      <c r="I734" s="2" t="s">
        <v>526</v>
      </c>
      <c r="J734" s="3">
        <v>0.15684552284455039</v>
      </c>
      <c r="K734" s="3">
        <v>5.2488000000000001</v>
      </c>
      <c r="L734" s="508">
        <v>13457.563134231828</v>
      </c>
      <c r="M734" s="508">
        <v>0</v>
      </c>
      <c r="N734" s="508">
        <v>13457.563134231828</v>
      </c>
      <c r="O734" s="508">
        <v>0</v>
      </c>
      <c r="P734">
        <v>1</v>
      </c>
      <c r="Q734" s="2" t="s">
        <v>526</v>
      </c>
      <c r="R734" s="3">
        <v>0.15702038124548567</v>
      </c>
      <c r="S734" s="3">
        <v>5.2488000000000001</v>
      </c>
      <c r="T734" s="508">
        <v>390.64315209089614</v>
      </c>
      <c r="U734" s="508">
        <v>0</v>
      </c>
      <c r="V734" s="508">
        <v>390.64315209089614</v>
      </c>
      <c r="W734" s="508">
        <v>0</v>
      </c>
      <c r="X734" s="508">
        <v>13457.563134231828</v>
      </c>
      <c r="Y734" s="508">
        <v>390.64315209089614</v>
      </c>
      <c r="Z734" s="508">
        <v>70636.057378956029</v>
      </c>
      <c r="AA734" s="508">
        <v>2050.4077766946957</v>
      </c>
      <c r="AB734" s="508">
        <v>2052.6936629514134</v>
      </c>
      <c r="AC734" s="508">
        <v>68585.649999999994</v>
      </c>
      <c r="AD734" s="508">
        <v>68583.360000000001</v>
      </c>
      <c r="AE734" s="508">
        <v>2.29</v>
      </c>
      <c r="AF734" s="508">
        <v>68583.360000000001</v>
      </c>
      <c r="AG734" s="508"/>
      <c r="AH734" s="508">
        <v>0</v>
      </c>
      <c r="AI734" s="508">
        <v>0</v>
      </c>
      <c r="AJ734" s="508">
        <v>0</v>
      </c>
      <c r="AK734" s="508">
        <v>0</v>
      </c>
      <c r="AL734" s="508">
        <v>0</v>
      </c>
      <c r="AM734" s="508">
        <v>0</v>
      </c>
      <c r="AN734" s="508"/>
      <c r="AO734" s="508"/>
    </row>
    <row r="735" spans="1:41">
      <c r="A735" s="2" t="s">
        <v>1307</v>
      </c>
      <c r="B735" s="2" t="s">
        <v>382</v>
      </c>
      <c r="C735" s="2" t="s">
        <v>379</v>
      </c>
      <c r="D735" s="2" t="s">
        <v>30</v>
      </c>
      <c r="E735" s="2" t="s">
        <v>19</v>
      </c>
      <c r="F735" s="2" t="s">
        <v>380</v>
      </c>
      <c r="G735" s="2" t="s">
        <v>57</v>
      </c>
      <c r="H735">
        <v>1</v>
      </c>
      <c r="I735" s="2" t="s">
        <v>526</v>
      </c>
      <c r="J735" s="3">
        <v>0.15684552284455039</v>
      </c>
      <c r="K735" s="3">
        <v>5.2488000000000001</v>
      </c>
      <c r="L735" s="508">
        <v>9169.9693144600369</v>
      </c>
      <c r="M735" s="508">
        <v>0</v>
      </c>
      <c r="N735" s="508">
        <v>9169.9693144600369</v>
      </c>
      <c r="O735" s="508">
        <v>0</v>
      </c>
      <c r="P735">
        <v>1</v>
      </c>
      <c r="Q735" s="2" t="s">
        <v>526</v>
      </c>
      <c r="R735" s="3">
        <v>0.15702038124548567</v>
      </c>
      <c r="S735" s="3">
        <v>5.2488000000000001</v>
      </c>
      <c r="T735" s="508">
        <v>3349.4379356310328</v>
      </c>
      <c r="U735" s="508">
        <v>0</v>
      </c>
      <c r="V735" s="508">
        <v>3349.4379356310328</v>
      </c>
      <c r="W735" s="508">
        <v>0</v>
      </c>
      <c r="X735" s="508">
        <v>9169.9693144600369</v>
      </c>
      <c r="Y735" s="508">
        <v>3349.4379356310328</v>
      </c>
      <c r="Z735" s="508">
        <v>48131.33493773784</v>
      </c>
      <c r="AA735" s="508">
        <v>17580.529836540165</v>
      </c>
      <c r="AB735" s="508">
        <v>17600.129397171928</v>
      </c>
      <c r="AC735" s="508">
        <v>30550.81</v>
      </c>
      <c r="AD735" s="508">
        <v>30531.21</v>
      </c>
      <c r="AE735" s="508">
        <v>19.600000000000001</v>
      </c>
      <c r="AF735" s="508">
        <v>30531.21</v>
      </c>
      <c r="AG735" s="508"/>
      <c r="AH735" s="508">
        <v>0</v>
      </c>
      <c r="AI735" s="508">
        <v>0</v>
      </c>
      <c r="AJ735" s="508">
        <v>0</v>
      </c>
      <c r="AK735" s="508">
        <v>0</v>
      </c>
      <c r="AL735" s="508">
        <v>0</v>
      </c>
      <c r="AM735" s="508">
        <v>0</v>
      </c>
      <c r="AN735" s="508"/>
      <c r="AO735" s="508"/>
    </row>
    <row r="736" spans="1:41">
      <c r="A736" s="2" t="s">
        <v>1308</v>
      </c>
      <c r="B736" s="2" t="s">
        <v>382</v>
      </c>
      <c r="C736" s="2" t="s">
        <v>379</v>
      </c>
      <c r="D736" s="2" t="s">
        <v>30</v>
      </c>
      <c r="E736" s="2" t="s">
        <v>19</v>
      </c>
      <c r="F736" s="2" t="s">
        <v>380</v>
      </c>
      <c r="G736" s="2" t="s">
        <v>57</v>
      </c>
      <c r="H736">
        <v>1</v>
      </c>
      <c r="I736" s="2" t="s">
        <v>526</v>
      </c>
      <c r="J736" s="3">
        <v>0.15684552284455039</v>
      </c>
      <c r="K736" s="3">
        <v>5.2488000000000001</v>
      </c>
      <c r="L736" s="508">
        <v>2677.606478274326</v>
      </c>
      <c r="M736" s="508">
        <v>0</v>
      </c>
      <c r="N736" s="508">
        <v>2677.606478274326</v>
      </c>
      <c r="O736" s="508">
        <v>0</v>
      </c>
      <c r="P736">
        <v>1</v>
      </c>
      <c r="Q736" s="2" t="s">
        <v>526</v>
      </c>
      <c r="R736" s="3">
        <v>0.15702038124548567</v>
      </c>
      <c r="S736" s="3">
        <v>5.2488000000000001</v>
      </c>
      <c r="T736" s="508">
        <v>4059.3258862465545</v>
      </c>
      <c r="U736" s="508">
        <v>0</v>
      </c>
      <c r="V736" s="508">
        <v>4059.3258862465545</v>
      </c>
      <c r="W736" s="508">
        <v>0</v>
      </c>
      <c r="X736" s="508">
        <v>2677.606478274326</v>
      </c>
      <c r="Y736" s="508">
        <v>4059.3258862465545</v>
      </c>
      <c r="Z736" s="508">
        <v>14054.220883166283</v>
      </c>
      <c r="AA736" s="508">
        <v>21306.589711730918</v>
      </c>
      <c r="AB736" s="508">
        <v>21330.343250491915</v>
      </c>
      <c r="AC736" s="508">
        <v>-7252.37</v>
      </c>
      <c r="AD736" s="508">
        <v>-7276.12</v>
      </c>
      <c r="AE736" s="508">
        <v>23.75</v>
      </c>
      <c r="AF736" s="508"/>
      <c r="AG736" s="508">
        <v>-7276.12</v>
      </c>
      <c r="AH736" s="508">
        <v>0</v>
      </c>
      <c r="AI736" s="508">
        <v>0</v>
      </c>
      <c r="AJ736" s="508">
        <v>0</v>
      </c>
      <c r="AK736" s="508">
        <v>0</v>
      </c>
      <c r="AL736" s="508">
        <v>0</v>
      </c>
      <c r="AM736" s="508">
        <v>0</v>
      </c>
      <c r="AN736" s="508"/>
      <c r="AO736" s="508"/>
    </row>
    <row r="737" spans="1:41">
      <c r="A737" s="2" t="s">
        <v>1309</v>
      </c>
      <c r="B737" s="2" t="s">
        <v>382</v>
      </c>
      <c r="C737" s="2" t="s">
        <v>379</v>
      </c>
      <c r="D737" s="2" t="s">
        <v>30</v>
      </c>
      <c r="E737" s="2" t="s">
        <v>19</v>
      </c>
      <c r="F737" s="2" t="s">
        <v>380</v>
      </c>
      <c r="G737" s="2" t="s">
        <v>57</v>
      </c>
      <c r="H737">
        <v>1</v>
      </c>
      <c r="I737" s="2" t="s">
        <v>526</v>
      </c>
      <c r="J737" s="3">
        <v>0.15684552284455039</v>
      </c>
      <c r="K737" s="3">
        <v>5.2488000000000001</v>
      </c>
      <c r="L737" s="508">
        <v>445.59486822234282</v>
      </c>
      <c r="M737" s="508">
        <v>0</v>
      </c>
      <c r="N737" s="508">
        <v>445.59486822234282</v>
      </c>
      <c r="O737" s="508">
        <v>0</v>
      </c>
      <c r="P737">
        <v>1</v>
      </c>
      <c r="Q737" s="2" t="s">
        <v>526</v>
      </c>
      <c r="R737" s="3">
        <v>0.15702038124548567</v>
      </c>
      <c r="S737" s="3">
        <v>5.2488000000000001</v>
      </c>
      <c r="T737" s="508">
        <v>1126.9744666227868</v>
      </c>
      <c r="U737" s="508">
        <v>0</v>
      </c>
      <c r="V737" s="508">
        <v>1126.9744666227868</v>
      </c>
      <c r="W737" s="508">
        <v>0</v>
      </c>
      <c r="X737" s="508">
        <v>445.59486822234282</v>
      </c>
      <c r="Y737" s="508">
        <v>1126.9744666227868</v>
      </c>
      <c r="Z737" s="508">
        <v>2338.8383443254329</v>
      </c>
      <c r="AA737" s="508">
        <v>5915.2635804096835</v>
      </c>
      <c r="AB737" s="508">
        <v>5921.8581807018854</v>
      </c>
      <c r="AC737" s="508">
        <v>-3576.43</v>
      </c>
      <c r="AD737" s="508">
        <v>-3583.02</v>
      </c>
      <c r="AE737" s="508">
        <v>6.59</v>
      </c>
      <c r="AF737" s="508"/>
      <c r="AG737" s="508">
        <v>-3583.02</v>
      </c>
      <c r="AH737" s="508">
        <v>0</v>
      </c>
      <c r="AI737" s="508">
        <v>0</v>
      </c>
      <c r="AJ737" s="508">
        <v>0</v>
      </c>
      <c r="AK737" s="508">
        <v>0</v>
      </c>
      <c r="AL737" s="508">
        <v>0</v>
      </c>
      <c r="AM737" s="508">
        <v>0</v>
      </c>
      <c r="AN737" s="508"/>
      <c r="AO737" s="508"/>
    </row>
    <row r="738" spans="1:41">
      <c r="A738" s="2" t="s">
        <v>1310</v>
      </c>
      <c r="B738" s="2" t="s">
        <v>382</v>
      </c>
      <c r="C738" s="2" t="s">
        <v>379</v>
      </c>
      <c r="D738" s="2" t="s">
        <v>30</v>
      </c>
      <c r="E738" s="2" t="s">
        <v>19</v>
      </c>
      <c r="F738" s="2" t="s">
        <v>380</v>
      </c>
      <c r="G738" s="2" t="s">
        <v>57</v>
      </c>
      <c r="H738">
        <v>1</v>
      </c>
      <c r="I738" s="2" t="s">
        <v>526</v>
      </c>
      <c r="J738" s="3">
        <v>0.15684552284455039</v>
      </c>
      <c r="K738" s="3">
        <v>5.2488000000000001</v>
      </c>
      <c r="L738" s="508">
        <v>1504.0067888882004</v>
      </c>
      <c r="M738" s="508">
        <v>0</v>
      </c>
      <c r="N738" s="508">
        <v>1504.0067888882004</v>
      </c>
      <c r="O738" s="508">
        <v>0</v>
      </c>
      <c r="P738">
        <v>1</v>
      </c>
      <c r="Q738" s="2" t="s">
        <v>526</v>
      </c>
      <c r="R738" s="3">
        <v>0.15702038124548567</v>
      </c>
      <c r="S738" s="3">
        <v>5.2488000000000001</v>
      </c>
      <c r="T738" s="508">
        <v>2219.164870755566</v>
      </c>
      <c r="U738" s="508">
        <v>0</v>
      </c>
      <c r="V738" s="508">
        <v>2219.164870755566</v>
      </c>
      <c r="W738" s="508">
        <v>0</v>
      </c>
      <c r="X738" s="508">
        <v>1504.0067888882004</v>
      </c>
      <c r="Y738" s="508">
        <v>2219.164870755566</v>
      </c>
      <c r="Z738" s="508">
        <v>7894.2308335163862</v>
      </c>
      <c r="AA738" s="508">
        <v>11647.952573621815</v>
      </c>
      <c r="AB738" s="508">
        <v>11660.938231894077</v>
      </c>
      <c r="AC738" s="508">
        <v>-3753.72</v>
      </c>
      <c r="AD738" s="508">
        <v>-3766.71</v>
      </c>
      <c r="AE738" s="508">
        <v>12.99</v>
      </c>
      <c r="AF738" s="508"/>
      <c r="AG738" s="508">
        <v>-3766.71</v>
      </c>
      <c r="AH738" s="508">
        <v>0</v>
      </c>
      <c r="AI738" s="508">
        <v>0</v>
      </c>
      <c r="AJ738" s="508">
        <v>0</v>
      </c>
      <c r="AK738" s="508">
        <v>0</v>
      </c>
      <c r="AL738" s="508">
        <v>0</v>
      </c>
      <c r="AM738" s="508">
        <v>0</v>
      </c>
      <c r="AN738" s="508"/>
      <c r="AO738" s="508"/>
    </row>
    <row r="739" spans="1:41">
      <c r="A739" s="2" t="s">
        <v>1311</v>
      </c>
      <c r="B739" s="2" t="s">
        <v>382</v>
      </c>
      <c r="C739" s="2" t="s">
        <v>379</v>
      </c>
      <c r="D739" s="2" t="s">
        <v>30</v>
      </c>
      <c r="E739" s="2" t="s">
        <v>19</v>
      </c>
      <c r="F739" s="2" t="s">
        <v>380</v>
      </c>
      <c r="G739" s="2" t="s">
        <v>57</v>
      </c>
      <c r="H739">
        <v>1</v>
      </c>
      <c r="I739" s="2" t="s">
        <v>526</v>
      </c>
      <c r="J739" s="3">
        <v>0.15684552284455039</v>
      </c>
      <c r="K739" s="3">
        <v>5.2488000000000001</v>
      </c>
      <c r="L739" s="508">
        <v>3396.1334367796285</v>
      </c>
      <c r="M739" s="508">
        <v>0</v>
      </c>
      <c r="N739" s="508">
        <v>3396.1334367796285</v>
      </c>
      <c r="O739" s="508">
        <v>0</v>
      </c>
      <c r="P739">
        <v>1</v>
      </c>
      <c r="Q739" s="2" t="s">
        <v>526</v>
      </c>
      <c r="R739" s="3">
        <v>0.15702038124548567</v>
      </c>
      <c r="S739" s="3">
        <v>5.2488000000000001</v>
      </c>
      <c r="T739" s="508">
        <v>8635.2696777987567</v>
      </c>
      <c r="U739" s="508">
        <v>0</v>
      </c>
      <c r="V739" s="508">
        <v>8635.2696777987567</v>
      </c>
      <c r="W739" s="508">
        <v>0</v>
      </c>
      <c r="X739" s="508">
        <v>3396.1334367796285</v>
      </c>
      <c r="Y739" s="508">
        <v>8635.2696777987567</v>
      </c>
      <c r="Z739" s="508">
        <v>17825.625182968914</v>
      </c>
      <c r="AA739" s="508">
        <v>45324.803484830118</v>
      </c>
      <c r="AB739" s="508">
        <v>45375.333602083883</v>
      </c>
      <c r="AC739" s="508">
        <v>-27499.18</v>
      </c>
      <c r="AD739" s="508">
        <v>-27549.71</v>
      </c>
      <c r="AE739" s="508">
        <v>50.53</v>
      </c>
      <c r="AF739" s="508"/>
      <c r="AG739" s="508">
        <v>-27549.71</v>
      </c>
      <c r="AH739" s="508">
        <v>0</v>
      </c>
      <c r="AI739" s="508">
        <v>0</v>
      </c>
      <c r="AJ739" s="508">
        <v>0</v>
      </c>
      <c r="AK739" s="508">
        <v>0</v>
      </c>
      <c r="AL739" s="508">
        <v>0</v>
      </c>
      <c r="AM739" s="508">
        <v>0</v>
      </c>
      <c r="AN739" s="508"/>
      <c r="AO739" s="508"/>
    </row>
    <row r="740" spans="1:41">
      <c r="A740" s="2" t="s">
        <v>1312</v>
      </c>
      <c r="B740" s="2" t="s">
        <v>382</v>
      </c>
      <c r="C740" s="2" t="s">
        <v>379</v>
      </c>
      <c r="D740" s="2" t="s">
        <v>30</v>
      </c>
      <c r="E740" s="2" t="s">
        <v>19</v>
      </c>
      <c r="F740" s="2" t="s">
        <v>380</v>
      </c>
      <c r="G740" s="2" t="s">
        <v>57</v>
      </c>
      <c r="H740">
        <v>1</v>
      </c>
      <c r="I740" s="2" t="s">
        <v>526</v>
      </c>
      <c r="J740" s="3">
        <v>0.15684552284455039</v>
      </c>
      <c r="K740" s="3">
        <v>5.2488000000000001</v>
      </c>
      <c r="L740" s="508">
        <v>1515.8763595725929</v>
      </c>
      <c r="M740" s="508">
        <v>0</v>
      </c>
      <c r="N740" s="508">
        <v>1515.8763595725929</v>
      </c>
      <c r="O740" s="508">
        <v>0</v>
      </c>
      <c r="P740">
        <v>1</v>
      </c>
      <c r="Q740" s="2" t="s">
        <v>526</v>
      </c>
      <c r="R740" s="3">
        <v>0.15702038124548567</v>
      </c>
      <c r="S740" s="3">
        <v>5.2488000000000001</v>
      </c>
      <c r="T740" s="508">
        <v>2329.4249284415168</v>
      </c>
      <c r="U740" s="508">
        <v>0</v>
      </c>
      <c r="V740" s="508">
        <v>2329.4249284415168</v>
      </c>
      <c r="W740" s="508">
        <v>0</v>
      </c>
      <c r="X740" s="508">
        <v>1515.8763595725929</v>
      </c>
      <c r="Y740" s="508">
        <v>2329.4249284415168</v>
      </c>
      <c r="Z740" s="508">
        <v>7956.5318361246264</v>
      </c>
      <c r="AA740" s="508">
        <v>12226.685564403833</v>
      </c>
      <c r="AB740" s="508">
        <v>12240.316420087545</v>
      </c>
      <c r="AC740" s="508">
        <v>-4270.1499999999996</v>
      </c>
      <c r="AD740" s="508">
        <v>-4283.78</v>
      </c>
      <c r="AE740" s="508">
        <v>13.63</v>
      </c>
      <c r="AF740" s="508"/>
      <c r="AG740" s="508">
        <v>-4283.78</v>
      </c>
      <c r="AH740" s="508">
        <v>0</v>
      </c>
      <c r="AI740" s="508">
        <v>0</v>
      </c>
      <c r="AJ740" s="508">
        <v>0</v>
      </c>
      <c r="AK740" s="508">
        <v>0</v>
      </c>
      <c r="AL740" s="508">
        <v>0</v>
      </c>
      <c r="AM740" s="508">
        <v>0</v>
      </c>
      <c r="AN740" s="508"/>
      <c r="AO740" s="508"/>
    </row>
    <row r="741" spans="1:41">
      <c r="A741" s="2" t="s">
        <v>1313</v>
      </c>
      <c r="B741" s="2" t="s">
        <v>382</v>
      </c>
      <c r="C741" s="2" t="s">
        <v>379</v>
      </c>
      <c r="D741" s="2" t="s">
        <v>30</v>
      </c>
      <c r="E741" s="2" t="s">
        <v>19</v>
      </c>
      <c r="F741" s="2" t="s">
        <v>380</v>
      </c>
      <c r="G741" s="2" t="s">
        <v>57</v>
      </c>
      <c r="H741">
        <v>1</v>
      </c>
      <c r="I741" s="2" t="s">
        <v>526</v>
      </c>
      <c r="J741" s="3">
        <v>0.15684552284455039</v>
      </c>
      <c r="K741" s="3">
        <v>5.2488000000000001</v>
      </c>
      <c r="L741" s="508">
        <v>3962.5047006349273</v>
      </c>
      <c r="M741" s="508">
        <v>0</v>
      </c>
      <c r="N741" s="508">
        <v>3962.5047006349273</v>
      </c>
      <c r="O741" s="508">
        <v>0</v>
      </c>
      <c r="P741">
        <v>1</v>
      </c>
      <c r="Q741" s="2" t="s">
        <v>526</v>
      </c>
      <c r="R741" s="3">
        <v>0.15702038124548567</v>
      </c>
      <c r="S741" s="3">
        <v>5.2488000000000001</v>
      </c>
      <c r="T741" s="508">
        <v>1005.1603433437023</v>
      </c>
      <c r="U741" s="508">
        <v>0</v>
      </c>
      <c r="V741" s="508">
        <v>1005.1603433437023</v>
      </c>
      <c r="W741" s="508">
        <v>0</v>
      </c>
      <c r="X741" s="508">
        <v>3962.5047006349273</v>
      </c>
      <c r="Y741" s="508">
        <v>1005.1603433437023</v>
      </c>
      <c r="Z741" s="508">
        <v>20798.394672692608</v>
      </c>
      <c r="AA741" s="508">
        <v>5275.8856101424244</v>
      </c>
      <c r="AB741" s="508">
        <v>5281.7674032888017</v>
      </c>
      <c r="AC741" s="508">
        <v>15522.51</v>
      </c>
      <c r="AD741" s="508">
        <v>15516.63</v>
      </c>
      <c r="AE741" s="508">
        <v>5.88</v>
      </c>
      <c r="AF741" s="508">
        <v>15516.63</v>
      </c>
      <c r="AG741" s="508"/>
      <c r="AH741" s="508">
        <v>0</v>
      </c>
      <c r="AI741" s="508">
        <v>0</v>
      </c>
      <c r="AJ741" s="508">
        <v>0</v>
      </c>
      <c r="AK741" s="508">
        <v>0</v>
      </c>
      <c r="AL741" s="508">
        <v>0</v>
      </c>
      <c r="AM741" s="508">
        <v>0</v>
      </c>
      <c r="AN741" s="508"/>
      <c r="AO741" s="508"/>
    </row>
    <row r="742" spans="1:41">
      <c r="A742" s="2" t="s">
        <v>1314</v>
      </c>
      <c r="B742" s="2" t="s">
        <v>382</v>
      </c>
      <c r="C742" s="2" t="s">
        <v>379</v>
      </c>
      <c r="D742" s="2" t="s">
        <v>30</v>
      </c>
      <c r="E742" s="2" t="s">
        <v>19</v>
      </c>
      <c r="F742" s="2" t="s">
        <v>380</v>
      </c>
      <c r="G742" s="2" t="s">
        <v>57</v>
      </c>
      <c r="H742">
        <v>1</v>
      </c>
      <c r="I742" s="2" t="s">
        <v>526</v>
      </c>
      <c r="J742" s="3">
        <v>0.15684552284455039</v>
      </c>
      <c r="K742" s="3">
        <v>5.2488000000000001</v>
      </c>
      <c r="L742" s="508">
        <v>2556.631209763942</v>
      </c>
      <c r="M742" s="508">
        <v>0</v>
      </c>
      <c r="N742" s="508">
        <v>2556.631209763942</v>
      </c>
      <c r="O742" s="508">
        <v>0</v>
      </c>
      <c r="P742">
        <v>1</v>
      </c>
      <c r="Q742" s="2" t="s">
        <v>526</v>
      </c>
      <c r="R742" s="3">
        <v>0.15702038124548567</v>
      </c>
      <c r="S742" s="3">
        <v>5.2488000000000001</v>
      </c>
      <c r="T742" s="508">
        <v>3139.3377123370092</v>
      </c>
      <c r="U742" s="508">
        <v>0</v>
      </c>
      <c r="V742" s="508">
        <v>3139.3377123370092</v>
      </c>
      <c r="W742" s="508">
        <v>0</v>
      </c>
      <c r="X742" s="508">
        <v>2556.631209763942</v>
      </c>
      <c r="Y742" s="508">
        <v>3139.3377123370092</v>
      </c>
      <c r="Z742" s="508">
        <v>13419.245893808979</v>
      </c>
      <c r="AA742" s="508">
        <v>16477.755784514495</v>
      </c>
      <c r="AB742" s="508">
        <v>16496.125923331514</v>
      </c>
      <c r="AC742" s="508">
        <v>-3058.51</v>
      </c>
      <c r="AD742" s="508">
        <v>-3076.88</v>
      </c>
      <c r="AE742" s="508">
        <v>18.37</v>
      </c>
      <c r="AF742" s="508"/>
      <c r="AG742" s="508">
        <v>-3076.88</v>
      </c>
      <c r="AH742" s="508">
        <v>0</v>
      </c>
      <c r="AI742" s="508">
        <v>0</v>
      </c>
      <c r="AJ742" s="508">
        <v>0</v>
      </c>
      <c r="AK742" s="508">
        <v>0</v>
      </c>
      <c r="AL742" s="508">
        <v>0</v>
      </c>
      <c r="AM742" s="508">
        <v>0</v>
      </c>
      <c r="AN742" s="508"/>
      <c r="AO742" s="508"/>
    </row>
    <row r="743" spans="1:41">
      <c r="A743" s="2" t="s">
        <v>1315</v>
      </c>
      <c r="B743" s="2" t="s">
        <v>382</v>
      </c>
      <c r="C743" s="2" t="s">
        <v>379</v>
      </c>
      <c r="D743" s="2" t="s">
        <v>30</v>
      </c>
      <c r="E743" s="2" t="s">
        <v>19</v>
      </c>
      <c r="F743" s="2" t="s">
        <v>380</v>
      </c>
      <c r="G743" s="2" t="s">
        <v>57</v>
      </c>
      <c r="H743">
        <v>1</v>
      </c>
      <c r="I743" s="2" t="s">
        <v>526</v>
      </c>
      <c r="J743" s="3">
        <v>0.15684552284455039</v>
      </c>
      <c r="K743" s="3">
        <v>5.2488000000000001</v>
      </c>
      <c r="L743" s="508">
        <v>12179.094636479806</v>
      </c>
      <c r="M743" s="508">
        <v>0</v>
      </c>
      <c r="N743" s="508">
        <v>12179.094636479806</v>
      </c>
      <c r="O743" s="508">
        <v>0</v>
      </c>
      <c r="P743">
        <v>1</v>
      </c>
      <c r="Q743" s="2" t="s">
        <v>526</v>
      </c>
      <c r="R743" s="3">
        <v>0.15702038124548567</v>
      </c>
      <c r="S743" s="3">
        <v>5.2488000000000001</v>
      </c>
      <c r="T743" s="508">
        <v>901.17076243590759</v>
      </c>
      <c r="U743" s="508">
        <v>0</v>
      </c>
      <c r="V743" s="508">
        <v>901.17076243590759</v>
      </c>
      <c r="W743" s="508">
        <v>0</v>
      </c>
      <c r="X743" s="508">
        <v>12179.094636479806</v>
      </c>
      <c r="Y743" s="508">
        <v>901.17076243590759</v>
      </c>
      <c r="Z743" s="508">
        <v>63925.631927955204</v>
      </c>
      <c r="AA743" s="508">
        <v>4730.0650978735921</v>
      </c>
      <c r="AB743" s="508">
        <v>4735.338385910979</v>
      </c>
      <c r="AC743" s="508">
        <v>59195.57</v>
      </c>
      <c r="AD743" s="508">
        <v>59190.29</v>
      </c>
      <c r="AE743" s="508">
        <v>5.28</v>
      </c>
      <c r="AF743" s="508">
        <v>59190.29</v>
      </c>
      <c r="AG743" s="508"/>
      <c r="AH743" s="508">
        <v>0</v>
      </c>
      <c r="AI743" s="508">
        <v>0</v>
      </c>
      <c r="AJ743" s="508">
        <v>0</v>
      </c>
      <c r="AK743" s="508">
        <v>0</v>
      </c>
      <c r="AL743" s="508">
        <v>0</v>
      </c>
      <c r="AM743" s="508">
        <v>0</v>
      </c>
      <c r="AN743" s="508"/>
      <c r="AO743" s="508"/>
    </row>
    <row r="744" spans="1:41">
      <c r="A744" s="2" t="s">
        <v>1316</v>
      </c>
      <c r="B744" s="2" t="s">
        <v>382</v>
      </c>
      <c r="C744" s="2" t="s">
        <v>379</v>
      </c>
      <c r="D744" s="2" t="s">
        <v>30</v>
      </c>
      <c r="E744" s="2" t="s">
        <v>19</v>
      </c>
      <c r="F744" s="2" t="s">
        <v>380</v>
      </c>
      <c r="G744" s="2" t="s">
        <v>57</v>
      </c>
      <c r="H744">
        <v>1</v>
      </c>
      <c r="I744" s="2" t="s">
        <v>526</v>
      </c>
      <c r="J744" s="3">
        <v>0.15684552284455039</v>
      </c>
      <c r="K744" s="3">
        <v>5.2488000000000001</v>
      </c>
      <c r="L744" s="508">
        <v>27927.124549164335</v>
      </c>
      <c r="M744" s="508">
        <v>0</v>
      </c>
      <c r="N744" s="508">
        <v>27927.124549164335</v>
      </c>
      <c r="O744" s="508">
        <v>0</v>
      </c>
      <c r="P744">
        <v>1</v>
      </c>
      <c r="Q744" s="2" t="s">
        <v>526</v>
      </c>
      <c r="R744" s="3">
        <v>0.15702038124548567</v>
      </c>
      <c r="S744" s="3">
        <v>5.2488000000000001</v>
      </c>
      <c r="T744" s="508">
        <v>4183.047245278718</v>
      </c>
      <c r="U744" s="508">
        <v>0</v>
      </c>
      <c r="V744" s="508">
        <v>4183.047245278718</v>
      </c>
      <c r="W744" s="508">
        <v>0</v>
      </c>
      <c r="X744" s="508">
        <v>27927.124549164335</v>
      </c>
      <c r="Y744" s="508">
        <v>4183.047245278718</v>
      </c>
      <c r="Z744" s="508">
        <v>146583.89133365377</v>
      </c>
      <c r="AA744" s="508">
        <v>21955.978381018936</v>
      </c>
      <c r="AB744" s="508">
        <v>21980.455887300574</v>
      </c>
      <c r="AC744" s="508">
        <v>124627.91</v>
      </c>
      <c r="AD744" s="508">
        <v>124603.44</v>
      </c>
      <c r="AE744" s="508">
        <v>24.47</v>
      </c>
      <c r="AF744" s="508">
        <v>124603.44</v>
      </c>
      <c r="AG744" s="508"/>
      <c r="AH744" s="508">
        <v>0</v>
      </c>
      <c r="AI744" s="508">
        <v>0</v>
      </c>
      <c r="AJ744" s="508">
        <v>0</v>
      </c>
      <c r="AK744" s="508">
        <v>0</v>
      </c>
      <c r="AL744" s="508">
        <v>0</v>
      </c>
      <c r="AM744" s="508">
        <v>0</v>
      </c>
      <c r="AN744" s="508"/>
      <c r="AO744" s="508"/>
    </row>
    <row r="745" spans="1:41">
      <c r="A745" s="2" t="s">
        <v>1317</v>
      </c>
      <c r="B745" s="2" t="s">
        <v>382</v>
      </c>
      <c r="C745" s="2" t="s">
        <v>379</v>
      </c>
      <c r="D745" s="2" t="s">
        <v>30</v>
      </c>
      <c r="E745" s="2" t="s">
        <v>19</v>
      </c>
      <c r="F745" s="2" t="s">
        <v>380</v>
      </c>
      <c r="G745" s="2" t="s">
        <v>57</v>
      </c>
      <c r="H745">
        <v>1</v>
      </c>
      <c r="I745" s="2" t="s">
        <v>526</v>
      </c>
      <c r="J745" s="3">
        <v>0.15684552284455039</v>
      </c>
      <c r="K745" s="3">
        <v>5.2488000000000001</v>
      </c>
      <c r="L745" s="508">
        <v>1510.9501230579704</v>
      </c>
      <c r="M745" s="508">
        <v>0</v>
      </c>
      <c r="N745" s="508">
        <v>1510.9501230579704</v>
      </c>
      <c r="O745" s="508">
        <v>0</v>
      </c>
      <c r="P745">
        <v>1</v>
      </c>
      <c r="Q745" s="2" t="s">
        <v>526</v>
      </c>
      <c r="R745" s="3">
        <v>0.15702038124548567</v>
      </c>
      <c r="S745" s="3">
        <v>5.2488000000000001</v>
      </c>
      <c r="T745" s="508">
        <v>1079.3825422409723</v>
      </c>
      <c r="U745" s="508">
        <v>0</v>
      </c>
      <c r="V745" s="508">
        <v>1079.3825422409723</v>
      </c>
      <c r="W745" s="508">
        <v>0</v>
      </c>
      <c r="X745" s="508">
        <v>1510.9501230579704</v>
      </c>
      <c r="Y745" s="508">
        <v>1079.3825422409723</v>
      </c>
      <c r="Z745" s="508">
        <v>7930.6750059066753</v>
      </c>
      <c r="AA745" s="508">
        <v>5665.4630877144155</v>
      </c>
      <c r="AB745" s="508">
        <v>5671.7791992495686</v>
      </c>
      <c r="AC745" s="508">
        <v>2265.21</v>
      </c>
      <c r="AD745" s="508">
        <v>2258.9</v>
      </c>
      <c r="AE745" s="508">
        <v>6.31</v>
      </c>
      <c r="AF745" s="508">
        <v>2258.9</v>
      </c>
      <c r="AG745" s="508"/>
      <c r="AH745" s="508">
        <v>0</v>
      </c>
      <c r="AI745" s="508">
        <v>0</v>
      </c>
      <c r="AJ745" s="508">
        <v>0</v>
      </c>
      <c r="AK745" s="508">
        <v>0</v>
      </c>
      <c r="AL745" s="508">
        <v>0</v>
      </c>
      <c r="AM745" s="508">
        <v>0</v>
      </c>
      <c r="AN745" s="508"/>
      <c r="AO745" s="508"/>
    </row>
    <row r="746" spans="1:41">
      <c r="A746" s="2" t="s">
        <v>1318</v>
      </c>
      <c r="B746" s="2" t="s">
        <v>382</v>
      </c>
      <c r="C746" s="2" t="s">
        <v>379</v>
      </c>
      <c r="D746" s="2" t="s">
        <v>30</v>
      </c>
      <c r="E746" s="2" t="s">
        <v>19</v>
      </c>
      <c r="F746" s="2" t="s">
        <v>380</v>
      </c>
      <c r="G746" s="2" t="s">
        <v>57</v>
      </c>
      <c r="H746">
        <v>1</v>
      </c>
      <c r="I746" s="2" t="s">
        <v>526</v>
      </c>
      <c r="J746" s="3">
        <v>0.15684552284455039</v>
      </c>
      <c r="K746" s="3">
        <v>5.2488000000000001</v>
      </c>
      <c r="L746" s="508">
        <v>1210.352294305713</v>
      </c>
      <c r="M746" s="508">
        <v>0</v>
      </c>
      <c r="N746" s="508">
        <v>1210.352294305713</v>
      </c>
      <c r="O746" s="508">
        <v>0</v>
      </c>
      <c r="P746">
        <v>1</v>
      </c>
      <c r="Q746" s="2" t="s">
        <v>526</v>
      </c>
      <c r="R746" s="3">
        <v>0.15702038124548567</v>
      </c>
      <c r="S746" s="3">
        <v>5.2488000000000001</v>
      </c>
      <c r="T746" s="508">
        <v>15755.500355508828</v>
      </c>
      <c r="U746" s="508">
        <v>0</v>
      </c>
      <c r="V746" s="508">
        <v>15755.500355508828</v>
      </c>
      <c r="W746" s="508">
        <v>0</v>
      </c>
      <c r="X746" s="508">
        <v>1210.352294305713</v>
      </c>
      <c r="Y746" s="508">
        <v>15755.500355508828</v>
      </c>
      <c r="Z746" s="508">
        <v>6352.8971223518265</v>
      </c>
      <c r="AA746" s="508">
        <v>82697.470265994736</v>
      </c>
      <c r="AB746" s="508">
        <v>82789.665102990097</v>
      </c>
      <c r="AC746" s="508">
        <v>-76344.570000000007</v>
      </c>
      <c r="AD746" s="508">
        <v>-76436.77</v>
      </c>
      <c r="AE746" s="508">
        <v>92.2</v>
      </c>
      <c r="AF746" s="508"/>
      <c r="AG746" s="508">
        <v>-76436.77</v>
      </c>
      <c r="AH746" s="508">
        <v>0</v>
      </c>
      <c r="AI746" s="508">
        <v>0</v>
      </c>
      <c r="AJ746" s="508">
        <v>0</v>
      </c>
      <c r="AK746" s="508">
        <v>0</v>
      </c>
      <c r="AL746" s="508">
        <v>0</v>
      </c>
      <c r="AM746" s="508">
        <v>0</v>
      </c>
      <c r="AN746" s="508"/>
      <c r="AO746" s="508"/>
    </row>
    <row r="747" spans="1:41">
      <c r="A747" s="2" t="s">
        <v>1319</v>
      </c>
      <c r="B747" s="2" t="s">
        <v>382</v>
      </c>
      <c r="C747" s="2" t="s">
        <v>379</v>
      </c>
      <c r="D747" s="2" t="s">
        <v>30</v>
      </c>
      <c r="E747" s="2" t="s">
        <v>19</v>
      </c>
      <c r="F747" s="2" t="s">
        <v>380</v>
      </c>
      <c r="G747" s="2" t="s">
        <v>57</v>
      </c>
      <c r="H747">
        <v>1</v>
      </c>
      <c r="I747" s="2" t="s">
        <v>526</v>
      </c>
      <c r="J747" s="3">
        <v>0.15684552284455039</v>
      </c>
      <c r="K747" s="3">
        <v>5.2488000000000001</v>
      </c>
      <c r="L747" s="508">
        <v>34515.073465722911</v>
      </c>
      <c r="M747" s="508">
        <v>0</v>
      </c>
      <c r="N747" s="508">
        <v>34515.073465722911</v>
      </c>
      <c r="O747" s="508">
        <v>0</v>
      </c>
      <c r="P747">
        <v>1</v>
      </c>
      <c r="Q747" s="2" t="s">
        <v>526</v>
      </c>
      <c r="R747" s="3">
        <v>0.15702038124548567</v>
      </c>
      <c r="S747" s="3">
        <v>5.2488000000000001</v>
      </c>
      <c r="T747" s="508">
        <v>9928.5482237800024</v>
      </c>
      <c r="U747" s="508">
        <v>0</v>
      </c>
      <c r="V747" s="508">
        <v>9928.5482237800024</v>
      </c>
      <c r="W747" s="508">
        <v>0</v>
      </c>
      <c r="X747" s="508">
        <v>34515.073465722911</v>
      </c>
      <c r="Y747" s="508">
        <v>9928.5482237800024</v>
      </c>
      <c r="Z747" s="508">
        <v>181162.71760688644</v>
      </c>
      <c r="AA747" s="508">
        <v>52112.963916976478</v>
      </c>
      <c r="AB747" s="508">
        <v>52171.061778957221</v>
      </c>
      <c r="AC747" s="508">
        <v>129049.75</v>
      </c>
      <c r="AD747" s="508">
        <v>128991.66</v>
      </c>
      <c r="AE747" s="508">
        <v>58.09</v>
      </c>
      <c r="AF747" s="508">
        <v>128991.66</v>
      </c>
      <c r="AG747" s="508"/>
      <c r="AH747" s="508">
        <v>0</v>
      </c>
      <c r="AI747" s="508">
        <v>0</v>
      </c>
      <c r="AJ747" s="508">
        <v>0</v>
      </c>
      <c r="AK747" s="508">
        <v>0</v>
      </c>
      <c r="AL747" s="508">
        <v>0</v>
      </c>
      <c r="AM747" s="508">
        <v>0</v>
      </c>
      <c r="AN747" s="508"/>
      <c r="AO747" s="508"/>
    </row>
    <row r="748" spans="1:41">
      <c r="A748" s="2" t="s">
        <v>1320</v>
      </c>
      <c r="B748" s="2" t="s">
        <v>382</v>
      </c>
      <c r="C748" s="2" t="s">
        <v>379</v>
      </c>
      <c r="D748" s="2" t="s">
        <v>30</v>
      </c>
      <c r="E748" s="2" t="s">
        <v>19</v>
      </c>
      <c r="F748" s="2" t="s">
        <v>380</v>
      </c>
      <c r="G748" s="2" t="s">
        <v>57</v>
      </c>
      <c r="H748">
        <v>1</v>
      </c>
      <c r="I748" s="2" t="s">
        <v>526</v>
      </c>
      <c r="J748" s="3">
        <v>0.15684552284455039</v>
      </c>
      <c r="K748" s="3">
        <v>5.2488000000000001</v>
      </c>
      <c r="L748" s="508">
        <v>1207.7811521046783</v>
      </c>
      <c r="M748" s="508">
        <v>0</v>
      </c>
      <c r="N748" s="508">
        <v>1207.7811521046783</v>
      </c>
      <c r="O748" s="508">
        <v>0</v>
      </c>
      <c r="P748">
        <v>1</v>
      </c>
      <c r="Q748" s="2" t="s">
        <v>526</v>
      </c>
      <c r="R748" s="3">
        <v>0.15702038124548567</v>
      </c>
      <c r="S748" s="3">
        <v>5.2488000000000001</v>
      </c>
      <c r="T748" s="508">
        <v>3056.4421139997262</v>
      </c>
      <c r="U748" s="508">
        <v>0</v>
      </c>
      <c r="V748" s="508">
        <v>3056.4421139997262</v>
      </c>
      <c r="W748" s="508">
        <v>0</v>
      </c>
      <c r="X748" s="508">
        <v>1207.7811521046783</v>
      </c>
      <c r="Y748" s="508">
        <v>3056.4421139997262</v>
      </c>
      <c r="Z748" s="508">
        <v>6339.4017111670355</v>
      </c>
      <c r="AA748" s="508">
        <v>16042.653367961762</v>
      </c>
      <c r="AB748" s="508">
        <v>16060.538435152754</v>
      </c>
      <c r="AC748" s="508">
        <v>-9703.25</v>
      </c>
      <c r="AD748" s="508">
        <v>-9721.14</v>
      </c>
      <c r="AE748" s="508">
        <v>17.89</v>
      </c>
      <c r="AF748" s="508"/>
      <c r="AG748" s="508">
        <v>-9721.14</v>
      </c>
      <c r="AH748" s="508">
        <v>0</v>
      </c>
      <c r="AI748" s="508">
        <v>0</v>
      </c>
      <c r="AJ748" s="508">
        <v>0</v>
      </c>
      <c r="AK748" s="508">
        <v>0</v>
      </c>
      <c r="AL748" s="508">
        <v>0</v>
      </c>
      <c r="AM748" s="508">
        <v>0</v>
      </c>
      <c r="AN748" s="508"/>
      <c r="AO748" s="508"/>
    </row>
    <row r="749" spans="1:41">
      <c r="A749" s="2" t="s">
        <v>1321</v>
      </c>
      <c r="B749" s="2" t="s">
        <v>382</v>
      </c>
      <c r="C749" s="2" t="s">
        <v>379</v>
      </c>
      <c r="D749" s="2" t="s">
        <v>30</v>
      </c>
      <c r="E749" s="2" t="s">
        <v>19</v>
      </c>
      <c r="F749" s="2" t="s">
        <v>380</v>
      </c>
      <c r="G749" s="2" t="s">
        <v>57</v>
      </c>
      <c r="H749">
        <v>1</v>
      </c>
      <c r="I749" s="2" t="s">
        <v>526</v>
      </c>
      <c r="J749" s="3">
        <v>0.15684552284455039</v>
      </c>
      <c r="K749" s="3">
        <v>5.2488000000000001</v>
      </c>
      <c r="L749" s="508">
        <v>481.01143617965926</v>
      </c>
      <c r="M749" s="508">
        <v>0</v>
      </c>
      <c r="N749" s="508">
        <v>481.01143617965926</v>
      </c>
      <c r="O749" s="508">
        <v>0</v>
      </c>
      <c r="P749">
        <v>1</v>
      </c>
      <c r="Q749" s="2" t="s">
        <v>526</v>
      </c>
      <c r="R749" s="3">
        <v>0.15702038124548567</v>
      </c>
      <c r="S749" s="3">
        <v>5.2488000000000001</v>
      </c>
      <c r="T749" s="508">
        <v>2725.3524169897883</v>
      </c>
      <c r="U749" s="508">
        <v>0</v>
      </c>
      <c r="V749" s="508">
        <v>2725.3524169897883</v>
      </c>
      <c r="W749" s="508">
        <v>0</v>
      </c>
      <c r="X749" s="508">
        <v>481.01143617965926</v>
      </c>
      <c r="Y749" s="508">
        <v>2725.3524169897883</v>
      </c>
      <c r="Z749" s="508">
        <v>2524.7328262197957</v>
      </c>
      <c r="AA749" s="508">
        <v>14304.829766296001</v>
      </c>
      <c r="AB749" s="508">
        <v>14320.777430043248</v>
      </c>
      <c r="AC749" s="508">
        <v>-11780.1</v>
      </c>
      <c r="AD749" s="508">
        <v>-11796.04</v>
      </c>
      <c r="AE749" s="508">
        <v>15.94</v>
      </c>
      <c r="AF749" s="508"/>
      <c r="AG749" s="508">
        <v>-11796.04</v>
      </c>
      <c r="AH749" s="508">
        <v>0</v>
      </c>
      <c r="AI749" s="508">
        <v>0</v>
      </c>
      <c r="AJ749" s="508">
        <v>0</v>
      </c>
      <c r="AK749" s="508">
        <v>0</v>
      </c>
      <c r="AL749" s="508">
        <v>0</v>
      </c>
      <c r="AM749" s="508">
        <v>0</v>
      </c>
      <c r="AN749" s="508"/>
      <c r="AO749" s="508"/>
    </row>
    <row r="750" spans="1:41">
      <c r="A750" s="2" t="s">
        <v>1322</v>
      </c>
      <c r="B750" s="2" t="s">
        <v>382</v>
      </c>
      <c r="C750" s="2" t="s">
        <v>379</v>
      </c>
      <c r="D750" s="2" t="s">
        <v>30</v>
      </c>
      <c r="E750" s="2" t="s">
        <v>19</v>
      </c>
      <c r="F750" s="2" t="s">
        <v>380</v>
      </c>
      <c r="G750" s="2" t="s">
        <v>57</v>
      </c>
      <c r="H750">
        <v>1</v>
      </c>
      <c r="I750" s="2" t="s">
        <v>526</v>
      </c>
      <c r="J750" s="3">
        <v>0.15684552284455039</v>
      </c>
      <c r="K750" s="3">
        <v>5.2488000000000001</v>
      </c>
      <c r="L750" s="508">
        <v>305.8605043452356</v>
      </c>
      <c r="M750" s="508">
        <v>0</v>
      </c>
      <c r="N750" s="508">
        <v>305.8605043452356</v>
      </c>
      <c r="O750" s="508">
        <v>0</v>
      </c>
      <c r="P750">
        <v>1</v>
      </c>
      <c r="Q750" s="2" t="s">
        <v>526</v>
      </c>
      <c r="R750" s="3">
        <v>0.15702038124548567</v>
      </c>
      <c r="S750" s="3">
        <v>5.2488000000000001</v>
      </c>
      <c r="T750" s="508">
        <v>7476.4239634621263</v>
      </c>
      <c r="U750" s="508">
        <v>0</v>
      </c>
      <c r="V750" s="508">
        <v>7476.4239634621263</v>
      </c>
      <c r="W750" s="508">
        <v>0</v>
      </c>
      <c r="X750" s="508">
        <v>305.8605043452356</v>
      </c>
      <c r="Y750" s="508">
        <v>7476.4239634621263</v>
      </c>
      <c r="Z750" s="508">
        <v>1605.4006152072727</v>
      </c>
      <c r="AA750" s="508">
        <v>39242.25409942001</v>
      </c>
      <c r="AB750" s="508">
        <v>39286.003118687338</v>
      </c>
      <c r="AC750" s="508">
        <v>-37636.85</v>
      </c>
      <c r="AD750" s="508">
        <v>-37680.6</v>
      </c>
      <c r="AE750" s="508">
        <v>43.75</v>
      </c>
      <c r="AF750" s="508"/>
      <c r="AG750" s="508">
        <v>-37680.6</v>
      </c>
      <c r="AH750" s="508">
        <v>0</v>
      </c>
      <c r="AI750" s="508">
        <v>0</v>
      </c>
      <c r="AJ750" s="508">
        <v>0</v>
      </c>
      <c r="AK750" s="508">
        <v>0</v>
      </c>
      <c r="AL750" s="508">
        <v>0</v>
      </c>
      <c r="AM750" s="508">
        <v>0</v>
      </c>
      <c r="AN750" s="508"/>
      <c r="AO750" s="508"/>
    </row>
    <row r="751" spans="1:41">
      <c r="A751" s="2" t="s">
        <v>1323</v>
      </c>
      <c r="B751" s="2" t="s">
        <v>382</v>
      </c>
      <c r="C751" s="2" t="s">
        <v>379</v>
      </c>
      <c r="D751" s="2" t="s">
        <v>30</v>
      </c>
      <c r="E751" s="2" t="s">
        <v>19</v>
      </c>
      <c r="F751" s="2" t="s">
        <v>380</v>
      </c>
      <c r="G751" s="2" t="s">
        <v>57</v>
      </c>
      <c r="H751">
        <v>1</v>
      </c>
      <c r="I751" s="2" t="s">
        <v>526</v>
      </c>
      <c r="J751" s="3">
        <v>0.15684552284455039</v>
      </c>
      <c r="K751" s="3">
        <v>5.2488000000000001</v>
      </c>
      <c r="L751" s="508">
        <v>390.64315209089614</v>
      </c>
      <c r="M751" s="508">
        <v>0</v>
      </c>
      <c r="N751" s="508">
        <v>390.64315209089614</v>
      </c>
      <c r="O751" s="508">
        <v>0</v>
      </c>
      <c r="P751">
        <v>1</v>
      </c>
      <c r="Q751" s="2" t="s">
        <v>526</v>
      </c>
      <c r="R751" s="3">
        <v>0.15702038124548567</v>
      </c>
      <c r="S751" s="3">
        <v>5.2488000000000001</v>
      </c>
      <c r="T751" s="508">
        <v>7673.6744568901486</v>
      </c>
      <c r="U751" s="508">
        <v>0</v>
      </c>
      <c r="V751" s="508">
        <v>7673.6744568901486</v>
      </c>
      <c r="W751" s="508">
        <v>0</v>
      </c>
      <c r="X751" s="508">
        <v>390.64315209089614</v>
      </c>
      <c r="Y751" s="508">
        <v>7673.6744568901486</v>
      </c>
      <c r="Z751" s="508">
        <v>2050.4077766946957</v>
      </c>
      <c r="AA751" s="508">
        <v>40277.58248932501</v>
      </c>
      <c r="AB751" s="508">
        <v>40322.485738967676</v>
      </c>
      <c r="AC751" s="508">
        <v>-38227.17</v>
      </c>
      <c r="AD751" s="508">
        <v>-38272.080000000002</v>
      </c>
      <c r="AE751" s="508">
        <v>44.91</v>
      </c>
      <c r="AF751" s="508"/>
      <c r="AG751" s="508">
        <v>-38272.080000000002</v>
      </c>
      <c r="AH751" s="508">
        <v>0</v>
      </c>
      <c r="AI751" s="508">
        <v>0</v>
      </c>
      <c r="AJ751" s="508">
        <v>0</v>
      </c>
      <c r="AK751" s="508">
        <v>0</v>
      </c>
      <c r="AL751" s="508">
        <v>0</v>
      </c>
      <c r="AM751" s="508">
        <v>0</v>
      </c>
      <c r="AN751" s="508"/>
      <c r="AO751" s="508"/>
    </row>
    <row r="752" spans="1:41">
      <c r="A752" s="2" t="s">
        <v>1324</v>
      </c>
      <c r="B752" s="2" t="s">
        <v>382</v>
      </c>
      <c r="C752" s="2" t="s">
        <v>379</v>
      </c>
      <c r="D752" s="2" t="s">
        <v>30</v>
      </c>
      <c r="E752" s="2" t="s">
        <v>19</v>
      </c>
      <c r="F752" s="2" t="s">
        <v>380</v>
      </c>
      <c r="G752" s="2" t="s">
        <v>57</v>
      </c>
      <c r="H752">
        <v>1</v>
      </c>
      <c r="I752" s="2" t="s">
        <v>526</v>
      </c>
      <c r="J752" s="3">
        <v>0.15684552284455039</v>
      </c>
      <c r="K752" s="3">
        <v>5.2488000000000001</v>
      </c>
      <c r="L752" s="508">
        <v>3349.4379356310328</v>
      </c>
      <c r="M752" s="508">
        <v>0</v>
      </c>
      <c r="N752" s="508">
        <v>3349.4379356310328</v>
      </c>
      <c r="O752" s="508">
        <v>0</v>
      </c>
      <c r="P752">
        <v>1</v>
      </c>
      <c r="Q752" s="2" t="s">
        <v>526</v>
      </c>
      <c r="R752" s="3">
        <v>0.15702038124548567</v>
      </c>
      <c r="S752" s="3">
        <v>5.2488000000000001</v>
      </c>
      <c r="T752" s="508">
        <v>10844.30623701102</v>
      </c>
      <c r="U752" s="508">
        <v>0</v>
      </c>
      <c r="V752" s="508">
        <v>10844.30623701102</v>
      </c>
      <c r="W752" s="508">
        <v>0</v>
      </c>
      <c r="X752" s="508">
        <v>3349.4379356310328</v>
      </c>
      <c r="Y752" s="508">
        <v>10844.30623701102</v>
      </c>
      <c r="Z752" s="508">
        <v>17580.529836540165</v>
      </c>
      <c r="AA752" s="508">
        <v>56919.594576823445</v>
      </c>
      <c r="AB752" s="508">
        <v>56983.051085553074</v>
      </c>
      <c r="AC752" s="508">
        <v>-39339.06</v>
      </c>
      <c r="AD752" s="508">
        <v>-39402.519999999997</v>
      </c>
      <c r="AE752" s="508">
        <v>63.46</v>
      </c>
      <c r="AF752" s="508"/>
      <c r="AG752" s="508">
        <v>-39402.519999999997</v>
      </c>
      <c r="AH752" s="508">
        <v>0</v>
      </c>
      <c r="AI752" s="508">
        <v>0</v>
      </c>
      <c r="AJ752" s="508">
        <v>0</v>
      </c>
      <c r="AK752" s="508">
        <v>0</v>
      </c>
      <c r="AL752" s="508">
        <v>0</v>
      </c>
      <c r="AM752" s="508">
        <v>0</v>
      </c>
      <c r="AN752" s="508"/>
      <c r="AO752" s="508"/>
    </row>
    <row r="753" spans="1:41">
      <c r="A753" s="2" t="s">
        <v>518</v>
      </c>
      <c r="B753" s="2" t="s">
        <v>519</v>
      </c>
      <c r="C753" s="2" t="s">
        <v>379</v>
      </c>
      <c r="D753" s="2" t="s">
        <v>30</v>
      </c>
      <c r="E753" s="2" t="s">
        <v>19</v>
      </c>
      <c r="F753" s="2" t="s">
        <v>380</v>
      </c>
      <c r="G753" s="2" t="s">
        <v>57</v>
      </c>
      <c r="H753">
        <v>1</v>
      </c>
      <c r="I753" s="2" t="s">
        <v>526</v>
      </c>
      <c r="J753" s="3">
        <v>0.15684552284455039</v>
      </c>
      <c r="K753" s="3">
        <v>5.2488000000000001</v>
      </c>
      <c r="L753" s="508">
        <v>2329.4249284415168</v>
      </c>
      <c r="M753" s="508">
        <v>0</v>
      </c>
      <c r="N753" s="508">
        <v>2329.4249284415168</v>
      </c>
      <c r="O753" s="508">
        <v>0</v>
      </c>
      <c r="P753">
        <v>1</v>
      </c>
      <c r="Q753" s="2" t="s">
        <v>526</v>
      </c>
      <c r="R753" s="3">
        <v>0.15702038124548567</v>
      </c>
      <c r="S753" s="3">
        <v>5.2488000000000001</v>
      </c>
      <c r="T753" s="508">
        <v>119.51567591361589</v>
      </c>
      <c r="U753" s="508">
        <v>0</v>
      </c>
      <c r="V753" s="508">
        <v>119.51567591361589</v>
      </c>
      <c r="W753" s="508">
        <v>0</v>
      </c>
      <c r="X753" s="508">
        <v>2329.4249284415168</v>
      </c>
      <c r="Y753" s="508">
        <v>119.51567591361589</v>
      </c>
      <c r="Z753" s="508">
        <v>12226.685564403833</v>
      </c>
      <c r="AA753" s="508">
        <v>627.3138797353871</v>
      </c>
      <c r="AB753" s="508">
        <v>628.01323729373939</v>
      </c>
      <c r="AC753" s="508">
        <v>11599.37</v>
      </c>
      <c r="AD753" s="508">
        <v>11598.67</v>
      </c>
      <c r="AE753" s="508">
        <v>0.7</v>
      </c>
      <c r="AF753" s="508">
        <v>11598.67</v>
      </c>
      <c r="AG753" s="508"/>
      <c r="AH753" s="508">
        <v>0</v>
      </c>
      <c r="AI753" s="508">
        <v>0</v>
      </c>
      <c r="AJ753" s="508">
        <v>0</v>
      </c>
      <c r="AK753" s="508">
        <v>0</v>
      </c>
      <c r="AL753" s="508">
        <v>0</v>
      </c>
      <c r="AM753" s="508">
        <v>0</v>
      </c>
      <c r="AN753" s="508"/>
      <c r="AO753" s="508"/>
    </row>
    <row r="754" spans="1:41">
      <c r="A754" s="2" t="s">
        <v>520</v>
      </c>
      <c r="B754" s="2" t="s">
        <v>519</v>
      </c>
      <c r="C754" s="2" t="s">
        <v>379</v>
      </c>
      <c r="D754" s="2" t="s">
        <v>30</v>
      </c>
      <c r="E754" s="2" t="s">
        <v>19</v>
      </c>
      <c r="F754" s="2" t="s">
        <v>380</v>
      </c>
      <c r="G754" s="2" t="s">
        <v>170</v>
      </c>
      <c r="H754">
        <v>1</v>
      </c>
      <c r="I754" s="2" t="s">
        <v>526</v>
      </c>
      <c r="J754" s="3">
        <v>5.2308000000000003</v>
      </c>
      <c r="K754" s="3">
        <v>5.2488000000000001</v>
      </c>
      <c r="L754" s="508">
        <v>1005.1603433437023</v>
      </c>
      <c r="M754" s="508">
        <v>0</v>
      </c>
      <c r="N754" s="508">
        <v>1005.1603433437023</v>
      </c>
      <c r="O754" s="508">
        <v>0</v>
      </c>
      <c r="P754">
        <v>1</v>
      </c>
      <c r="Q754" s="2" t="s">
        <v>526</v>
      </c>
      <c r="R754" s="3">
        <v>5.2488000000000001</v>
      </c>
      <c r="S754" s="3">
        <v>5.2488000000000001</v>
      </c>
      <c r="T754" s="508">
        <v>29516.256473413741</v>
      </c>
      <c r="U754" s="508">
        <v>0</v>
      </c>
      <c r="V754" s="508">
        <v>29516.256473413741</v>
      </c>
      <c r="W754" s="508">
        <v>0</v>
      </c>
      <c r="X754" s="508">
        <v>1005.1603433437023</v>
      </c>
      <c r="Y754" s="508">
        <v>29516.256473413741</v>
      </c>
      <c r="Z754" s="508">
        <v>5275.8856101424244</v>
      </c>
      <c r="AA754" s="508">
        <v>154924.92697765405</v>
      </c>
      <c r="AB754" s="508">
        <v>155458.04785507199</v>
      </c>
      <c r="AC754" s="508">
        <v>-149649.04</v>
      </c>
      <c r="AD754" s="508">
        <v>-150182.16</v>
      </c>
      <c r="AE754" s="508">
        <v>533.12</v>
      </c>
      <c r="AF754" s="508"/>
      <c r="AG754" s="508">
        <v>-150182.16</v>
      </c>
      <c r="AH754" s="508">
        <v>0</v>
      </c>
      <c r="AI754" s="508">
        <v>0</v>
      </c>
      <c r="AJ754" s="508">
        <v>0</v>
      </c>
      <c r="AK754" s="508">
        <v>0</v>
      </c>
      <c r="AL754" s="508">
        <v>0</v>
      </c>
      <c r="AM754" s="508">
        <v>0</v>
      </c>
      <c r="AN754" s="508"/>
      <c r="AO754" s="508"/>
    </row>
    <row r="755" spans="1:41">
      <c r="A755" s="2" t="s">
        <v>717</v>
      </c>
      <c r="B755" s="2" t="s">
        <v>717</v>
      </c>
      <c r="C755" s="2" t="s">
        <v>674</v>
      </c>
      <c r="D755" s="2" t="s">
        <v>718</v>
      </c>
      <c r="E755" s="2" t="s">
        <v>613</v>
      </c>
      <c r="F755" s="2" t="s">
        <v>20</v>
      </c>
      <c r="G755" s="2" t="s">
        <v>21</v>
      </c>
      <c r="H755">
        <v>1</v>
      </c>
      <c r="I755" s="2" t="s">
        <v>526</v>
      </c>
      <c r="J755" s="3">
        <v>1</v>
      </c>
      <c r="K755" s="3">
        <v>5.2488000000000001</v>
      </c>
      <c r="L755" s="508">
        <v>1115696.6349361322</v>
      </c>
      <c r="M755" s="508">
        <v>0</v>
      </c>
      <c r="N755" s="508">
        <v>1115696.6349361322</v>
      </c>
      <c r="O755" s="508">
        <v>6173.1824653998583</v>
      </c>
      <c r="P755">
        <v>1</v>
      </c>
      <c r="Q755" s="2" t="s">
        <v>526</v>
      </c>
      <c r="R755" s="3">
        <v>1</v>
      </c>
      <c r="S755" s="3">
        <v>5.2786999999999997</v>
      </c>
      <c r="T755" s="508">
        <v>1204489.8437401662</v>
      </c>
      <c r="U755" s="508">
        <v>0</v>
      </c>
      <c r="V755" s="508">
        <v>1204489.8437401662</v>
      </c>
      <c r="W755" s="508">
        <v>5819.3467097319653</v>
      </c>
      <c r="X755" s="508">
        <v>1121869.8174015321</v>
      </c>
      <c r="Y755" s="508">
        <v>1210309.1904498981</v>
      </c>
      <c r="Z755" s="508">
        <v>5888470.2975771613</v>
      </c>
      <c r="AA755" s="508">
        <v>6388859.1236278769</v>
      </c>
      <c r="AB755" s="508">
        <v>6352670.8788334252</v>
      </c>
      <c r="AC755" s="508">
        <v>-500388.83</v>
      </c>
      <c r="AD755" s="508">
        <v>-464200.58</v>
      </c>
      <c r="AE755" s="508">
        <v>-36188.25</v>
      </c>
      <c r="AF755" s="508"/>
      <c r="AG755" s="508">
        <v>-464200.58</v>
      </c>
      <c r="AH755" s="508">
        <v>0</v>
      </c>
      <c r="AI755" s="508">
        <v>0</v>
      </c>
      <c r="AJ755" s="508">
        <v>0</v>
      </c>
      <c r="AK755" s="508">
        <v>0</v>
      </c>
      <c r="AL755" s="508">
        <v>0</v>
      </c>
      <c r="AM755" s="508">
        <v>0</v>
      </c>
      <c r="AN755" s="508"/>
      <c r="AO755" s="508"/>
    </row>
    <row r="756" spans="1:41">
      <c r="A756" s="2" t="s">
        <v>719</v>
      </c>
      <c r="B756" s="2" t="s">
        <v>719</v>
      </c>
      <c r="C756" s="2" t="s">
        <v>674</v>
      </c>
      <c r="D756" s="2" t="s">
        <v>718</v>
      </c>
      <c r="E756" s="2" t="s">
        <v>613</v>
      </c>
      <c r="F756" s="2" t="s">
        <v>20</v>
      </c>
      <c r="G756" s="2" t="s">
        <v>21</v>
      </c>
      <c r="H756">
        <v>2</v>
      </c>
      <c r="I756" s="2" t="s">
        <v>740</v>
      </c>
      <c r="J756" s="3">
        <v>1</v>
      </c>
      <c r="K756" s="3">
        <v>5.2488000000000001</v>
      </c>
      <c r="L756" s="508">
        <v>19213.220525638757</v>
      </c>
      <c r="M756" s="508">
        <v>0</v>
      </c>
      <c r="N756" s="508">
        <v>19213.220525638757</v>
      </c>
      <c r="O756" s="508">
        <v>474.41447214499749</v>
      </c>
      <c r="P756">
        <v>2</v>
      </c>
      <c r="Q756" s="2" t="s">
        <v>740</v>
      </c>
      <c r="R756" s="3">
        <v>1</v>
      </c>
      <c r="S756" s="3">
        <v>5.2786999999999997</v>
      </c>
      <c r="T756" s="508">
        <v>18341.547160089012</v>
      </c>
      <c r="U756" s="508">
        <v>0</v>
      </c>
      <c r="V756" s="508">
        <v>18341.547160089012</v>
      </c>
      <c r="W756" s="508">
        <v>454.58136720488017</v>
      </c>
      <c r="X756" s="508">
        <v>19687.634997783753</v>
      </c>
      <c r="Y756" s="508">
        <v>18796.128527293891</v>
      </c>
      <c r="Z756" s="508">
        <v>103336.45857636737</v>
      </c>
      <c r="AA756" s="508">
        <v>99219.123657026255</v>
      </c>
      <c r="AB756" s="508">
        <v>98657.119414060173</v>
      </c>
      <c r="AC756" s="508">
        <v>4117.33</v>
      </c>
      <c r="AD756" s="508">
        <v>4679.34</v>
      </c>
      <c r="AE756" s="508">
        <v>-562.01</v>
      </c>
      <c r="AF756" s="508">
        <v>4679.34</v>
      </c>
      <c r="AG756" s="508"/>
      <c r="AH756" s="508">
        <v>0</v>
      </c>
      <c r="AI756" s="508">
        <v>0</v>
      </c>
      <c r="AJ756" s="508">
        <v>0</v>
      </c>
      <c r="AK756" s="508">
        <v>0</v>
      </c>
      <c r="AL756" s="508">
        <v>0</v>
      </c>
      <c r="AM756" s="508">
        <v>0</v>
      </c>
      <c r="AN756" s="508"/>
      <c r="AO756" s="508"/>
    </row>
    <row r="757" spans="1:41">
      <c r="A757" s="2" t="s">
        <v>720</v>
      </c>
      <c r="B757" s="2" t="s">
        <v>720</v>
      </c>
      <c r="C757" s="2" t="s">
        <v>674</v>
      </c>
      <c r="D757" s="2" t="s">
        <v>718</v>
      </c>
      <c r="E757" s="2" t="s">
        <v>616</v>
      </c>
      <c r="F757" s="2" t="s">
        <v>20</v>
      </c>
      <c r="G757" s="2" t="s">
        <v>21</v>
      </c>
      <c r="H757">
        <v>1</v>
      </c>
      <c r="I757" s="2" t="s">
        <v>526</v>
      </c>
      <c r="J757" s="3">
        <v>1</v>
      </c>
      <c r="K757" s="3">
        <v>5.2488000000000001</v>
      </c>
      <c r="L757" s="508">
        <v>1408330.0533515569</v>
      </c>
      <c r="M757" s="508">
        <v>0</v>
      </c>
      <c r="N757" s="508">
        <v>1408330.0533515569</v>
      </c>
      <c r="O757" s="508">
        <v>6324.9916692144916</v>
      </c>
      <c r="P757">
        <v>1</v>
      </c>
      <c r="Q757" s="2" t="s">
        <v>526</v>
      </c>
      <c r="R757" s="3">
        <v>1</v>
      </c>
      <c r="S757" s="3">
        <v>5.2786999999999997</v>
      </c>
      <c r="T757" s="508">
        <v>1570479.2084915319</v>
      </c>
      <c r="U757" s="508">
        <v>0</v>
      </c>
      <c r="V757" s="508">
        <v>1570479.2084915319</v>
      </c>
      <c r="W757" s="508">
        <v>6487.3251672531751</v>
      </c>
      <c r="X757" s="508">
        <v>1414655.0450207714</v>
      </c>
      <c r="Y757" s="508">
        <v>1576966.533658785</v>
      </c>
      <c r="Z757" s="508">
        <v>7425241.4003050253</v>
      </c>
      <c r="AA757" s="508">
        <v>8324333.2412246279</v>
      </c>
      <c r="AB757" s="508">
        <v>8277181.9418682307</v>
      </c>
      <c r="AC757" s="508">
        <v>-899091.84</v>
      </c>
      <c r="AD757" s="508">
        <v>-851940.54</v>
      </c>
      <c r="AE757" s="508">
        <v>-47151.3</v>
      </c>
      <c r="AF757" s="508"/>
      <c r="AG757" s="508">
        <v>-851940.54</v>
      </c>
      <c r="AH757" s="508">
        <v>0</v>
      </c>
      <c r="AI757" s="508">
        <v>0</v>
      </c>
      <c r="AJ757" s="508">
        <v>0</v>
      </c>
      <c r="AK757" s="508">
        <v>0</v>
      </c>
      <c r="AL757" s="508">
        <v>0</v>
      </c>
      <c r="AM757" s="508">
        <v>0</v>
      </c>
      <c r="AN757" s="508"/>
      <c r="AO757" s="508"/>
    </row>
    <row r="758" spans="1:41">
      <c r="A758" s="2" t="s">
        <v>721</v>
      </c>
      <c r="B758" s="2" t="s">
        <v>721</v>
      </c>
      <c r="C758" s="2" t="s">
        <v>674</v>
      </c>
      <c r="D758" s="2" t="s">
        <v>718</v>
      </c>
      <c r="E758" s="2" t="s">
        <v>616</v>
      </c>
      <c r="F758" s="2" t="s">
        <v>20</v>
      </c>
      <c r="G758" s="2" t="s">
        <v>21</v>
      </c>
      <c r="H758">
        <v>2</v>
      </c>
      <c r="I758" s="2" t="s">
        <v>740</v>
      </c>
      <c r="J758" s="3">
        <v>1</v>
      </c>
      <c r="K758" s="3">
        <v>5.2488000000000001</v>
      </c>
      <c r="L758" s="508">
        <v>281151.33205947169</v>
      </c>
      <c r="M758" s="508">
        <v>0</v>
      </c>
      <c r="N758" s="508">
        <v>281151.33205947169</v>
      </c>
      <c r="O758" s="508">
        <v>6292.5081893959859</v>
      </c>
      <c r="P758">
        <v>2</v>
      </c>
      <c r="Q758" s="2" t="s">
        <v>740</v>
      </c>
      <c r="R758" s="3">
        <v>1</v>
      </c>
      <c r="S758" s="3">
        <v>5.2786999999999997</v>
      </c>
      <c r="T758" s="508">
        <v>302816.83897111315</v>
      </c>
      <c r="U758" s="508">
        <v>0</v>
      </c>
      <c r="V758" s="508">
        <v>302816.83897111315</v>
      </c>
      <c r="W758" s="508">
        <v>6922.9331237198867</v>
      </c>
      <c r="X758" s="508">
        <v>287443.84024886769</v>
      </c>
      <c r="Y758" s="508">
        <v>309739.77209483302</v>
      </c>
      <c r="Z758" s="508">
        <v>1508735.2286982569</v>
      </c>
      <c r="AA758" s="508">
        <v>1635023.334956995</v>
      </c>
      <c r="AB758" s="508">
        <v>1625762.1157713595</v>
      </c>
      <c r="AC758" s="508">
        <v>-126288.11</v>
      </c>
      <c r="AD758" s="508">
        <v>-117026.89</v>
      </c>
      <c r="AE758" s="508">
        <v>-9261.2199999999993</v>
      </c>
      <c r="AF758" s="508"/>
      <c r="AG758" s="508">
        <v>-117026.89</v>
      </c>
      <c r="AH758" s="508">
        <v>0</v>
      </c>
      <c r="AI758" s="508">
        <v>0</v>
      </c>
      <c r="AJ758" s="508">
        <v>0</v>
      </c>
      <c r="AK758" s="508">
        <v>0</v>
      </c>
      <c r="AL758" s="508">
        <v>0</v>
      </c>
      <c r="AM758" s="508">
        <v>0</v>
      </c>
      <c r="AN758" s="508"/>
      <c r="AO758" s="508"/>
    </row>
    <row r="759" spans="1:41">
      <c r="A759" s="2" t="s">
        <v>722</v>
      </c>
      <c r="B759" s="2" t="s">
        <v>722</v>
      </c>
      <c r="C759" s="2" t="s">
        <v>674</v>
      </c>
      <c r="D759" s="2" t="s">
        <v>718</v>
      </c>
      <c r="E759" s="2" t="s">
        <v>613</v>
      </c>
      <c r="F759" s="2" t="s">
        <v>20</v>
      </c>
      <c r="G759" s="2" t="s">
        <v>21</v>
      </c>
      <c r="H759">
        <v>1</v>
      </c>
      <c r="I759" s="2" t="s">
        <v>526</v>
      </c>
      <c r="J759" s="3">
        <v>1</v>
      </c>
      <c r="K759" s="3">
        <v>5.2488000000000001</v>
      </c>
      <c r="L759" s="508">
        <v>505867.14094623871</v>
      </c>
      <c r="M759" s="508">
        <v>0</v>
      </c>
      <c r="N759" s="508">
        <v>505867.14094623871</v>
      </c>
      <c r="O759" s="508">
        <v>2894.6668395706156</v>
      </c>
      <c r="P759">
        <v>1</v>
      </c>
      <c r="Q759" s="2" t="s">
        <v>526</v>
      </c>
      <c r="R759" s="3">
        <v>1</v>
      </c>
      <c r="S759" s="3">
        <v>5.2786999999999997</v>
      </c>
      <c r="T759" s="508">
        <v>529530.68491854134</v>
      </c>
      <c r="U759" s="508">
        <v>0</v>
      </c>
      <c r="V759" s="508">
        <v>529530.68491854134</v>
      </c>
      <c r="W759" s="508">
        <v>3013.738774990652</v>
      </c>
      <c r="X759" s="508">
        <v>508761.80778580933</v>
      </c>
      <c r="Y759" s="508">
        <v>532544.42369353201</v>
      </c>
      <c r="Z759" s="508">
        <v>2670388.976706156</v>
      </c>
      <c r="AA759" s="508">
        <v>2811142.2493510474</v>
      </c>
      <c r="AB759" s="508">
        <v>2795219.1710826107</v>
      </c>
      <c r="AC759" s="508">
        <v>-140753.26999999999</v>
      </c>
      <c r="AD759" s="508">
        <v>-124830.19</v>
      </c>
      <c r="AE759" s="508">
        <v>-15923.08</v>
      </c>
      <c r="AF759" s="508"/>
      <c r="AG759" s="508">
        <v>-124830.19</v>
      </c>
      <c r="AH759" s="508">
        <v>0</v>
      </c>
      <c r="AI759" s="508">
        <v>0</v>
      </c>
      <c r="AJ759" s="508">
        <v>0</v>
      </c>
      <c r="AK759" s="508">
        <v>0</v>
      </c>
      <c r="AL759" s="508">
        <v>0</v>
      </c>
      <c r="AM759" s="508">
        <v>0</v>
      </c>
      <c r="AN759" s="508"/>
      <c r="AO759" s="508"/>
    </row>
    <row r="760" spans="1:41">
      <c r="A760" s="2" t="s">
        <v>723</v>
      </c>
      <c r="B760" s="2" t="s">
        <v>723</v>
      </c>
      <c r="C760" s="2" t="s">
        <v>674</v>
      </c>
      <c r="D760" s="2" t="s">
        <v>718</v>
      </c>
      <c r="E760" s="2" t="s">
        <v>613</v>
      </c>
      <c r="F760" s="2" t="s">
        <v>20</v>
      </c>
      <c r="G760" s="2" t="s">
        <v>21</v>
      </c>
      <c r="H760">
        <v>2</v>
      </c>
      <c r="I760" s="2" t="s">
        <v>740</v>
      </c>
      <c r="J760" s="3">
        <v>1</v>
      </c>
      <c r="K760" s="3">
        <v>5.2488000000000001</v>
      </c>
      <c r="L760" s="508">
        <v>101088.21922666699</v>
      </c>
      <c r="M760" s="508">
        <v>0</v>
      </c>
      <c r="N760" s="508">
        <v>101088.21922666699</v>
      </c>
      <c r="O760" s="508">
        <v>2531.3054087009723</v>
      </c>
      <c r="P760">
        <v>2</v>
      </c>
      <c r="Q760" s="2" t="s">
        <v>740</v>
      </c>
      <c r="R760" s="3">
        <v>1</v>
      </c>
      <c r="S760" s="3">
        <v>5.2786999999999997</v>
      </c>
      <c r="T760" s="508">
        <v>128228.080670247</v>
      </c>
      <c r="U760" s="508">
        <v>0</v>
      </c>
      <c r="V760" s="508">
        <v>128228.080670247</v>
      </c>
      <c r="W760" s="508">
        <v>3524.91628657198</v>
      </c>
      <c r="X760" s="508">
        <v>103619.52463536795</v>
      </c>
      <c r="Y760" s="508">
        <v>131752.99695681897</v>
      </c>
      <c r="Z760" s="508">
        <v>543878.16090611939</v>
      </c>
      <c r="AA760" s="508">
        <v>695484.54503596027</v>
      </c>
      <c r="AB760" s="508">
        <v>691545.13042695145</v>
      </c>
      <c r="AC760" s="508">
        <v>-151606.38</v>
      </c>
      <c r="AD760" s="508">
        <v>-147666.97</v>
      </c>
      <c r="AE760" s="508">
        <v>-3939.41</v>
      </c>
      <c r="AF760" s="508"/>
      <c r="AG760" s="508">
        <v>-147666.97</v>
      </c>
      <c r="AH760" s="508">
        <v>0</v>
      </c>
      <c r="AI760" s="508">
        <v>0</v>
      </c>
      <c r="AJ760" s="508">
        <v>0</v>
      </c>
      <c r="AK760" s="508">
        <v>0</v>
      </c>
      <c r="AL760" s="508">
        <v>0</v>
      </c>
      <c r="AM760" s="508">
        <v>0</v>
      </c>
      <c r="AN760" s="508"/>
      <c r="AO760" s="508"/>
    </row>
    <row r="761" spans="1:41">
      <c r="A761" s="2" t="s">
        <v>724</v>
      </c>
      <c r="B761" s="2" t="s">
        <v>724</v>
      </c>
      <c r="C761" s="2" t="s">
        <v>674</v>
      </c>
      <c r="D761" s="2" t="s">
        <v>718</v>
      </c>
      <c r="E761" s="2" t="s">
        <v>613</v>
      </c>
      <c r="F761" s="2" t="s">
        <v>20</v>
      </c>
      <c r="G761" s="2" t="s">
        <v>21</v>
      </c>
      <c r="H761">
        <v>3</v>
      </c>
      <c r="I761" s="2" t="s">
        <v>526</v>
      </c>
      <c r="J761" s="3">
        <v>1</v>
      </c>
      <c r="K761" s="3">
        <v>5.2488000000000001</v>
      </c>
      <c r="L761" s="508">
        <v>210665.29200000002</v>
      </c>
      <c r="M761" s="508">
        <v>0</v>
      </c>
      <c r="N761" s="508">
        <v>210665.29200000002</v>
      </c>
      <c r="O761" s="508">
        <v>0</v>
      </c>
      <c r="P761">
        <v>3</v>
      </c>
      <c r="Q761" s="2" t="s">
        <v>526</v>
      </c>
      <c r="R761" s="3">
        <v>1</v>
      </c>
      <c r="S761" s="3">
        <v>5.2786999999999997</v>
      </c>
      <c r="T761" s="508">
        <v>171287.155</v>
      </c>
      <c r="U761" s="508">
        <v>0</v>
      </c>
      <c r="V761" s="508">
        <v>171287.155</v>
      </c>
      <c r="W761" s="508">
        <v>0</v>
      </c>
      <c r="X761" s="508">
        <v>210665.29200000002</v>
      </c>
      <c r="Y761" s="508">
        <v>171287.155</v>
      </c>
      <c r="Z761" s="508">
        <v>1105739.9846496</v>
      </c>
      <c r="AA761" s="508">
        <v>904173.50509849994</v>
      </c>
      <c r="AB761" s="508">
        <v>899052.01916400006</v>
      </c>
      <c r="AC761" s="508">
        <v>201566.48</v>
      </c>
      <c r="AD761" s="508">
        <v>206687.97</v>
      </c>
      <c r="AE761" s="508">
        <v>-5121.49</v>
      </c>
      <c r="AF761" s="508">
        <v>206687.97</v>
      </c>
      <c r="AG761" s="508"/>
      <c r="AH761" s="508">
        <v>0</v>
      </c>
      <c r="AI761" s="508">
        <v>0</v>
      </c>
      <c r="AJ761" s="508">
        <v>0</v>
      </c>
      <c r="AK761" s="508">
        <v>0</v>
      </c>
      <c r="AL761" s="508">
        <v>0</v>
      </c>
      <c r="AM761" s="508">
        <v>0</v>
      </c>
      <c r="AN761" s="508"/>
      <c r="AO761" s="508"/>
    </row>
    <row r="762" spans="1:41">
      <c r="A762" s="2" t="s">
        <v>725</v>
      </c>
      <c r="B762" s="2" t="s">
        <v>725</v>
      </c>
      <c r="C762" s="2" t="s">
        <v>674</v>
      </c>
      <c r="D762" s="2" t="s">
        <v>718</v>
      </c>
      <c r="E762" s="2" t="s">
        <v>616</v>
      </c>
      <c r="F762" s="2" t="s">
        <v>20</v>
      </c>
      <c r="G762" s="2" t="s">
        <v>21</v>
      </c>
      <c r="H762">
        <v>1</v>
      </c>
      <c r="I762" s="2" t="s">
        <v>526</v>
      </c>
      <c r="J762" s="3">
        <v>1</v>
      </c>
      <c r="K762" s="3">
        <v>5.2488000000000001</v>
      </c>
      <c r="L762" s="508">
        <v>333362.28445810697</v>
      </c>
      <c r="M762" s="508">
        <v>0</v>
      </c>
      <c r="N762" s="508">
        <v>333362.28445810697</v>
      </c>
      <c r="O762" s="508">
        <v>2918.1109663434549</v>
      </c>
      <c r="P762">
        <v>1</v>
      </c>
      <c r="Q762" s="2" t="s">
        <v>526</v>
      </c>
      <c r="R762" s="3">
        <v>1</v>
      </c>
      <c r="S762" s="3">
        <v>5.2786999999999997</v>
      </c>
      <c r="T762" s="508">
        <v>349996.80312317389</v>
      </c>
      <c r="U762" s="508">
        <v>0</v>
      </c>
      <c r="V762" s="508">
        <v>349996.80312317389</v>
      </c>
      <c r="W762" s="508">
        <v>2938.5810299793602</v>
      </c>
      <c r="X762" s="508">
        <v>336280.3954244504</v>
      </c>
      <c r="Y762" s="508">
        <v>352935.38415315322</v>
      </c>
      <c r="Z762" s="508">
        <v>1765068.5395038554</v>
      </c>
      <c r="AA762" s="508">
        <v>1863040.0123292499</v>
      </c>
      <c r="AB762" s="508">
        <v>1852487.2443430708</v>
      </c>
      <c r="AC762" s="508">
        <v>-97971.47</v>
      </c>
      <c r="AD762" s="508">
        <v>-87418.7</v>
      </c>
      <c r="AE762" s="508">
        <v>-10552.77</v>
      </c>
      <c r="AF762" s="508"/>
      <c r="AG762" s="508">
        <v>-87418.7</v>
      </c>
      <c r="AH762" s="508">
        <v>0</v>
      </c>
      <c r="AI762" s="508">
        <v>0</v>
      </c>
      <c r="AJ762" s="508">
        <v>0</v>
      </c>
      <c r="AK762" s="508">
        <v>0</v>
      </c>
      <c r="AL762" s="508">
        <v>0</v>
      </c>
      <c r="AM762" s="508">
        <v>0</v>
      </c>
      <c r="AN762" s="508"/>
      <c r="AO762" s="508"/>
    </row>
    <row r="763" spans="1:41">
      <c r="A763" s="2" t="s">
        <v>726</v>
      </c>
      <c r="B763" s="2" t="s">
        <v>726</v>
      </c>
      <c r="C763" s="2" t="s">
        <v>674</v>
      </c>
      <c r="D763" s="2" t="s">
        <v>718</v>
      </c>
      <c r="E763" s="2" t="s">
        <v>616</v>
      </c>
      <c r="F763" s="2" t="s">
        <v>20</v>
      </c>
      <c r="G763" s="2" t="s">
        <v>21</v>
      </c>
      <c r="H763">
        <v>2</v>
      </c>
      <c r="I763" s="2" t="s">
        <v>740</v>
      </c>
      <c r="J763" s="3">
        <v>1</v>
      </c>
      <c r="K763" s="3">
        <v>5.2488000000000001</v>
      </c>
      <c r="L763" s="508">
        <v>54197.124939314184</v>
      </c>
      <c r="M763" s="508">
        <v>0</v>
      </c>
      <c r="N763" s="508">
        <v>54197.124939314184</v>
      </c>
      <c r="O763" s="508">
        <v>2275.24934320384</v>
      </c>
      <c r="P763">
        <v>2</v>
      </c>
      <c r="Q763" s="2" t="s">
        <v>740</v>
      </c>
      <c r="R763" s="3">
        <v>1</v>
      </c>
      <c r="S763" s="3">
        <v>5.2786999999999997</v>
      </c>
      <c r="T763" s="508">
        <v>17129.957154464279</v>
      </c>
      <c r="U763" s="508">
        <v>0</v>
      </c>
      <c r="V763" s="508">
        <v>17129.957154464279</v>
      </c>
      <c r="W763" s="508">
        <v>677.27253914559969</v>
      </c>
      <c r="X763" s="508">
        <v>56472.374282518023</v>
      </c>
      <c r="Y763" s="508">
        <v>17807.229693609879</v>
      </c>
      <c r="Z763" s="508">
        <v>296412.19813408062</v>
      </c>
      <c r="AA763" s="508">
        <v>93999.023383658467</v>
      </c>
      <c r="AB763" s="508">
        <v>93466.587215819542</v>
      </c>
      <c r="AC763" s="508">
        <v>202413.17</v>
      </c>
      <c r="AD763" s="508">
        <v>202945.61</v>
      </c>
      <c r="AE763" s="508">
        <v>-532.44000000000005</v>
      </c>
      <c r="AF763" s="508">
        <v>202945.61</v>
      </c>
      <c r="AG763" s="508"/>
      <c r="AH763" s="508">
        <v>0</v>
      </c>
      <c r="AI763" s="508">
        <v>0</v>
      </c>
      <c r="AJ763" s="508">
        <v>0</v>
      </c>
      <c r="AK763" s="508">
        <v>0</v>
      </c>
      <c r="AL763" s="508">
        <v>0</v>
      </c>
      <c r="AM763" s="508">
        <v>0</v>
      </c>
      <c r="AN763" s="508"/>
      <c r="AO763" s="508"/>
    </row>
    <row r="764" spans="1:41">
      <c r="A764" s="2" t="s">
        <v>727</v>
      </c>
      <c r="B764" s="2" t="s">
        <v>727</v>
      </c>
      <c r="C764" s="2" t="s">
        <v>674</v>
      </c>
      <c r="D764" s="2" t="s">
        <v>718</v>
      </c>
      <c r="E764" s="2" t="s">
        <v>613</v>
      </c>
      <c r="F764" s="2" t="s">
        <v>20</v>
      </c>
      <c r="G764" s="2" t="s">
        <v>21</v>
      </c>
      <c r="H764">
        <v>1</v>
      </c>
      <c r="I764" s="2" t="s">
        <v>526</v>
      </c>
      <c r="J764" s="3">
        <v>1</v>
      </c>
      <c r="K764" s="3">
        <v>5.2488000000000001</v>
      </c>
      <c r="L764" s="508">
        <v>8574593.4537786078</v>
      </c>
      <c r="M764" s="508">
        <v>0</v>
      </c>
      <c r="N764" s="508">
        <v>8574593.4537786078</v>
      </c>
      <c r="O764" s="508">
        <v>30105.514021387906</v>
      </c>
      <c r="P764">
        <v>1</v>
      </c>
      <c r="Q764" s="2" t="s">
        <v>526</v>
      </c>
      <c r="R764" s="3">
        <v>1</v>
      </c>
      <c r="S764" s="3">
        <v>5.2786999999999997</v>
      </c>
      <c r="T764" s="508">
        <v>7777342.6870524287</v>
      </c>
      <c r="U764" s="508">
        <v>0</v>
      </c>
      <c r="V764" s="508">
        <v>7777342.6870524287</v>
      </c>
      <c r="W764" s="508">
        <v>22002.938123417054</v>
      </c>
      <c r="X764" s="508">
        <v>8604698.9677999951</v>
      </c>
      <c r="Y764" s="508">
        <v>7799345.6251758458</v>
      </c>
      <c r="Z764" s="508">
        <v>45164343.942188613</v>
      </c>
      <c r="AA764" s="508">
        <v>41170405.751615733</v>
      </c>
      <c r="AB764" s="508">
        <v>40937205.317422979</v>
      </c>
      <c r="AC764" s="508">
        <v>3993938.19</v>
      </c>
      <c r="AD764" s="508">
        <v>4227138.62</v>
      </c>
      <c r="AE764" s="508">
        <v>-233200.43</v>
      </c>
      <c r="AF764" s="508">
        <v>4227138.62</v>
      </c>
      <c r="AG764" s="508"/>
      <c r="AH764" s="508">
        <v>0</v>
      </c>
      <c r="AI764" s="508">
        <v>0</v>
      </c>
      <c r="AJ764" s="508">
        <v>0</v>
      </c>
      <c r="AK764" s="508">
        <v>0</v>
      </c>
      <c r="AL764" s="508">
        <v>0</v>
      </c>
      <c r="AM764" s="508">
        <v>0</v>
      </c>
      <c r="AN764" s="508"/>
      <c r="AO764" s="508"/>
    </row>
    <row r="765" spans="1:41">
      <c r="A765" s="2" t="s">
        <v>728</v>
      </c>
      <c r="B765" s="2" t="s">
        <v>728</v>
      </c>
      <c r="C765" s="2" t="s">
        <v>674</v>
      </c>
      <c r="D765" s="2" t="s">
        <v>718</v>
      </c>
      <c r="E765" s="2" t="s">
        <v>613</v>
      </c>
      <c r="F765" s="2" t="s">
        <v>20</v>
      </c>
      <c r="G765" s="2" t="s">
        <v>21</v>
      </c>
      <c r="H765">
        <v>2</v>
      </c>
      <c r="I765" s="2" t="s">
        <v>740</v>
      </c>
      <c r="J765" s="3">
        <v>1</v>
      </c>
      <c r="K765" s="3">
        <v>5.2488000000000001</v>
      </c>
      <c r="L765" s="508">
        <v>23607.883636242197</v>
      </c>
      <c r="M765" s="508">
        <v>0</v>
      </c>
      <c r="N765" s="508">
        <v>23607.883636242197</v>
      </c>
      <c r="O765" s="508">
        <v>419.03384520039651</v>
      </c>
      <c r="P765">
        <v>2</v>
      </c>
      <c r="Q765" s="2" t="s">
        <v>740</v>
      </c>
      <c r="R765" s="3">
        <v>1</v>
      </c>
      <c r="S765" s="3">
        <v>5.2786999999999997</v>
      </c>
      <c r="T765" s="508">
        <v>22080.844756542803</v>
      </c>
      <c r="U765" s="508">
        <v>0</v>
      </c>
      <c r="V765" s="508">
        <v>22080.844756542803</v>
      </c>
      <c r="W765" s="508">
        <v>380.47719020910887</v>
      </c>
      <c r="X765" s="508">
        <v>24026.917481442593</v>
      </c>
      <c r="Y765" s="508">
        <v>22461.321946751912</v>
      </c>
      <c r="Z765" s="508">
        <v>126112.48447659588</v>
      </c>
      <c r="AA765" s="508">
        <v>118566.58016031931</v>
      </c>
      <c r="AB765" s="508">
        <v>117894.98663411144</v>
      </c>
      <c r="AC765" s="508">
        <v>7545.9</v>
      </c>
      <c r="AD765" s="508">
        <v>8217.5</v>
      </c>
      <c r="AE765" s="508">
        <v>-671.6</v>
      </c>
      <c r="AF765" s="508">
        <v>8217.5</v>
      </c>
      <c r="AG765" s="508"/>
      <c r="AH765" s="508">
        <v>0</v>
      </c>
      <c r="AI765" s="508">
        <v>0</v>
      </c>
      <c r="AJ765" s="508">
        <v>0</v>
      </c>
      <c r="AK765" s="508">
        <v>0</v>
      </c>
      <c r="AL765" s="508">
        <v>0</v>
      </c>
      <c r="AM765" s="508">
        <v>0</v>
      </c>
      <c r="AN765" s="508"/>
      <c r="AO765" s="508"/>
    </row>
    <row r="766" spans="1:41">
      <c r="A766" s="2" t="s">
        <v>729</v>
      </c>
      <c r="B766" s="2" t="s">
        <v>729</v>
      </c>
      <c r="C766" s="2" t="s">
        <v>674</v>
      </c>
      <c r="D766" s="2" t="s">
        <v>718</v>
      </c>
      <c r="E766" s="2" t="s">
        <v>616</v>
      </c>
      <c r="F766" s="2" t="s">
        <v>20</v>
      </c>
      <c r="G766" s="2" t="s">
        <v>21</v>
      </c>
      <c r="H766">
        <v>1</v>
      </c>
      <c r="I766" s="2" t="s">
        <v>526</v>
      </c>
      <c r="J766" s="3">
        <v>1</v>
      </c>
      <c r="K766" s="3">
        <v>5.2488000000000001</v>
      </c>
      <c r="L766" s="508">
        <v>705746.00056106597</v>
      </c>
      <c r="M766" s="508">
        <v>0</v>
      </c>
      <c r="N766" s="508">
        <v>705746.00056106597</v>
      </c>
      <c r="O766" s="508">
        <v>3649.3109669451123</v>
      </c>
      <c r="P766">
        <v>1</v>
      </c>
      <c r="Q766" s="2" t="s">
        <v>526</v>
      </c>
      <c r="R766" s="3">
        <v>1</v>
      </c>
      <c r="S766" s="3">
        <v>5.2786999999999997</v>
      </c>
      <c r="T766" s="508">
        <v>661309.32436037716</v>
      </c>
      <c r="U766" s="508">
        <v>0</v>
      </c>
      <c r="V766" s="508">
        <v>661309.32436037716</v>
      </c>
      <c r="W766" s="508">
        <v>2996.7684548294496</v>
      </c>
      <c r="X766" s="508">
        <v>709395.31152801111</v>
      </c>
      <c r="Y766" s="508">
        <v>664306.09281520662</v>
      </c>
      <c r="Z766" s="508">
        <v>3723474.1111482247</v>
      </c>
      <c r="AA766" s="508">
        <v>3506672.5721436311</v>
      </c>
      <c r="AB766" s="508">
        <v>3486809.8199684564</v>
      </c>
      <c r="AC766" s="508">
        <v>216801.54</v>
      </c>
      <c r="AD766" s="508">
        <v>236664.29</v>
      </c>
      <c r="AE766" s="508">
        <v>-19862.75</v>
      </c>
      <c r="AF766" s="508">
        <v>236664.29</v>
      </c>
      <c r="AG766" s="508"/>
      <c r="AH766" s="508">
        <v>0</v>
      </c>
      <c r="AI766" s="508">
        <v>0</v>
      </c>
      <c r="AJ766" s="508">
        <v>0</v>
      </c>
      <c r="AK766" s="508">
        <v>0</v>
      </c>
      <c r="AL766" s="508">
        <v>0</v>
      </c>
      <c r="AM766" s="508">
        <v>0</v>
      </c>
      <c r="AN766" s="508"/>
      <c r="AO766" s="508"/>
    </row>
    <row r="767" spans="1:41">
      <c r="A767" s="2" t="s">
        <v>730</v>
      </c>
      <c r="B767" s="2" t="s">
        <v>730</v>
      </c>
      <c r="C767" s="2" t="s">
        <v>731</v>
      </c>
      <c r="D767" s="2" t="s">
        <v>718</v>
      </c>
      <c r="E767" s="2" t="s">
        <v>732</v>
      </c>
      <c r="F767" s="2" t="s">
        <v>20</v>
      </c>
      <c r="G767" s="2" t="s">
        <v>21</v>
      </c>
      <c r="H767">
        <v>1</v>
      </c>
      <c r="I767" s="2" t="s">
        <v>526</v>
      </c>
      <c r="J767" s="3">
        <v>1</v>
      </c>
      <c r="K767" s="3">
        <v>5.2488000000000001</v>
      </c>
      <c r="L767" s="508">
        <v>22762434.673569251</v>
      </c>
      <c r="M767" s="508">
        <v>0</v>
      </c>
      <c r="N767" s="508">
        <v>22762434.673569251</v>
      </c>
      <c r="O767" s="508">
        <v>97804.066468821038</v>
      </c>
      <c r="P767">
        <v>1</v>
      </c>
      <c r="Q767" s="2" t="s">
        <v>526</v>
      </c>
      <c r="R767" s="3">
        <v>1</v>
      </c>
      <c r="S767" s="3">
        <v>5.2786999999999997</v>
      </c>
      <c r="T767" s="508">
        <v>23641905.499152802</v>
      </c>
      <c r="U767" s="508">
        <v>0</v>
      </c>
      <c r="V767" s="508">
        <v>23641905.499152802</v>
      </c>
      <c r="W767" s="508">
        <v>101503.32299128073</v>
      </c>
      <c r="X767" s="508">
        <v>22860238.740038071</v>
      </c>
      <c r="Y767" s="508">
        <v>23743408.822144084</v>
      </c>
      <c r="Z767" s="508">
        <v>119988821.09871183</v>
      </c>
      <c r="AA767" s="508">
        <v>125334332.14945197</v>
      </c>
      <c r="AB767" s="508">
        <v>124624404.22566988</v>
      </c>
      <c r="AC767" s="508">
        <v>-5345511.05</v>
      </c>
      <c r="AD767" s="508">
        <v>-4635583.13</v>
      </c>
      <c r="AE767" s="508">
        <v>-709927.92</v>
      </c>
      <c r="AF767" s="508"/>
      <c r="AG767" s="508">
        <v>-4635583.13</v>
      </c>
      <c r="AH767" s="508">
        <v>0</v>
      </c>
      <c r="AI767" s="508">
        <v>0</v>
      </c>
      <c r="AJ767" s="508">
        <v>0</v>
      </c>
      <c r="AK767" s="508">
        <v>0</v>
      </c>
      <c r="AL767" s="508">
        <v>0</v>
      </c>
      <c r="AM767" s="508">
        <v>0</v>
      </c>
      <c r="AN767" s="508"/>
      <c r="AO767" s="508"/>
    </row>
    <row r="768" spans="1:41">
      <c r="A768" s="2" t="s">
        <v>733</v>
      </c>
      <c r="B768" s="2" t="s">
        <v>733</v>
      </c>
      <c r="C768" s="2" t="s">
        <v>731</v>
      </c>
      <c r="D768" s="2" t="s">
        <v>718</v>
      </c>
      <c r="E768" s="2" t="s">
        <v>732</v>
      </c>
      <c r="F768" s="2" t="s">
        <v>20</v>
      </c>
      <c r="G768" s="2" t="s">
        <v>21</v>
      </c>
      <c r="H768">
        <v>2</v>
      </c>
      <c r="I768" s="2" t="s">
        <v>740</v>
      </c>
      <c r="J768" s="3">
        <v>1</v>
      </c>
      <c r="K768" s="3">
        <v>5.2488000000000001</v>
      </c>
      <c r="L768" s="508">
        <v>90605.144762533382</v>
      </c>
      <c r="M768" s="508">
        <v>0</v>
      </c>
      <c r="N768" s="508">
        <v>90605.144762533382</v>
      </c>
      <c r="O768" s="508">
        <v>2100.3067832748902</v>
      </c>
      <c r="P768">
        <v>2</v>
      </c>
      <c r="Q768" s="2" t="s">
        <v>740</v>
      </c>
      <c r="R768" s="3">
        <v>1</v>
      </c>
      <c r="S768" s="3">
        <v>5.2786999999999997</v>
      </c>
      <c r="T768" s="508">
        <v>105847.73083591538</v>
      </c>
      <c r="U768" s="508">
        <v>0</v>
      </c>
      <c r="V768" s="508">
        <v>105847.73083591538</v>
      </c>
      <c r="W768" s="508">
        <v>2437.1901354811962</v>
      </c>
      <c r="X768" s="508">
        <v>92705.451545808275</v>
      </c>
      <c r="Y768" s="508">
        <v>108284.92097139658</v>
      </c>
      <c r="Z768" s="508">
        <v>486592.37407363846</v>
      </c>
      <c r="AA768" s="508">
        <v>571603.61233171111</v>
      </c>
      <c r="AB768" s="508">
        <v>568365.89319466637</v>
      </c>
      <c r="AC768" s="508">
        <v>-85011.24</v>
      </c>
      <c r="AD768" s="508">
        <v>-81773.52</v>
      </c>
      <c r="AE768" s="508">
        <v>-3237.72</v>
      </c>
      <c r="AF768" s="508"/>
      <c r="AG768" s="508">
        <v>-81773.52</v>
      </c>
      <c r="AH768" s="508">
        <v>0</v>
      </c>
      <c r="AI768" s="508">
        <v>0</v>
      </c>
      <c r="AJ768" s="508">
        <v>0</v>
      </c>
      <c r="AK768" s="508">
        <v>0</v>
      </c>
      <c r="AL768" s="508">
        <v>0</v>
      </c>
      <c r="AM768" s="508">
        <v>0</v>
      </c>
      <c r="AN768" s="508"/>
      <c r="AO768" s="508"/>
    </row>
    <row r="769" spans="1:41">
      <c r="A769" s="2" t="s">
        <v>734</v>
      </c>
      <c r="B769" s="2" t="s">
        <v>734</v>
      </c>
      <c r="C769" s="2" t="s">
        <v>735</v>
      </c>
      <c r="D769" s="2" t="s">
        <v>736</v>
      </c>
      <c r="E769" s="2" t="s">
        <v>737</v>
      </c>
      <c r="F769" s="2" t="s">
        <v>20</v>
      </c>
      <c r="G769" s="2" t="s">
        <v>21</v>
      </c>
      <c r="H769">
        <v>1</v>
      </c>
      <c r="I769" s="2" t="s">
        <v>526</v>
      </c>
      <c r="J769" s="3">
        <v>1</v>
      </c>
      <c r="K769" s="3">
        <v>5.2488000000000001</v>
      </c>
      <c r="L769" s="508">
        <v>7939240.5682953186</v>
      </c>
      <c r="M769" s="508">
        <v>0</v>
      </c>
      <c r="N769" s="508">
        <v>7939240.5682953186</v>
      </c>
      <c r="O769" s="508">
        <v>29506.911150762786</v>
      </c>
      <c r="P769">
        <v>1</v>
      </c>
      <c r="Q769" s="2" t="s">
        <v>526</v>
      </c>
      <c r="R769" s="3">
        <v>1</v>
      </c>
      <c r="S769" s="3">
        <v>5.2786999999999997</v>
      </c>
      <c r="T769" s="508">
        <v>10154842.587354477</v>
      </c>
      <c r="U769" s="508">
        <v>0</v>
      </c>
      <c r="V769" s="508">
        <v>10154842.587354477</v>
      </c>
      <c r="W769" s="508">
        <v>36637.686481543147</v>
      </c>
      <c r="X769" s="508">
        <v>7968747.4794460814</v>
      </c>
      <c r="Y769" s="508">
        <v>10191480.27383602</v>
      </c>
      <c r="Z769" s="508">
        <v>41826361.77011659</v>
      </c>
      <c r="AA769" s="508">
        <v>53797766.921498194</v>
      </c>
      <c r="AB769" s="508">
        <v>53493041.661310501</v>
      </c>
      <c r="AC769" s="508">
        <v>-11971405.15</v>
      </c>
      <c r="AD769" s="508">
        <v>-11666679.890000001</v>
      </c>
      <c r="AE769" s="508">
        <v>-304725.26</v>
      </c>
      <c r="AF769" s="508"/>
      <c r="AG769" s="508">
        <v>-11666679.890000001</v>
      </c>
      <c r="AH769" s="508">
        <v>0</v>
      </c>
      <c r="AI769" s="508">
        <v>0</v>
      </c>
      <c r="AJ769" s="508">
        <v>0</v>
      </c>
      <c r="AK769" s="508">
        <v>0</v>
      </c>
      <c r="AL769" s="508">
        <v>0</v>
      </c>
      <c r="AM769" s="508">
        <v>0</v>
      </c>
      <c r="AN769" s="508"/>
      <c r="AO769" s="508"/>
    </row>
    <row r="770" spans="1:41">
      <c r="A770" s="2" t="s">
        <v>738</v>
      </c>
      <c r="B770" s="2" t="s">
        <v>738</v>
      </c>
      <c r="C770" s="2" t="s">
        <v>739</v>
      </c>
      <c r="D770" s="2" t="s">
        <v>736</v>
      </c>
      <c r="E770" s="2" t="s">
        <v>737</v>
      </c>
      <c r="F770" s="2" t="s">
        <v>20</v>
      </c>
      <c r="G770" s="2" t="s">
        <v>21</v>
      </c>
      <c r="H770">
        <v>1</v>
      </c>
      <c r="I770" s="2" t="s">
        <v>526</v>
      </c>
      <c r="J770" s="3">
        <v>1</v>
      </c>
      <c r="K770" s="3">
        <v>5.2488000000000001</v>
      </c>
      <c r="L770" s="508">
        <v>55.757883754638783</v>
      </c>
      <c r="M770" s="508">
        <v>0</v>
      </c>
      <c r="N770" s="508">
        <v>55.757883754638783</v>
      </c>
      <c r="O770" s="508">
        <v>6.8211202305577659E-2</v>
      </c>
      <c r="P770">
        <v>1</v>
      </c>
      <c r="Q770" s="2" t="s">
        <v>526</v>
      </c>
      <c r="R770" s="3">
        <v>1</v>
      </c>
      <c r="S770" s="3">
        <v>5.2786999999999997</v>
      </c>
      <c r="T770" s="508">
        <v>62.474095744641957</v>
      </c>
      <c r="U770" s="508">
        <v>0</v>
      </c>
      <c r="V770" s="508">
        <v>62.474095744641957</v>
      </c>
      <c r="W770" s="508">
        <v>8.7602018684871788E-2</v>
      </c>
      <c r="X770" s="508">
        <v>55.82609495694436</v>
      </c>
      <c r="Y770" s="508">
        <v>62.561697763326826</v>
      </c>
      <c r="Z770" s="508">
        <v>293.02000721000957</v>
      </c>
      <c r="AA770" s="508">
        <v>330.24443398327332</v>
      </c>
      <c r="AB770" s="508">
        <v>328.37383922014988</v>
      </c>
      <c r="AC770" s="508">
        <v>-37.22</v>
      </c>
      <c r="AD770" s="508">
        <v>-35.35</v>
      </c>
      <c r="AE770" s="508">
        <v>-1.87</v>
      </c>
      <c r="AF770" s="508"/>
      <c r="AG770" s="508">
        <v>-35.35</v>
      </c>
      <c r="AH770" s="508">
        <v>0</v>
      </c>
      <c r="AI770" s="508">
        <v>0</v>
      </c>
      <c r="AJ770" s="508">
        <v>0</v>
      </c>
      <c r="AK770" s="508">
        <v>0</v>
      </c>
      <c r="AL770" s="508">
        <v>0</v>
      </c>
      <c r="AM770" s="508">
        <v>0</v>
      </c>
      <c r="AN770" s="508"/>
      <c r="AO770" s="508"/>
    </row>
    <row r="771" spans="1:41">
      <c r="A771" s="2" t="s">
        <v>847</v>
      </c>
      <c r="B771" s="2" t="s">
        <v>833</v>
      </c>
      <c r="C771" s="2" t="s">
        <v>17</v>
      </c>
      <c r="D771" s="2" t="s">
        <v>18</v>
      </c>
      <c r="E771" s="2" t="s">
        <v>19</v>
      </c>
      <c r="F771" s="2" t="s">
        <v>20</v>
      </c>
      <c r="G771" s="2" t="s">
        <v>21</v>
      </c>
      <c r="H771">
        <v>1</v>
      </c>
      <c r="I771" s="2" t="s">
        <v>526</v>
      </c>
      <c r="J771" s="3">
        <v>1</v>
      </c>
      <c r="K771" s="3">
        <v>5.2488000000000001</v>
      </c>
      <c r="L771" s="508">
        <v>5109514.6209674701</v>
      </c>
      <c r="M771" s="508">
        <v>0</v>
      </c>
      <c r="N771" s="508">
        <v>5109514.6209674701</v>
      </c>
      <c r="O771" s="508">
        <v>4172.770364868793</v>
      </c>
      <c r="Q771" s="2"/>
      <c r="R771" s="3"/>
      <c r="S771" s="3"/>
      <c r="T771" s="508"/>
      <c r="U771" s="508"/>
      <c r="V771" s="508"/>
      <c r="W771" s="508"/>
      <c r="X771" s="508">
        <v>5113687.3913323386</v>
      </c>
      <c r="Y771" s="508"/>
      <c r="Z771" s="508">
        <v>26840722.379625179</v>
      </c>
      <c r="AA771" s="508"/>
      <c r="AB771" s="508"/>
      <c r="AC771" s="508"/>
      <c r="AD771" s="508"/>
      <c r="AE771" s="508"/>
      <c r="AF771" s="508"/>
      <c r="AG771" s="508"/>
      <c r="AH771" s="508">
        <v>0</v>
      </c>
      <c r="AI771" s="508"/>
      <c r="AJ771" s="508"/>
      <c r="AK771" s="508"/>
      <c r="AL771" s="508"/>
      <c r="AM771" s="508"/>
      <c r="AN771" s="508"/>
      <c r="AO771" s="508"/>
    </row>
    <row r="772" spans="1:41">
      <c r="A772" s="2" t="s">
        <v>848</v>
      </c>
      <c r="B772" s="2" t="s">
        <v>849</v>
      </c>
      <c r="C772" s="2" t="s">
        <v>17</v>
      </c>
      <c r="D772" s="2" t="s">
        <v>25</v>
      </c>
      <c r="E772" s="2" t="s">
        <v>19</v>
      </c>
      <c r="F772" s="2" t="s">
        <v>20</v>
      </c>
      <c r="G772" s="2" t="s">
        <v>21</v>
      </c>
      <c r="H772">
        <v>1</v>
      </c>
      <c r="I772" s="2" t="s">
        <v>526</v>
      </c>
      <c r="J772" s="3">
        <v>1</v>
      </c>
      <c r="K772" s="3">
        <v>5.2488000000000001</v>
      </c>
      <c r="L772" s="508">
        <v>21109.795683364355</v>
      </c>
      <c r="M772" s="508">
        <v>0</v>
      </c>
      <c r="N772" s="508">
        <v>21109.795683364355</v>
      </c>
      <c r="O772" s="508">
        <v>56.371119520874061</v>
      </c>
      <c r="Q772" s="2"/>
      <c r="R772" s="3"/>
      <c r="S772" s="3"/>
      <c r="T772" s="508"/>
      <c r="U772" s="508"/>
      <c r="V772" s="508"/>
      <c r="W772" s="508"/>
      <c r="X772" s="508">
        <v>21166.166802885229</v>
      </c>
      <c r="Y772" s="508"/>
      <c r="Z772" s="508">
        <v>111096.976314984</v>
      </c>
      <c r="AA772" s="508"/>
      <c r="AB772" s="508"/>
      <c r="AC772" s="508"/>
      <c r="AD772" s="508"/>
      <c r="AE772" s="508"/>
      <c r="AF772" s="508"/>
      <c r="AG772" s="508"/>
      <c r="AH772" s="508">
        <v>0</v>
      </c>
      <c r="AI772" s="508"/>
      <c r="AJ772" s="508"/>
      <c r="AK772" s="508"/>
      <c r="AL772" s="508"/>
      <c r="AM772" s="508"/>
      <c r="AN772" s="508"/>
      <c r="AO772" s="508"/>
    </row>
    <row r="773" spans="1:41">
      <c r="A773" s="2" t="s">
        <v>850</v>
      </c>
      <c r="B773" s="2" t="s">
        <v>851</v>
      </c>
      <c r="C773" s="2" t="s">
        <v>17</v>
      </c>
      <c r="D773" s="2" t="s">
        <v>25</v>
      </c>
      <c r="E773" s="2" t="s">
        <v>19</v>
      </c>
      <c r="F773" s="2" t="s">
        <v>20</v>
      </c>
      <c r="G773" s="2" t="s">
        <v>21</v>
      </c>
      <c r="H773">
        <v>1</v>
      </c>
      <c r="I773" s="2" t="s">
        <v>526</v>
      </c>
      <c r="J773" s="3">
        <v>1</v>
      </c>
      <c r="K773" s="3">
        <v>5.2488000000000001</v>
      </c>
      <c r="L773" s="508">
        <v>450647.48117123084</v>
      </c>
      <c r="M773" s="508">
        <v>0</v>
      </c>
      <c r="N773" s="508">
        <v>450647.48117123084</v>
      </c>
      <c r="O773" s="508">
        <v>455.65473799639472</v>
      </c>
      <c r="Q773" s="2"/>
      <c r="R773" s="3"/>
      <c r="S773" s="3"/>
      <c r="T773" s="508"/>
      <c r="U773" s="508"/>
      <c r="V773" s="508"/>
      <c r="W773" s="508"/>
      <c r="X773" s="508">
        <v>451103.13590922725</v>
      </c>
      <c r="Y773" s="508"/>
      <c r="Z773" s="508">
        <v>2367750.1397603522</v>
      </c>
      <c r="AA773" s="508"/>
      <c r="AB773" s="508"/>
      <c r="AC773" s="508"/>
      <c r="AD773" s="508"/>
      <c r="AE773" s="508"/>
      <c r="AF773" s="508"/>
      <c r="AG773" s="508"/>
      <c r="AH773" s="508">
        <v>0</v>
      </c>
      <c r="AI773" s="508"/>
      <c r="AJ773" s="508"/>
      <c r="AK773" s="508"/>
      <c r="AL773" s="508"/>
      <c r="AM773" s="508"/>
      <c r="AN773" s="508"/>
      <c r="AO773" s="508"/>
    </row>
    <row r="774" spans="1:41">
      <c r="A774" s="2" t="s">
        <v>852</v>
      </c>
      <c r="B774" s="2" t="s">
        <v>851</v>
      </c>
      <c r="C774" s="2" t="s">
        <v>17</v>
      </c>
      <c r="D774" s="2" t="s">
        <v>25</v>
      </c>
      <c r="E774" s="2" t="s">
        <v>19</v>
      </c>
      <c r="F774" s="2" t="s">
        <v>20</v>
      </c>
      <c r="G774" s="2" t="s">
        <v>21</v>
      </c>
      <c r="H774">
        <v>1</v>
      </c>
      <c r="I774" s="2" t="s">
        <v>526</v>
      </c>
      <c r="J774" s="3">
        <v>1</v>
      </c>
      <c r="K774" s="3">
        <v>5.2488000000000001</v>
      </c>
      <c r="L774" s="508">
        <v>376794.08051091869</v>
      </c>
      <c r="M774" s="508">
        <v>0</v>
      </c>
      <c r="N774" s="508">
        <v>376794.08051091869</v>
      </c>
      <c r="O774" s="508">
        <v>380.98066645333842</v>
      </c>
      <c r="Q774" s="2"/>
      <c r="R774" s="3"/>
      <c r="S774" s="3"/>
      <c r="T774" s="508"/>
      <c r="U774" s="508"/>
      <c r="V774" s="508"/>
      <c r="W774" s="508"/>
      <c r="X774" s="508">
        <v>377175.061177372</v>
      </c>
      <c r="Y774" s="508"/>
      <c r="Z774" s="508">
        <v>1979716.4611077902</v>
      </c>
      <c r="AA774" s="508"/>
      <c r="AB774" s="508"/>
      <c r="AC774" s="508"/>
      <c r="AD774" s="508"/>
      <c r="AE774" s="508"/>
      <c r="AF774" s="508"/>
      <c r="AG774" s="508"/>
      <c r="AH774" s="508">
        <v>0</v>
      </c>
      <c r="AI774" s="508"/>
      <c r="AJ774" s="508"/>
      <c r="AK774" s="508"/>
      <c r="AL774" s="508"/>
      <c r="AM774" s="508"/>
      <c r="AN774" s="508"/>
      <c r="AO774" s="508"/>
    </row>
    <row r="775" spans="1:41">
      <c r="A775" s="2" t="s">
        <v>868</v>
      </c>
      <c r="B775" s="2" t="s">
        <v>29</v>
      </c>
      <c r="C775" s="2" t="s">
        <v>17</v>
      </c>
      <c r="D775" s="2" t="s">
        <v>30</v>
      </c>
      <c r="E775" s="2" t="s">
        <v>19</v>
      </c>
      <c r="F775" s="2" t="s">
        <v>20</v>
      </c>
      <c r="G775" s="2" t="s">
        <v>21</v>
      </c>
      <c r="H775">
        <v>1</v>
      </c>
      <c r="I775" s="2" t="s">
        <v>526</v>
      </c>
      <c r="J775" s="3">
        <v>1</v>
      </c>
      <c r="K775" s="3">
        <v>5.2488000000000001</v>
      </c>
      <c r="L775" s="508">
        <v>24928.593043968092</v>
      </c>
      <c r="M775" s="508">
        <v>0</v>
      </c>
      <c r="N775" s="508">
        <v>24928.593043968092</v>
      </c>
      <c r="O775" s="508">
        <v>24.236270479909837</v>
      </c>
      <c r="Q775" s="2"/>
      <c r="R775" s="3"/>
      <c r="S775" s="3"/>
      <c r="T775" s="508"/>
      <c r="U775" s="508"/>
      <c r="V775" s="508"/>
      <c r="W775" s="508"/>
      <c r="X775" s="508">
        <v>24952.829314448001</v>
      </c>
      <c r="Y775" s="508"/>
      <c r="Z775" s="508">
        <v>130972.41050567468</v>
      </c>
      <c r="AA775" s="508"/>
      <c r="AB775" s="508"/>
      <c r="AC775" s="508"/>
      <c r="AD775" s="508"/>
      <c r="AE775" s="508"/>
      <c r="AF775" s="508"/>
      <c r="AG775" s="508"/>
      <c r="AH775" s="508">
        <v>0</v>
      </c>
      <c r="AI775" s="508"/>
      <c r="AJ775" s="508"/>
      <c r="AK775" s="508"/>
      <c r="AL775" s="508"/>
      <c r="AM775" s="508"/>
      <c r="AN775" s="508"/>
      <c r="AO775" s="508"/>
    </row>
    <row r="776" spans="1:41">
      <c r="A776" s="2" t="s">
        <v>869</v>
      </c>
      <c r="B776" s="2" t="s">
        <v>44</v>
      </c>
      <c r="C776" s="2" t="s">
        <v>17</v>
      </c>
      <c r="D776" s="2" t="s">
        <v>30</v>
      </c>
      <c r="E776" s="2" t="s">
        <v>19</v>
      </c>
      <c r="F776" s="2" t="s">
        <v>20</v>
      </c>
      <c r="G776" s="2" t="s">
        <v>21</v>
      </c>
      <c r="H776">
        <v>1</v>
      </c>
      <c r="I776" s="2" t="s">
        <v>526</v>
      </c>
      <c r="J776" s="3">
        <v>1</v>
      </c>
      <c r="K776" s="3">
        <v>5.2488000000000001</v>
      </c>
      <c r="L776" s="508">
        <v>47847.007553901851</v>
      </c>
      <c r="M776" s="508">
        <v>0</v>
      </c>
      <c r="N776" s="508">
        <v>47847.007553901851</v>
      </c>
      <c r="O776" s="508">
        <v>49.774237892170362</v>
      </c>
      <c r="Q776" s="2"/>
      <c r="R776" s="3"/>
      <c r="S776" s="3"/>
      <c r="T776" s="508"/>
      <c r="U776" s="508"/>
      <c r="V776" s="508"/>
      <c r="W776" s="508"/>
      <c r="X776" s="508">
        <v>47896.781791794019</v>
      </c>
      <c r="Y776" s="508"/>
      <c r="Z776" s="508">
        <v>251400.62826876846</v>
      </c>
      <c r="AA776" s="508"/>
      <c r="AB776" s="508"/>
      <c r="AC776" s="508"/>
      <c r="AD776" s="508"/>
      <c r="AE776" s="508"/>
      <c r="AF776" s="508"/>
      <c r="AG776" s="508"/>
      <c r="AH776" s="508">
        <v>0</v>
      </c>
      <c r="AI776" s="508"/>
      <c r="AJ776" s="508"/>
      <c r="AK776" s="508"/>
      <c r="AL776" s="508"/>
      <c r="AM776" s="508"/>
      <c r="AN776" s="508"/>
      <c r="AO776" s="508"/>
    </row>
    <row r="777" spans="1:41">
      <c r="A777" s="2" t="s">
        <v>870</v>
      </c>
      <c r="B777" s="2" t="s">
        <v>29</v>
      </c>
      <c r="C777" s="2" t="s">
        <v>17</v>
      </c>
      <c r="D777" s="2" t="s">
        <v>30</v>
      </c>
      <c r="E777" s="2" t="s">
        <v>19</v>
      </c>
      <c r="F777" s="2" t="s">
        <v>20</v>
      </c>
      <c r="G777" s="2" t="s">
        <v>21</v>
      </c>
      <c r="H777">
        <v>1</v>
      </c>
      <c r="I777" s="2" t="s">
        <v>526</v>
      </c>
      <c r="J777" s="3">
        <v>1</v>
      </c>
      <c r="K777" s="3">
        <v>5.2488000000000001</v>
      </c>
      <c r="L777" s="508">
        <v>71680.545023968996</v>
      </c>
      <c r="M777" s="508">
        <v>0</v>
      </c>
      <c r="N777" s="508">
        <v>71680.545023968996</v>
      </c>
      <c r="O777" s="508">
        <v>69.689377459312382</v>
      </c>
      <c r="Q777" s="2"/>
      <c r="R777" s="3"/>
      <c r="S777" s="3"/>
      <c r="T777" s="508"/>
      <c r="U777" s="508"/>
      <c r="V777" s="508"/>
      <c r="W777" s="508"/>
      <c r="X777" s="508">
        <v>71750.234401428315</v>
      </c>
      <c r="Y777" s="508"/>
      <c r="Z777" s="508">
        <v>376602.63032621692</v>
      </c>
      <c r="AA777" s="508"/>
      <c r="AB777" s="508"/>
      <c r="AC777" s="508"/>
      <c r="AD777" s="508"/>
      <c r="AE777" s="508"/>
      <c r="AF777" s="508"/>
      <c r="AG777" s="508"/>
      <c r="AH777" s="508">
        <v>0</v>
      </c>
      <c r="AI777" s="508"/>
      <c r="AJ777" s="508"/>
      <c r="AK777" s="508"/>
      <c r="AL777" s="508"/>
      <c r="AM777" s="508"/>
      <c r="AN777" s="508"/>
      <c r="AO777" s="508"/>
    </row>
    <row r="778" spans="1:41">
      <c r="A778" s="2" t="s">
        <v>871</v>
      </c>
      <c r="B778" s="2" t="s">
        <v>44</v>
      </c>
      <c r="C778" s="2" t="s">
        <v>17</v>
      </c>
      <c r="D778" s="2" t="s">
        <v>30</v>
      </c>
      <c r="E778" s="2" t="s">
        <v>19</v>
      </c>
      <c r="F778" s="2" t="s">
        <v>20</v>
      </c>
      <c r="G778" s="2" t="s">
        <v>21</v>
      </c>
      <c r="H778">
        <v>1</v>
      </c>
      <c r="I778" s="2" t="s">
        <v>526</v>
      </c>
      <c r="J778" s="3">
        <v>1</v>
      </c>
      <c r="K778" s="3">
        <v>5.2488000000000001</v>
      </c>
      <c r="L778" s="508">
        <v>59772.781204357314</v>
      </c>
      <c r="M778" s="508">
        <v>0</v>
      </c>
      <c r="N778" s="508">
        <v>59772.781204357314</v>
      </c>
      <c r="O778" s="508">
        <v>62.180316764390533</v>
      </c>
      <c r="Q778" s="2"/>
      <c r="R778" s="3"/>
      <c r="S778" s="3"/>
      <c r="T778" s="508"/>
      <c r="U778" s="508"/>
      <c r="V778" s="508"/>
      <c r="W778" s="508"/>
      <c r="X778" s="508">
        <v>59834.961521121702</v>
      </c>
      <c r="Y778" s="508"/>
      <c r="Z778" s="508">
        <v>314061.74603206362</v>
      </c>
      <c r="AA778" s="508"/>
      <c r="AB778" s="508"/>
      <c r="AC778" s="508"/>
      <c r="AD778" s="508"/>
      <c r="AE778" s="508"/>
      <c r="AF778" s="508"/>
      <c r="AG778" s="508"/>
      <c r="AH778" s="508">
        <v>0</v>
      </c>
      <c r="AI778" s="508"/>
      <c r="AJ778" s="508"/>
      <c r="AK778" s="508"/>
      <c r="AL778" s="508"/>
      <c r="AM778" s="508"/>
      <c r="AN778" s="508"/>
      <c r="AO778" s="508"/>
    </row>
    <row r="779" spans="1:41">
      <c r="A779" s="2" t="s">
        <v>872</v>
      </c>
      <c r="B779" s="2" t="s">
        <v>873</v>
      </c>
      <c r="C779" s="2" t="s">
        <v>17</v>
      </c>
      <c r="D779" s="2" t="s">
        <v>25</v>
      </c>
      <c r="E779" s="2" t="s">
        <v>19</v>
      </c>
      <c r="F779" s="2" t="s">
        <v>20</v>
      </c>
      <c r="G779" s="2" t="s">
        <v>21</v>
      </c>
      <c r="H779">
        <v>1</v>
      </c>
      <c r="I779" s="2" t="s">
        <v>526</v>
      </c>
      <c r="J779" s="3">
        <v>1</v>
      </c>
      <c r="K779" s="3">
        <v>5.2488000000000001</v>
      </c>
      <c r="L779" s="508">
        <v>2164.1575760698852</v>
      </c>
      <c r="M779" s="508">
        <v>0</v>
      </c>
      <c r="N779" s="508">
        <v>2164.1575760698852</v>
      </c>
      <c r="O779" s="508">
        <v>12.281297075828952</v>
      </c>
      <c r="Q779" s="2"/>
      <c r="R779" s="3"/>
      <c r="S779" s="3"/>
      <c r="T779" s="508"/>
      <c r="U779" s="508"/>
      <c r="V779" s="508"/>
      <c r="W779" s="508"/>
      <c r="X779" s="508">
        <v>2176.4388731457143</v>
      </c>
      <c r="Y779" s="508"/>
      <c r="Z779" s="508">
        <v>11423.692357367225</v>
      </c>
      <c r="AA779" s="508"/>
      <c r="AB779" s="508"/>
      <c r="AC779" s="508"/>
      <c r="AD779" s="508"/>
      <c r="AE779" s="508"/>
      <c r="AF779" s="508"/>
      <c r="AG779" s="508"/>
      <c r="AH779" s="508">
        <v>0</v>
      </c>
      <c r="AI779" s="508"/>
      <c r="AJ779" s="508"/>
      <c r="AK779" s="508"/>
      <c r="AL779" s="508"/>
      <c r="AM779" s="508"/>
      <c r="AN779" s="508"/>
      <c r="AO779" s="508"/>
    </row>
    <row r="780" spans="1:41">
      <c r="A780" s="2" t="s">
        <v>874</v>
      </c>
      <c r="B780" s="2" t="s">
        <v>50</v>
      </c>
      <c r="C780" s="2" t="s">
        <v>17</v>
      </c>
      <c r="D780" s="2" t="s">
        <v>25</v>
      </c>
      <c r="E780" s="2" t="s">
        <v>19</v>
      </c>
      <c r="F780" s="2" t="s">
        <v>20</v>
      </c>
      <c r="G780" s="2" t="s">
        <v>21</v>
      </c>
      <c r="H780">
        <v>1</v>
      </c>
      <c r="I780" s="2" t="s">
        <v>526</v>
      </c>
      <c r="J780" s="3">
        <v>1</v>
      </c>
      <c r="K780" s="3">
        <v>5.2488000000000001</v>
      </c>
      <c r="L780" s="508">
        <v>170650.65853608469</v>
      </c>
      <c r="M780" s="508">
        <v>0</v>
      </c>
      <c r="N780" s="508">
        <v>170650.65853608469</v>
      </c>
      <c r="O780" s="508">
        <v>948.05911242081106</v>
      </c>
      <c r="Q780" s="2"/>
      <c r="R780" s="3"/>
      <c r="S780" s="3"/>
      <c r="T780" s="508"/>
      <c r="U780" s="508"/>
      <c r="V780" s="508"/>
      <c r="W780" s="508"/>
      <c r="X780" s="508">
        <v>171598.7176485055</v>
      </c>
      <c r="Y780" s="508"/>
      <c r="Z780" s="508">
        <v>900687.34919347567</v>
      </c>
      <c r="AA780" s="508"/>
      <c r="AB780" s="508"/>
      <c r="AC780" s="508"/>
      <c r="AD780" s="508"/>
      <c r="AE780" s="508"/>
      <c r="AF780" s="508"/>
      <c r="AG780" s="508"/>
      <c r="AH780" s="508">
        <v>0</v>
      </c>
      <c r="AI780" s="508"/>
      <c r="AJ780" s="508"/>
      <c r="AK780" s="508"/>
      <c r="AL780" s="508"/>
      <c r="AM780" s="508"/>
      <c r="AN780" s="508"/>
      <c r="AO780" s="508"/>
    </row>
    <row r="781" spans="1:41">
      <c r="A781" s="2" t="s">
        <v>875</v>
      </c>
      <c r="B781" s="2" t="s">
        <v>876</v>
      </c>
      <c r="C781" s="2" t="s">
        <v>17</v>
      </c>
      <c r="D781" s="2" t="s">
        <v>25</v>
      </c>
      <c r="E781" s="2" t="s">
        <v>19</v>
      </c>
      <c r="F781" s="2" t="s">
        <v>20</v>
      </c>
      <c r="G781" s="2" t="s">
        <v>21</v>
      </c>
      <c r="H781">
        <v>1</v>
      </c>
      <c r="I781" s="2" t="s">
        <v>526</v>
      </c>
      <c r="J781" s="3">
        <v>1</v>
      </c>
      <c r="K781" s="3">
        <v>5.2488000000000001</v>
      </c>
      <c r="L781" s="508">
        <v>1021820.7546823603</v>
      </c>
      <c r="M781" s="508">
        <v>0</v>
      </c>
      <c r="N781" s="508">
        <v>1021820.7546823603</v>
      </c>
      <c r="O781" s="508">
        <v>3247.1193098088506</v>
      </c>
      <c r="Q781" s="2"/>
      <c r="R781" s="3"/>
      <c r="S781" s="3"/>
      <c r="T781" s="508"/>
      <c r="U781" s="508"/>
      <c r="V781" s="508"/>
      <c r="W781" s="508"/>
      <c r="X781" s="508">
        <v>1025067.8739921692</v>
      </c>
      <c r="Y781" s="508"/>
      <c r="Z781" s="508">
        <v>5380376.2570100976</v>
      </c>
      <c r="AA781" s="508"/>
      <c r="AB781" s="508"/>
      <c r="AC781" s="508"/>
      <c r="AD781" s="508"/>
      <c r="AE781" s="508"/>
      <c r="AF781" s="508"/>
      <c r="AG781" s="508"/>
      <c r="AH781" s="508">
        <v>0</v>
      </c>
      <c r="AI781" s="508"/>
      <c r="AJ781" s="508"/>
      <c r="AK781" s="508"/>
      <c r="AL781" s="508"/>
      <c r="AM781" s="508"/>
      <c r="AN781" s="508"/>
      <c r="AO781" s="508"/>
    </row>
    <row r="782" spans="1:41">
      <c r="A782" s="2" t="s">
        <v>877</v>
      </c>
      <c r="B782" s="2" t="s">
        <v>878</v>
      </c>
      <c r="C782" s="2" t="s">
        <v>17</v>
      </c>
      <c r="D782" s="2" t="s">
        <v>25</v>
      </c>
      <c r="E782" s="2" t="s">
        <v>19</v>
      </c>
      <c r="F782" s="2" t="s">
        <v>20</v>
      </c>
      <c r="G782" s="2" t="s">
        <v>21</v>
      </c>
      <c r="H782">
        <v>1</v>
      </c>
      <c r="I782" s="2" t="s">
        <v>526</v>
      </c>
      <c r="J782" s="3">
        <v>1</v>
      </c>
      <c r="K782" s="3">
        <v>5.2488000000000001</v>
      </c>
      <c r="L782" s="508">
        <v>7793.7793872196553</v>
      </c>
      <c r="M782" s="508">
        <v>0</v>
      </c>
      <c r="N782" s="508">
        <v>7793.7793872196553</v>
      </c>
      <c r="O782" s="508">
        <v>32.907068523816321</v>
      </c>
      <c r="Q782" s="2"/>
      <c r="R782" s="3"/>
      <c r="S782" s="3"/>
      <c r="T782" s="508"/>
      <c r="U782" s="508"/>
      <c r="V782" s="508"/>
      <c r="W782" s="508"/>
      <c r="X782" s="508">
        <v>7826.6864557434719</v>
      </c>
      <c r="Y782" s="508"/>
      <c r="Z782" s="508">
        <v>41080.711868906335</v>
      </c>
      <c r="AA782" s="508"/>
      <c r="AB782" s="508"/>
      <c r="AC782" s="508"/>
      <c r="AD782" s="508"/>
      <c r="AE782" s="508"/>
      <c r="AF782" s="508"/>
      <c r="AG782" s="508"/>
      <c r="AH782" s="508">
        <v>0</v>
      </c>
      <c r="AI782" s="508"/>
      <c r="AJ782" s="508"/>
      <c r="AK782" s="508"/>
      <c r="AL782" s="508"/>
      <c r="AM782" s="508"/>
      <c r="AN782" s="508"/>
      <c r="AO782" s="508"/>
    </row>
    <row r="783" spans="1:41">
      <c r="A783" s="2" t="s">
        <v>879</v>
      </c>
      <c r="B783" s="2" t="s">
        <v>45</v>
      </c>
      <c r="C783" s="2" t="s">
        <v>17</v>
      </c>
      <c r="D783" s="2" t="s">
        <v>25</v>
      </c>
      <c r="E783" s="2" t="s">
        <v>19</v>
      </c>
      <c r="F783" s="2" t="s">
        <v>20</v>
      </c>
      <c r="G783" s="2" t="s">
        <v>21</v>
      </c>
      <c r="H783">
        <v>1</v>
      </c>
      <c r="I783" s="2" t="s">
        <v>526</v>
      </c>
      <c r="J783" s="3">
        <v>1</v>
      </c>
      <c r="K783" s="3">
        <v>5.2488000000000001</v>
      </c>
      <c r="L783" s="508">
        <v>1846335.0158826327</v>
      </c>
      <c r="M783" s="508">
        <v>0</v>
      </c>
      <c r="N783" s="508">
        <v>1846335.0158826327</v>
      </c>
      <c r="O783" s="508">
        <v>1471.9392632989875</v>
      </c>
      <c r="Q783" s="2"/>
      <c r="R783" s="3"/>
      <c r="S783" s="3"/>
      <c r="T783" s="508"/>
      <c r="U783" s="508"/>
      <c r="V783" s="508"/>
      <c r="W783" s="508"/>
      <c r="X783" s="508">
        <v>1847806.9551459316</v>
      </c>
      <c r="Y783" s="508"/>
      <c r="Z783" s="508">
        <v>9698769.1461699661</v>
      </c>
      <c r="AA783" s="508"/>
      <c r="AB783" s="508"/>
      <c r="AC783" s="508"/>
      <c r="AD783" s="508"/>
      <c r="AE783" s="508"/>
      <c r="AF783" s="508"/>
      <c r="AG783" s="508"/>
      <c r="AH783" s="508">
        <v>0</v>
      </c>
      <c r="AI783" s="508"/>
      <c r="AJ783" s="508"/>
      <c r="AK783" s="508"/>
      <c r="AL783" s="508"/>
      <c r="AM783" s="508"/>
      <c r="AN783" s="508"/>
      <c r="AO783" s="508"/>
    </row>
    <row r="784" spans="1:41">
      <c r="A784" s="2" t="s">
        <v>880</v>
      </c>
      <c r="B784" s="2" t="s">
        <v>54</v>
      </c>
      <c r="C784" s="2" t="s">
        <v>17</v>
      </c>
      <c r="D784" s="2" t="s">
        <v>25</v>
      </c>
      <c r="E784" s="2" t="s">
        <v>19</v>
      </c>
      <c r="F784" s="2" t="s">
        <v>20</v>
      </c>
      <c r="G784" s="2" t="s">
        <v>21</v>
      </c>
      <c r="H784">
        <v>1</v>
      </c>
      <c r="I784" s="2" t="s">
        <v>526</v>
      </c>
      <c r="J784" s="3">
        <v>1</v>
      </c>
      <c r="K784" s="3">
        <v>5.2488000000000001</v>
      </c>
      <c r="L784" s="508">
        <v>275813.19275882893</v>
      </c>
      <c r="M784" s="508">
        <v>0</v>
      </c>
      <c r="N784" s="508">
        <v>275813.19275882893</v>
      </c>
      <c r="O784" s="508">
        <v>1103.2527710353156</v>
      </c>
      <c r="Q784" s="2"/>
      <c r="R784" s="3"/>
      <c r="S784" s="3"/>
      <c r="T784" s="508"/>
      <c r="U784" s="508"/>
      <c r="V784" s="508"/>
      <c r="W784" s="508"/>
      <c r="X784" s="508">
        <v>276916.44552986423</v>
      </c>
      <c r="Y784" s="508"/>
      <c r="Z784" s="508">
        <v>1453479.0392971514</v>
      </c>
      <c r="AA784" s="508"/>
      <c r="AB784" s="508"/>
      <c r="AC784" s="508"/>
      <c r="AD784" s="508"/>
      <c r="AE784" s="508"/>
      <c r="AF784" s="508"/>
      <c r="AG784" s="508"/>
      <c r="AH784" s="508">
        <v>0</v>
      </c>
      <c r="AI784" s="508"/>
      <c r="AJ784" s="508"/>
      <c r="AK784" s="508"/>
      <c r="AL784" s="508"/>
      <c r="AM784" s="508"/>
      <c r="AN784" s="508"/>
      <c r="AO784" s="508"/>
    </row>
    <row r="785" spans="1:41">
      <c r="A785" s="2" t="s">
        <v>881</v>
      </c>
      <c r="B785" s="2" t="s">
        <v>44</v>
      </c>
      <c r="C785" s="2" t="s">
        <v>17</v>
      </c>
      <c r="D785" s="2" t="s">
        <v>30</v>
      </c>
      <c r="E785" s="2" t="s">
        <v>19</v>
      </c>
      <c r="F785" s="2" t="s">
        <v>20</v>
      </c>
      <c r="G785" s="2" t="s">
        <v>21</v>
      </c>
      <c r="H785">
        <v>1</v>
      </c>
      <c r="I785" s="2" t="s">
        <v>526</v>
      </c>
      <c r="J785" s="3">
        <v>1</v>
      </c>
      <c r="K785" s="3">
        <v>5.2488000000000001</v>
      </c>
      <c r="L785" s="508">
        <v>65781.100610687368</v>
      </c>
      <c r="M785" s="508">
        <v>0</v>
      </c>
      <c r="N785" s="508">
        <v>65781.100610687368</v>
      </c>
      <c r="O785" s="508">
        <v>68.430530060156414</v>
      </c>
      <c r="Q785" s="2"/>
      <c r="R785" s="3"/>
      <c r="S785" s="3"/>
      <c r="T785" s="508"/>
      <c r="U785" s="508"/>
      <c r="V785" s="508"/>
      <c r="W785" s="508"/>
      <c r="X785" s="508">
        <v>65849.531140747524</v>
      </c>
      <c r="Y785" s="508"/>
      <c r="Z785" s="508">
        <v>345631.0190515556</v>
      </c>
      <c r="AA785" s="508"/>
      <c r="AB785" s="508"/>
      <c r="AC785" s="508"/>
      <c r="AD785" s="508"/>
      <c r="AE785" s="508"/>
      <c r="AF785" s="508"/>
      <c r="AG785" s="508"/>
      <c r="AH785" s="508">
        <v>0</v>
      </c>
      <c r="AI785" s="508"/>
      <c r="AJ785" s="508"/>
      <c r="AK785" s="508"/>
      <c r="AL785" s="508"/>
      <c r="AM785" s="508"/>
      <c r="AN785" s="508"/>
      <c r="AO785" s="508"/>
    </row>
    <row r="786" spans="1:41">
      <c r="A786" s="2" t="s">
        <v>882</v>
      </c>
      <c r="B786" s="2" t="s">
        <v>883</v>
      </c>
      <c r="C786" s="2" t="s">
        <v>17</v>
      </c>
      <c r="D786" s="2" t="s">
        <v>25</v>
      </c>
      <c r="E786" s="2" t="s">
        <v>19</v>
      </c>
      <c r="F786" s="2" t="s">
        <v>20</v>
      </c>
      <c r="G786" s="2" t="s">
        <v>21</v>
      </c>
      <c r="H786">
        <v>1</v>
      </c>
      <c r="I786" s="2" t="s">
        <v>526</v>
      </c>
      <c r="J786" s="3">
        <v>1</v>
      </c>
      <c r="K786" s="3">
        <v>5.2488000000000001</v>
      </c>
      <c r="L786" s="508">
        <v>2549.7349265289104</v>
      </c>
      <c r="M786" s="508">
        <v>0</v>
      </c>
      <c r="N786" s="508">
        <v>2549.7349265289104</v>
      </c>
      <c r="O786" s="508">
        <v>51.478345840329553</v>
      </c>
      <c r="Q786" s="2"/>
      <c r="R786" s="3"/>
      <c r="S786" s="3"/>
      <c r="T786" s="508"/>
      <c r="U786" s="508"/>
      <c r="V786" s="508"/>
      <c r="W786" s="508"/>
      <c r="X786" s="508">
        <v>2601.2132723692398</v>
      </c>
      <c r="Y786" s="508"/>
      <c r="Z786" s="508">
        <v>13653.248224011666</v>
      </c>
      <c r="AA786" s="508"/>
      <c r="AB786" s="508"/>
      <c r="AC786" s="508"/>
      <c r="AD786" s="508"/>
      <c r="AE786" s="508"/>
      <c r="AF786" s="508"/>
      <c r="AG786" s="508"/>
      <c r="AH786" s="508">
        <v>0</v>
      </c>
      <c r="AI786" s="508"/>
      <c r="AJ786" s="508"/>
      <c r="AK786" s="508"/>
      <c r="AL786" s="508"/>
      <c r="AM786" s="508"/>
      <c r="AN786" s="508"/>
      <c r="AO786" s="508"/>
    </row>
    <row r="787" spans="1:41">
      <c r="A787" s="2" t="s">
        <v>884</v>
      </c>
      <c r="B787" s="2" t="s">
        <v>885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21</v>
      </c>
      <c r="H787">
        <v>1</v>
      </c>
      <c r="I787" s="2" t="s">
        <v>526</v>
      </c>
      <c r="J787" s="3">
        <v>1</v>
      </c>
      <c r="K787" s="3">
        <v>5.2488000000000001</v>
      </c>
      <c r="L787" s="508">
        <v>70144.014484976884</v>
      </c>
      <c r="M787" s="508">
        <v>0</v>
      </c>
      <c r="N787" s="508">
        <v>70144.014484976884</v>
      </c>
      <c r="O787" s="508">
        <v>280.57605793990757</v>
      </c>
      <c r="Q787" s="2"/>
      <c r="R787" s="3"/>
      <c r="S787" s="3"/>
      <c r="T787" s="508"/>
      <c r="U787" s="508"/>
      <c r="V787" s="508"/>
      <c r="W787" s="508"/>
      <c r="X787" s="508">
        <v>70424.590542916791</v>
      </c>
      <c r="Y787" s="508"/>
      <c r="Z787" s="508">
        <v>369644.59084166167</v>
      </c>
      <c r="AA787" s="508"/>
      <c r="AB787" s="508"/>
      <c r="AC787" s="508"/>
      <c r="AD787" s="508"/>
      <c r="AE787" s="508"/>
      <c r="AF787" s="508"/>
      <c r="AG787" s="508"/>
      <c r="AH787" s="508">
        <v>0</v>
      </c>
      <c r="AI787" s="508"/>
      <c r="AJ787" s="508"/>
      <c r="AK787" s="508"/>
      <c r="AL787" s="508"/>
      <c r="AM787" s="508"/>
      <c r="AN787" s="508"/>
      <c r="AO787" s="508"/>
    </row>
    <row r="788" spans="1:41">
      <c r="A788" s="2" t="s">
        <v>886</v>
      </c>
      <c r="B788" s="2" t="s">
        <v>54</v>
      </c>
      <c r="C788" s="2" t="s">
        <v>17</v>
      </c>
      <c r="D788" s="2" t="s">
        <v>25</v>
      </c>
      <c r="E788" s="2" t="s">
        <v>19</v>
      </c>
      <c r="F788" s="2" t="s">
        <v>20</v>
      </c>
      <c r="G788" s="2" t="s">
        <v>21</v>
      </c>
      <c r="H788">
        <v>1</v>
      </c>
      <c r="I788" s="2" t="s">
        <v>526</v>
      </c>
      <c r="J788" s="3">
        <v>1</v>
      </c>
      <c r="K788" s="3">
        <v>5.2488000000000001</v>
      </c>
      <c r="L788" s="508">
        <v>131195.28635153087</v>
      </c>
      <c r="M788" s="508">
        <v>0</v>
      </c>
      <c r="N788" s="508">
        <v>131195.28635153087</v>
      </c>
      <c r="O788" s="508">
        <v>437.31762117176953</v>
      </c>
      <c r="Q788" s="2"/>
      <c r="R788" s="3"/>
      <c r="S788" s="3"/>
      <c r="T788" s="508"/>
      <c r="U788" s="508"/>
      <c r="V788" s="508"/>
      <c r="W788" s="508"/>
      <c r="X788" s="508">
        <v>131632.60397270264</v>
      </c>
      <c r="Y788" s="508"/>
      <c r="Z788" s="508">
        <v>690913.21173192165</v>
      </c>
      <c r="AA788" s="508"/>
      <c r="AB788" s="508"/>
      <c r="AC788" s="508"/>
      <c r="AD788" s="508"/>
      <c r="AE788" s="508"/>
      <c r="AF788" s="508"/>
      <c r="AG788" s="508"/>
      <c r="AH788" s="508">
        <v>0</v>
      </c>
      <c r="AI788" s="508"/>
      <c r="AJ788" s="508"/>
      <c r="AK788" s="508"/>
      <c r="AL788" s="508"/>
      <c r="AM788" s="508"/>
      <c r="AN788" s="508"/>
      <c r="AO788" s="508"/>
    </row>
    <row r="789" spans="1:41">
      <c r="A789" s="2" t="s">
        <v>887</v>
      </c>
      <c r="B789" s="2" t="s">
        <v>29</v>
      </c>
      <c r="C789" s="2" t="s">
        <v>17</v>
      </c>
      <c r="D789" s="2" t="s">
        <v>30</v>
      </c>
      <c r="E789" s="2" t="s">
        <v>19</v>
      </c>
      <c r="F789" s="2" t="s">
        <v>20</v>
      </c>
      <c r="G789" s="2" t="s">
        <v>21</v>
      </c>
      <c r="H789">
        <v>1</v>
      </c>
      <c r="I789" s="2" t="s">
        <v>526</v>
      </c>
      <c r="J789" s="3">
        <v>1</v>
      </c>
      <c r="K789" s="3">
        <v>5.2488000000000001</v>
      </c>
      <c r="L789" s="508">
        <v>11150.189433718524</v>
      </c>
      <c r="M789" s="508">
        <v>0</v>
      </c>
      <c r="N789" s="508">
        <v>11150.189433718524</v>
      </c>
      <c r="O789" s="508">
        <v>10.840575976063247</v>
      </c>
      <c r="Q789" s="2"/>
      <c r="R789" s="3"/>
      <c r="S789" s="3"/>
      <c r="T789" s="508"/>
      <c r="U789" s="508"/>
      <c r="V789" s="508"/>
      <c r="W789" s="508"/>
      <c r="X789" s="508">
        <v>11161.030009694587</v>
      </c>
      <c r="Y789" s="508"/>
      <c r="Z789" s="508">
        <v>58582.014314884946</v>
      </c>
      <c r="AA789" s="508"/>
      <c r="AB789" s="508"/>
      <c r="AC789" s="508"/>
      <c r="AD789" s="508"/>
      <c r="AE789" s="508"/>
      <c r="AF789" s="508"/>
      <c r="AG789" s="508"/>
      <c r="AH789" s="508">
        <v>0</v>
      </c>
      <c r="AI789" s="508"/>
      <c r="AJ789" s="508"/>
      <c r="AK789" s="508"/>
      <c r="AL789" s="508"/>
      <c r="AM789" s="508"/>
      <c r="AN789" s="508"/>
      <c r="AO789" s="508"/>
    </row>
    <row r="790" spans="1:41">
      <c r="A790" s="2" t="s">
        <v>888</v>
      </c>
      <c r="B790" s="2" t="s">
        <v>889</v>
      </c>
      <c r="C790" s="2" t="s">
        <v>17</v>
      </c>
      <c r="D790" s="2" t="s">
        <v>25</v>
      </c>
      <c r="E790" s="2" t="s">
        <v>19</v>
      </c>
      <c r="F790" s="2" t="s">
        <v>20</v>
      </c>
      <c r="G790" s="2" t="s">
        <v>21</v>
      </c>
      <c r="H790">
        <v>1</v>
      </c>
      <c r="I790" s="2" t="s">
        <v>526</v>
      </c>
      <c r="J790" s="3">
        <v>1</v>
      </c>
      <c r="K790" s="3">
        <v>5.2488000000000001</v>
      </c>
      <c r="L790" s="508">
        <v>23871.246474184718</v>
      </c>
      <c r="M790" s="508">
        <v>0</v>
      </c>
      <c r="N790" s="508">
        <v>23871.246474184718</v>
      </c>
      <c r="O790" s="508">
        <v>280.4924913053668</v>
      </c>
      <c r="Q790" s="2"/>
      <c r="R790" s="3"/>
      <c r="S790" s="3"/>
      <c r="T790" s="508"/>
      <c r="U790" s="508"/>
      <c r="V790" s="508"/>
      <c r="W790" s="508"/>
      <c r="X790" s="508">
        <v>24151.738965490084</v>
      </c>
      <c r="Y790" s="508"/>
      <c r="Z790" s="508">
        <v>126767.64748206435</v>
      </c>
      <c r="AA790" s="508"/>
      <c r="AB790" s="508"/>
      <c r="AC790" s="508"/>
      <c r="AD790" s="508"/>
      <c r="AE790" s="508"/>
      <c r="AF790" s="508"/>
      <c r="AG790" s="508"/>
      <c r="AH790" s="508">
        <v>0</v>
      </c>
      <c r="AI790" s="508"/>
      <c r="AJ790" s="508"/>
      <c r="AK790" s="508"/>
      <c r="AL790" s="508"/>
      <c r="AM790" s="508"/>
      <c r="AN790" s="508"/>
      <c r="AO790" s="508"/>
    </row>
    <row r="791" spans="1:41">
      <c r="A791" s="2" t="s">
        <v>890</v>
      </c>
      <c r="B791" s="2" t="s">
        <v>891</v>
      </c>
      <c r="C791" s="2" t="s">
        <v>17</v>
      </c>
      <c r="D791" s="2" t="s">
        <v>25</v>
      </c>
      <c r="E791" s="2" t="s">
        <v>19</v>
      </c>
      <c r="F791" s="2" t="s">
        <v>20</v>
      </c>
      <c r="G791" s="2" t="s">
        <v>21</v>
      </c>
      <c r="H791">
        <v>1</v>
      </c>
      <c r="I791" s="2" t="s">
        <v>526</v>
      </c>
      <c r="J791" s="3">
        <v>1</v>
      </c>
      <c r="K791" s="3">
        <v>5.2488000000000001</v>
      </c>
      <c r="L791" s="508">
        <v>287983.2054056598</v>
      </c>
      <c r="M791" s="508">
        <v>0</v>
      </c>
      <c r="N791" s="508">
        <v>287983.2054056598</v>
      </c>
      <c r="O791" s="508">
        <v>831.95158073881396</v>
      </c>
      <c r="Q791" s="2"/>
      <c r="R791" s="3"/>
      <c r="S791" s="3"/>
      <c r="T791" s="508"/>
      <c r="U791" s="508"/>
      <c r="V791" s="508"/>
      <c r="W791" s="508"/>
      <c r="X791" s="508">
        <v>288815.15698639862</v>
      </c>
      <c r="Y791" s="508"/>
      <c r="Z791" s="508">
        <v>1515932.995990209</v>
      </c>
      <c r="AA791" s="508"/>
      <c r="AB791" s="508"/>
      <c r="AC791" s="508"/>
      <c r="AD791" s="508"/>
      <c r="AE791" s="508"/>
      <c r="AF791" s="508"/>
      <c r="AG791" s="508"/>
      <c r="AH791" s="508">
        <v>0</v>
      </c>
      <c r="AI791" s="508"/>
      <c r="AJ791" s="508"/>
      <c r="AK791" s="508"/>
      <c r="AL791" s="508"/>
      <c r="AM791" s="508"/>
      <c r="AN791" s="508"/>
      <c r="AO791" s="508"/>
    </row>
    <row r="792" spans="1:41">
      <c r="A792" s="2" t="s">
        <v>892</v>
      </c>
      <c r="B792" s="2" t="s">
        <v>51</v>
      </c>
      <c r="C792" s="2" t="s">
        <v>17</v>
      </c>
      <c r="D792" s="2" t="s">
        <v>25</v>
      </c>
      <c r="E792" s="2" t="s">
        <v>19</v>
      </c>
      <c r="F792" s="2" t="s">
        <v>20</v>
      </c>
      <c r="G792" s="2" t="s">
        <v>21</v>
      </c>
      <c r="H792">
        <v>1</v>
      </c>
      <c r="I792" s="2" t="s">
        <v>526</v>
      </c>
      <c r="J792" s="3">
        <v>1</v>
      </c>
      <c r="K792" s="3">
        <v>5.2488000000000001</v>
      </c>
      <c r="L792" s="508">
        <v>275280.33722104674</v>
      </c>
      <c r="M792" s="508">
        <v>0</v>
      </c>
      <c r="N792" s="508">
        <v>275280.33722104674</v>
      </c>
      <c r="O792" s="508">
        <v>795.25422013688512</v>
      </c>
      <c r="Q792" s="2"/>
      <c r="R792" s="3"/>
      <c r="S792" s="3"/>
      <c r="T792" s="508"/>
      <c r="U792" s="508"/>
      <c r="V792" s="508"/>
      <c r="W792" s="508"/>
      <c r="X792" s="508">
        <v>276075.59144118364</v>
      </c>
      <c r="Y792" s="508"/>
      <c r="Z792" s="508">
        <v>1449065.5643564847</v>
      </c>
      <c r="AA792" s="508"/>
      <c r="AB792" s="508"/>
      <c r="AC792" s="508"/>
      <c r="AD792" s="508"/>
      <c r="AE792" s="508"/>
      <c r="AF792" s="508"/>
      <c r="AG792" s="508"/>
      <c r="AH792" s="508">
        <v>0</v>
      </c>
      <c r="AI792" s="508"/>
      <c r="AJ792" s="508"/>
      <c r="AK792" s="508"/>
      <c r="AL792" s="508"/>
      <c r="AM792" s="508"/>
      <c r="AN792" s="508"/>
      <c r="AO792" s="508"/>
    </row>
    <row r="793" spans="1:41">
      <c r="A793" s="2" t="s">
        <v>893</v>
      </c>
      <c r="B793" s="2" t="s">
        <v>53</v>
      </c>
      <c r="C793" s="2" t="s">
        <v>17</v>
      </c>
      <c r="D793" s="2" t="s">
        <v>25</v>
      </c>
      <c r="E793" s="2" t="s">
        <v>19</v>
      </c>
      <c r="F793" s="2" t="s">
        <v>20</v>
      </c>
      <c r="G793" s="2" t="s">
        <v>21</v>
      </c>
      <c r="H793">
        <v>1</v>
      </c>
      <c r="I793" s="2" t="s">
        <v>526</v>
      </c>
      <c r="J793" s="3">
        <v>1</v>
      </c>
      <c r="K793" s="3">
        <v>5.2488000000000001</v>
      </c>
      <c r="L793" s="508">
        <v>81563.838421597262</v>
      </c>
      <c r="M793" s="508">
        <v>0</v>
      </c>
      <c r="N793" s="508">
        <v>81563.838421597262</v>
      </c>
      <c r="O793" s="508">
        <v>235.62895204796698</v>
      </c>
      <c r="Q793" s="2"/>
      <c r="R793" s="3"/>
      <c r="S793" s="3"/>
      <c r="T793" s="508"/>
      <c r="U793" s="508"/>
      <c r="V793" s="508"/>
      <c r="W793" s="508"/>
      <c r="X793" s="508">
        <v>81799.467373645224</v>
      </c>
      <c r="Y793" s="508"/>
      <c r="Z793" s="508">
        <v>429349.04435078904</v>
      </c>
      <c r="AA793" s="508"/>
      <c r="AB793" s="508"/>
      <c r="AC793" s="508"/>
      <c r="AD793" s="508"/>
      <c r="AE793" s="508"/>
      <c r="AF793" s="508"/>
      <c r="AG793" s="508"/>
      <c r="AH793" s="508">
        <v>0</v>
      </c>
      <c r="AI793" s="508"/>
      <c r="AJ793" s="508"/>
      <c r="AK793" s="508"/>
      <c r="AL793" s="508"/>
      <c r="AM793" s="508"/>
      <c r="AN793" s="508"/>
      <c r="AO793" s="508"/>
    </row>
    <row r="794" spans="1:41">
      <c r="A794" s="2" t="s">
        <v>894</v>
      </c>
      <c r="B794" s="2" t="s">
        <v>52</v>
      </c>
      <c r="C794" s="2" t="s">
        <v>17</v>
      </c>
      <c r="D794" s="2" t="s">
        <v>25</v>
      </c>
      <c r="E794" s="2" t="s">
        <v>19</v>
      </c>
      <c r="F794" s="2" t="s">
        <v>20</v>
      </c>
      <c r="G794" s="2" t="s">
        <v>21</v>
      </c>
      <c r="H794">
        <v>1</v>
      </c>
      <c r="I794" s="2" t="s">
        <v>526</v>
      </c>
      <c r="J794" s="3">
        <v>1</v>
      </c>
      <c r="K794" s="3">
        <v>5.2488000000000001</v>
      </c>
      <c r="L794" s="508">
        <v>45664.068752793028</v>
      </c>
      <c r="M794" s="508">
        <v>0</v>
      </c>
      <c r="N794" s="508">
        <v>45664.068752793028</v>
      </c>
      <c r="O794" s="508">
        <v>131.91860204802413</v>
      </c>
      <c r="Q794" s="2"/>
      <c r="R794" s="3"/>
      <c r="S794" s="3"/>
      <c r="T794" s="508"/>
      <c r="U794" s="508"/>
      <c r="V794" s="508"/>
      <c r="W794" s="508"/>
      <c r="X794" s="508">
        <v>45795.987354841054</v>
      </c>
      <c r="Y794" s="508"/>
      <c r="Z794" s="508">
        <v>240373.97842808973</v>
      </c>
      <c r="AA794" s="508"/>
      <c r="AB794" s="508"/>
      <c r="AC794" s="508"/>
      <c r="AD794" s="508"/>
      <c r="AE794" s="508"/>
      <c r="AF794" s="508"/>
      <c r="AG794" s="508"/>
      <c r="AH794" s="508">
        <v>0</v>
      </c>
      <c r="AI794" s="508"/>
      <c r="AJ794" s="508"/>
      <c r="AK794" s="508"/>
      <c r="AL794" s="508"/>
      <c r="AM794" s="508"/>
      <c r="AN794" s="508"/>
      <c r="AO794" s="508"/>
    </row>
    <row r="795" spans="1:41">
      <c r="A795" s="2" t="s">
        <v>895</v>
      </c>
      <c r="B795" s="2" t="s">
        <v>44</v>
      </c>
      <c r="C795" s="2" t="s">
        <v>17</v>
      </c>
      <c r="D795" s="2" t="s">
        <v>30</v>
      </c>
      <c r="E795" s="2" t="s">
        <v>19</v>
      </c>
      <c r="F795" s="2" t="s">
        <v>20</v>
      </c>
      <c r="G795" s="2" t="s">
        <v>21</v>
      </c>
      <c r="H795">
        <v>1</v>
      </c>
      <c r="I795" s="2" t="s">
        <v>526</v>
      </c>
      <c r="J795" s="3">
        <v>1</v>
      </c>
      <c r="K795" s="3">
        <v>5.2488000000000001</v>
      </c>
      <c r="L795" s="508">
        <v>138588.55301339563</v>
      </c>
      <c r="M795" s="508">
        <v>0</v>
      </c>
      <c r="N795" s="508">
        <v>138588.55301339563</v>
      </c>
      <c r="O795" s="508">
        <v>226.55379958987203</v>
      </c>
      <c r="Q795" s="2"/>
      <c r="R795" s="3"/>
      <c r="S795" s="3"/>
      <c r="T795" s="508"/>
      <c r="U795" s="508"/>
      <c r="V795" s="508"/>
      <c r="W795" s="508"/>
      <c r="X795" s="508">
        <v>138815.1068129855</v>
      </c>
      <c r="Y795" s="508"/>
      <c r="Z795" s="508">
        <v>728612.73263999831</v>
      </c>
      <c r="AA795" s="508"/>
      <c r="AB795" s="508"/>
      <c r="AC795" s="508"/>
      <c r="AD795" s="508"/>
      <c r="AE795" s="508"/>
      <c r="AF795" s="508"/>
      <c r="AG795" s="508"/>
      <c r="AH795" s="508">
        <v>0</v>
      </c>
      <c r="AI795" s="508"/>
      <c r="AJ795" s="508"/>
      <c r="AK795" s="508"/>
      <c r="AL795" s="508"/>
      <c r="AM795" s="508"/>
      <c r="AN795" s="508"/>
      <c r="AO795" s="508"/>
    </row>
    <row r="796" spans="1:41">
      <c r="A796" s="2" t="s">
        <v>896</v>
      </c>
      <c r="B796" s="2" t="s">
        <v>54</v>
      </c>
      <c r="C796" s="2" t="s">
        <v>17</v>
      </c>
      <c r="D796" s="2" t="s">
        <v>25</v>
      </c>
      <c r="E796" s="2" t="s">
        <v>19</v>
      </c>
      <c r="F796" s="2" t="s">
        <v>20</v>
      </c>
      <c r="G796" s="2" t="s">
        <v>21</v>
      </c>
      <c r="H796">
        <v>1</v>
      </c>
      <c r="I796" s="2" t="s">
        <v>526</v>
      </c>
      <c r="J796" s="3">
        <v>1</v>
      </c>
      <c r="K796" s="3">
        <v>5.2488000000000001</v>
      </c>
      <c r="L796" s="508">
        <v>156308.57548812754</v>
      </c>
      <c r="M796" s="508">
        <v>0</v>
      </c>
      <c r="N796" s="508">
        <v>156308.57548812754</v>
      </c>
      <c r="O796" s="508">
        <v>277.88200819839199</v>
      </c>
      <c r="Q796" s="2"/>
      <c r="R796" s="3"/>
      <c r="S796" s="3"/>
      <c r="T796" s="508"/>
      <c r="U796" s="508"/>
      <c r="V796" s="508"/>
      <c r="W796" s="508"/>
      <c r="X796" s="508">
        <v>156586.45749632592</v>
      </c>
      <c r="Y796" s="508"/>
      <c r="Z796" s="508">
        <v>821890.9981067155</v>
      </c>
      <c r="AA796" s="508"/>
      <c r="AB796" s="508"/>
      <c r="AC796" s="508"/>
      <c r="AD796" s="508"/>
      <c r="AE796" s="508"/>
      <c r="AF796" s="508"/>
      <c r="AG796" s="508"/>
      <c r="AH796" s="508">
        <v>0</v>
      </c>
      <c r="AI796" s="508"/>
      <c r="AJ796" s="508"/>
      <c r="AK796" s="508"/>
      <c r="AL796" s="508"/>
      <c r="AM796" s="508"/>
      <c r="AN796" s="508"/>
      <c r="AO796" s="508"/>
    </row>
    <row r="797" spans="1:41">
      <c r="A797" s="2" t="s">
        <v>897</v>
      </c>
      <c r="B797" s="2" t="s">
        <v>898</v>
      </c>
      <c r="C797" s="2" t="s">
        <v>17</v>
      </c>
      <c r="D797" s="2" t="s">
        <v>18</v>
      </c>
      <c r="E797" s="2" t="s">
        <v>19</v>
      </c>
      <c r="F797" s="2" t="s">
        <v>20</v>
      </c>
      <c r="G797" s="2" t="s">
        <v>21</v>
      </c>
      <c r="H797">
        <v>1</v>
      </c>
      <c r="I797" s="2" t="s">
        <v>526</v>
      </c>
      <c r="J797" s="3">
        <v>1</v>
      </c>
      <c r="K797" s="3">
        <v>5.2488000000000001</v>
      </c>
      <c r="L797" s="508">
        <v>43298.774373442531</v>
      </c>
      <c r="M797" s="508">
        <v>0</v>
      </c>
      <c r="N797" s="508">
        <v>43298.774373442531</v>
      </c>
      <c r="O797" s="508">
        <v>76.975695105618655</v>
      </c>
      <c r="Q797" s="2"/>
      <c r="R797" s="3"/>
      <c r="S797" s="3"/>
      <c r="T797" s="508"/>
      <c r="U797" s="508"/>
      <c r="V797" s="508"/>
      <c r="W797" s="508"/>
      <c r="X797" s="508">
        <v>43375.75006854815</v>
      </c>
      <c r="Y797" s="508"/>
      <c r="Z797" s="508">
        <v>227670.63695979555</v>
      </c>
      <c r="AA797" s="508"/>
      <c r="AB797" s="508"/>
      <c r="AC797" s="508"/>
      <c r="AD797" s="508"/>
      <c r="AE797" s="508"/>
      <c r="AF797" s="508"/>
      <c r="AG797" s="508"/>
      <c r="AH797" s="508">
        <v>0</v>
      </c>
      <c r="AI797" s="508"/>
      <c r="AJ797" s="508"/>
      <c r="AK797" s="508"/>
      <c r="AL797" s="508"/>
      <c r="AM797" s="508"/>
      <c r="AN797" s="508"/>
      <c r="AO797" s="508"/>
    </row>
    <row r="798" spans="1:41">
      <c r="A798" s="2" t="s">
        <v>899</v>
      </c>
      <c r="B798" s="2" t="s">
        <v>55</v>
      </c>
      <c r="C798" s="2" t="s">
        <v>17</v>
      </c>
      <c r="D798" s="2" t="s">
        <v>25</v>
      </c>
      <c r="E798" s="2" t="s">
        <v>19</v>
      </c>
      <c r="F798" s="2" t="s">
        <v>20</v>
      </c>
      <c r="G798" s="2" t="s">
        <v>21</v>
      </c>
      <c r="H798">
        <v>1</v>
      </c>
      <c r="I798" s="2" t="s">
        <v>526</v>
      </c>
      <c r="J798" s="3">
        <v>1</v>
      </c>
      <c r="K798" s="3">
        <v>5.2488000000000001</v>
      </c>
      <c r="L798" s="508">
        <v>357647.87632463529</v>
      </c>
      <c r="M798" s="508">
        <v>0</v>
      </c>
      <c r="N798" s="508">
        <v>357647.87632463529</v>
      </c>
      <c r="O798" s="508">
        <v>556.34118905918194</v>
      </c>
      <c r="Q798" s="2"/>
      <c r="R798" s="3"/>
      <c r="S798" s="3"/>
      <c r="T798" s="508"/>
      <c r="U798" s="508"/>
      <c r="V798" s="508"/>
      <c r="W798" s="508"/>
      <c r="X798" s="508">
        <v>358204.21751369449</v>
      </c>
      <c r="Y798" s="508"/>
      <c r="Z798" s="508">
        <v>1880142.2968858797</v>
      </c>
      <c r="AA798" s="508"/>
      <c r="AB798" s="508"/>
      <c r="AC798" s="508"/>
      <c r="AD798" s="508"/>
      <c r="AE798" s="508"/>
      <c r="AF798" s="508"/>
      <c r="AG798" s="508"/>
      <c r="AH798" s="508">
        <v>0</v>
      </c>
      <c r="AI798" s="508"/>
      <c r="AJ798" s="508"/>
      <c r="AK798" s="508"/>
      <c r="AL798" s="508"/>
      <c r="AM798" s="508"/>
      <c r="AN798" s="508"/>
      <c r="AO798" s="508"/>
    </row>
    <row r="799" spans="1:41">
      <c r="A799" s="2" t="s">
        <v>900</v>
      </c>
      <c r="B799" s="2" t="s">
        <v>901</v>
      </c>
      <c r="C799" s="2" t="s">
        <v>17</v>
      </c>
      <c r="D799" s="2" t="s">
        <v>25</v>
      </c>
      <c r="E799" s="2" t="s">
        <v>19</v>
      </c>
      <c r="F799" s="2" t="s">
        <v>20</v>
      </c>
      <c r="G799" s="2" t="s">
        <v>21</v>
      </c>
      <c r="H799">
        <v>1</v>
      </c>
      <c r="I799" s="2" t="s">
        <v>526</v>
      </c>
      <c r="J799" s="3">
        <v>1</v>
      </c>
      <c r="K799" s="3">
        <v>5.2488000000000001</v>
      </c>
      <c r="L799" s="508">
        <v>173195.09749377012</v>
      </c>
      <c r="M799" s="508">
        <v>0</v>
      </c>
      <c r="N799" s="508">
        <v>173195.09749377012</v>
      </c>
      <c r="O799" s="508">
        <v>239.04517252413268</v>
      </c>
      <c r="Q799" s="2"/>
      <c r="R799" s="3"/>
      <c r="S799" s="3"/>
      <c r="T799" s="508"/>
      <c r="U799" s="508"/>
      <c r="V799" s="508"/>
      <c r="W799" s="508"/>
      <c r="X799" s="508">
        <v>173434.14266629427</v>
      </c>
      <c r="Y799" s="508"/>
      <c r="Z799" s="508">
        <v>910321.1280268454</v>
      </c>
      <c r="AA799" s="508"/>
      <c r="AB799" s="508"/>
      <c r="AC799" s="508"/>
      <c r="AD799" s="508"/>
      <c r="AE799" s="508"/>
      <c r="AF799" s="508"/>
      <c r="AG799" s="508"/>
      <c r="AH799" s="508">
        <v>0</v>
      </c>
      <c r="AI799" s="508"/>
      <c r="AJ799" s="508"/>
      <c r="AK799" s="508"/>
      <c r="AL799" s="508"/>
      <c r="AM799" s="508"/>
      <c r="AN799" s="508"/>
      <c r="AO799" s="508"/>
    </row>
    <row r="800" spans="1:41">
      <c r="A800" s="2" t="s">
        <v>902</v>
      </c>
      <c r="B800" s="2" t="s">
        <v>56</v>
      </c>
      <c r="C800" s="2" t="s">
        <v>17</v>
      </c>
      <c r="D800" s="2" t="s">
        <v>25</v>
      </c>
      <c r="E800" s="2" t="s">
        <v>19</v>
      </c>
      <c r="F800" s="2" t="s">
        <v>20</v>
      </c>
      <c r="G800" s="2" t="s">
        <v>21</v>
      </c>
      <c r="H800">
        <v>1</v>
      </c>
      <c r="I800" s="2" t="s">
        <v>526</v>
      </c>
      <c r="J800" s="3">
        <v>1</v>
      </c>
      <c r="K800" s="3">
        <v>5.2488000000000001</v>
      </c>
      <c r="L800" s="508">
        <v>126092.0845771098</v>
      </c>
      <c r="M800" s="508">
        <v>0</v>
      </c>
      <c r="N800" s="508">
        <v>126092.0845771098</v>
      </c>
      <c r="O800" s="508">
        <v>172.3499054180005</v>
      </c>
      <c r="Q800" s="2"/>
      <c r="R800" s="3"/>
      <c r="S800" s="3"/>
      <c r="T800" s="508"/>
      <c r="U800" s="508"/>
      <c r="V800" s="508"/>
      <c r="W800" s="508"/>
      <c r="X800" s="508">
        <v>126264.43448252779</v>
      </c>
      <c r="Y800" s="508"/>
      <c r="Z800" s="508">
        <v>662736.76371189195</v>
      </c>
      <c r="AA800" s="508"/>
      <c r="AB800" s="508"/>
      <c r="AC800" s="508"/>
      <c r="AD800" s="508"/>
      <c r="AE800" s="508"/>
      <c r="AF800" s="508"/>
      <c r="AG800" s="508"/>
      <c r="AH800" s="508">
        <v>0</v>
      </c>
      <c r="AI800" s="508"/>
      <c r="AJ800" s="508"/>
      <c r="AK800" s="508"/>
      <c r="AL800" s="508"/>
      <c r="AM800" s="508"/>
      <c r="AN800" s="508"/>
      <c r="AO800" s="508"/>
    </row>
    <row r="801" spans="1:41">
      <c r="A801" s="2" t="s">
        <v>903</v>
      </c>
      <c r="B801" s="2" t="s">
        <v>55</v>
      </c>
      <c r="C801" s="2" t="s">
        <v>17</v>
      </c>
      <c r="D801" s="2" t="s">
        <v>25</v>
      </c>
      <c r="E801" s="2" t="s">
        <v>19</v>
      </c>
      <c r="F801" s="2" t="s">
        <v>20</v>
      </c>
      <c r="G801" s="2" t="s">
        <v>21</v>
      </c>
      <c r="H801">
        <v>1</v>
      </c>
      <c r="I801" s="2" t="s">
        <v>526</v>
      </c>
      <c r="J801" s="3">
        <v>1</v>
      </c>
      <c r="K801" s="3">
        <v>5.2488000000000001</v>
      </c>
      <c r="L801" s="508">
        <v>75339.867409789993</v>
      </c>
      <c r="M801" s="508">
        <v>0</v>
      </c>
      <c r="N801" s="508">
        <v>75339.867409789993</v>
      </c>
      <c r="O801" s="508">
        <v>100.45315654638667</v>
      </c>
      <c r="Q801" s="2"/>
      <c r="R801" s="3"/>
      <c r="S801" s="3"/>
      <c r="T801" s="508"/>
      <c r="U801" s="508"/>
      <c r="V801" s="508"/>
      <c r="W801" s="508"/>
      <c r="X801" s="508">
        <v>75440.320566336377</v>
      </c>
      <c r="Y801" s="508"/>
      <c r="Z801" s="508">
        <v>395971.15458858636</v>
      </c>
      <c r="AA801" s="508"/>
      <c r="AB801" s="508"/>
      <c r="AC801" s="508"/>
      <c r="AD801" s="508"/>
      <c r="AE801" s="508"/>
      <c r="AF801" s="508"/>
      <c r="AG801" s="508"/>
      <c r="AH801" s="508">
        <v>0</v>
      </c>
      <c r="AI801" s="508"/>
      <c r="AJ801" s="508"/>
      <c r="AK801" s="508"/>
      <c r="AL801" s="508"/>
      <c r="AM801" s="508"/>
      <c r="AN801" s="508"/>
      <c r="AO801" s="508"/>
    </row>
    <row r="802" spans="1:41">
      <c r="A802" s="2" t="s">
        <v>904</v>
      </c>
      <c r="B802" s="2" t="s">
        <v>44</v>
      </c>
      <c r="C802" s="2" t="s">
        <v>17</v>
      </c>
      <c r="D802" s="2" t="s">
        <v>30</v>
      </c>
      <c r="E802" s="2" t="s">
        <v>19</v>
      </c>
      <c r="F802" s="2" t="s">
        <v>20</v>
      </c>
      <c r="G802" s="2" t="s">
        <v>21</v>
      </c>
      <c r="H802">
        <v>1</v>
      </c>
      <c r="I802" s="2" t="s">
        <v>526</v>
      </c>
      <c r="J802" s="3">
        <v>1</v>
      </c>
      <c r="K802" s="3">
        <v>5.2488000000000001</v>
      </c>
      <c r="L802" s="508">
        <v>184644.80706683249</v>
      </c>
      <c r="M802" s="508">
        <v>0</v>
      </c>
      <c r="N802" s="508">
        <v>184644.80706683249</v>
      </c>
      <c r="O802" s="508">
        <v>109.76110865769232</v>
      </c>
      <c r="Q802" s="2"/>
      <c r="R802" s="3"/>
      <c r="S802" s="3"/>
      <c r="T802" s="508"/>
      <c r="U802" s="508"/>
      <c r="V802" s="508"/>
      <c r="W802" s="508"/>
      <c r="X802" s="508">
        <v>184754.56817549019</v>
      </c>
      <c r="Y802" s="508"/>
      <c r="Z802" s="508">
        <v>969739.77743951289</v>
      </c>
      <c r="AA802" s="508"/>
      <c r="AB802" s="508"/>
      <c r="AC802" s="508"/>
      <c r="AD802" s="508"/>
      <c r="AE802" s="508"/>
      <c r="AF802" s="508"/>
      <c r="AG802" s="508"/>
      <c r="AH802" s="508">
        <v>0</v>
      </c>
      <c r="AI802" s="508"/>
      <c r="AJ802" s="508"/>
      <c r="AK802" s="508"/>
      <c r="AL802" s="508"/>
      <c r="AM802" s="508"/>
      <c r="AN802" s="508"/>
      <c r="AO802" s="508"/>
    </row>
    <row r="803" spans="1:41">
      <c r="A803" s="2" t="s">
        <v>940</v>
      </c>
      <c r="B803" s="2" t="s">
        <v>941</v>
      </c>
      <c r="C803" s="2" t="s">
        <v>17</v>
      </c>
      <c r="D803" s="2" t="s">
        <v>348</v>
      </c>
      <c r="E803" s="2" t="s">
        <v>19</v>
      </c>
      <c r="F803" s="2" t="s">
        <v>20</v>
      </c>
      <c r="G803" s="2" t="s">
        <v>21</v>
      </c>
      <c r="H803">
        <v>1</v>
      </c>
      <c r="I803" s="2" t="s">
        <v>526</v>
      </c>
      <c r="J803" s="3">
        <v>1</v>
      </c>
      <c r="K803" s="3">
        <v>5.2488000000000001</v>
      </c>
      <c r="L803" s="508">
        <v>369267.00317652652</v>
      </c>
      <c r="M803" s="508">
        <v>0</v>
      </c>
      <c r="N803" s="508">
        <v>369267.00317652652</v>
      </c>
      <c r="O803" s="508">
        <v>323.10862777946068</v>
      </c>
      <c r="Q803" s="2"/>
      <c r="R803" s="3"/>
      <c r="S803" s="3"/>
      <c r="T803" s="508"/>
      <c r="U803" s="508"/>
      <c r="V803" s="508"/>
      <c r="W803" s="508"/>
      <c r="X803" s="508">
        <v>369590.11180430598</v>
      </c>
      <c r="Y803" s="508"/>
      <c r="Z803" s="508">
        <v>1939904.5788384413</v>
      </c>
      <c r="AA803" s="508"/>
      <c r="AB803" s="508"/>
      <c r="AC803" s="508"/>
      <c r="AD803" s="508"/>
      <c r="AE803" s="508"/>
      <c r="AF803" s="508"/>
      <c r="AG803" s="508"/>
      <c r="AH803" s="508">
        <v>0</v>
      </c>
      <c r="AI803" s="508"/>
      <c r="AJ803" s="508"/>
      <c r="AK803" s="508"/>
      <c r="AL803" s="508"/>
      <c r="AM803" s="508"/>
      <c r="AN803" s="508"/>
      <c r="AO803" s="508"/>
    </row>
    <row r="804" spans="1:41">
      <c r="A804" s="2" t="s">
        <v>942</v>
      </c>
      <c r="B804" s="2" t="s">
        <v>943</v>
      </c>
      <c r="C804" s="2" t="s">
        <v>17</v>
      </c>
      <c r="D804" s="2" t="s">
        <v>25</v>
      </c>
      <c r="E804" s="2" t="s">
        <v>19</v>
      </c>
      <c r="F804" s="2" t="s">
        <v>20</v>
      </c>
      <c r="G804" s="2" t="s">
        <v>21</v>
      </c>
      <c r="H804">
        <v>1</v>
      </c>
      <c r="I804" s="2" t="s">
        <v>526</v>
      </c>
      <c r="J804" s="3">
        <v>1</v>
      </c>
      <c r="K804" s="3">
        <v>5.2488000000000001</v>
      </c>
      <c r="L804" s="508">
        <v>2936136.7487140382</v>
      </c>
      <c r="M804" s="508">
        <v>0</v>
      </c>
      <c r="N804" s="508">
        <v>2936136.7487140382</v>
      </c>
      <c r="O804" s="508">
        <v>2312.2076896123049</v>
      </c>
      <c r="Q804" s="2"/>
      <c r="R804" s="3"/>
      <c r="S804" s="3"/>
      <c r="T804" s="508"/>
      <c r="U804" s="508"/>
      <c r="V804" s="508"/>
      <c r="W804" s="508"/>
      <c r="X804" s="508">
        <v>2938448.9564036503</v>
      </c>
      <c r="Y804" s="508"/>
      <c r="Z804" s="508">
        <v>15423330.88237148</v>
      </c>
      <c r="AA804" s="508"/>
      <c r="AB804" s="508"/>
      <c r="AC804" s="508"/>
      <c r="AD804" s="508"/>
      <c r="AE804" s="508"/>
      <c r="AF804" s="508"/>
      <c r="AG804" s="508"/>
      <c r="AH804" s="508">
        <v>0</v>
      </c>
      <c r="AI804" s="508"/>
      <c r="AJ804" s="508"/>
      <c r="AK804" s="508"/>
      <c r="AL804" s="508"/>
      <c r="AM804" s="508"/>
      <c r="AN804" s="508"/>
      <c r="AO804" s="508"/>
    </row>
    <row r="805" spans="1:41">
      <c r="A805" s="2" t="s">
        <v>944</v>
      </c>
      <c r="B805" s="2" t="s">
        <v>945</v>
      </c>
      <c r="C805" s="2" t="s">
        <v>17</v>
      </c>
      <c r="D805" s="2" t="s">
        <v>25</v>
      </c>
      <c r="E805" s="2" t="s">
        <v>19</v>
      </c>
      <c r="F805" s="2" t="s">
        <v>20</v>
      </c>
      <c r="G805" s="2" t="s">
        <v>21</v>
      </c>
      <c r="H805">
        <v>1</v>
      </c>
      <c r="I805" s="2" t="s">
        <v>526</v>
      </c>
      <c r="J805" s="3">
        <v>1</v>
      </c>
      <c r="K805" s="3">
        <v>5.2488000000000001</v>
      </c>
      <c r="L805" s="508">
        <v>1082469.359336063</v>
      </c>
      <c r="M805" s="508">
        <v>0</v>
      </c>
      <c r="N805" s="508">
        <v>1082469.359336063</v>
      </c>
      <c r="O805" s="508">
        <v>1052.4009584601699</v>
      </c>
      <c r="Q805" s="2"/>
      <c r="R805" s="3"/>
      <c r="S805" s="3"/>
      <c r="T805" s="508"/>
      <c r="U805" s="508"/>
      <c r="V805" s="508"/>
      <c r="W805" s="508"/>
      <c r="X805" s="508">
        <v>1083521.7602945231</v>
      </c>
      <c r="Y805" s="508"/>
      <c r="Z805" s="508">
        <v>5687189.0154338926</v>
      </c>
      <c r="AA805" s="508"/>
      <c r="AB805" s="508"/>
      <c r="AC805" s="508"/>
      <c r="AD805" s="508"/>
      <c r="AE805" s="508"/>
      <c r="AF805" s="508"/>
      <c r="AG805" s="508"/>
      <c r="AH805" s="508">
        <v>0</v>
      </c>
      <c r="AI805" s="508"/>
      <c r="AJ805" s="508"/>
      <c r="AK805" s="508"/>
      <c r="AL805" s="508"/>
      <c r="AM805" s="508"/>
      <c r="AN805" s="508"/>
      <c r="AO805" s="508"/>
    </row>
    <row r="806" spans="1:41">
      <c r="A806" s="2" t="s">
        <v>946</v>
      </c>
      <c r="B806" s="2" t="s">
        <v>945</v>
      </c>
      <c r="C806" s="2" t="s">
        <v>17</v>
      </c>
      <c r="D806" s="2" t="s">
        <v>25</v>
      </c>
      <c r="E806" s="2" t="s">
        <v>19</v>
      </c>
      <c r="F806" s="2" t="s">
        <v>20</v>
      </c>
      <c r="G806" s="2" t="s">
        <v>21</v>
      </c>
      <c r="H806">
        <v>1</v>
      </c>
      <c r="I806" s="2" t="s">
        <v>526</v>
      </c>
      <c r="J806" s="3">
        <v>1</v>
      </c>
      <c r="K806" s="3">
        <v>5.2488000000000001</v>
      </c>
      <c r="L806" s="508">
        <v>1082469.359336063</v>
      </c>
      <c r="M806" s="508">
        <v>0</v>
      </c>
      <c r="N806" s="508">
        <v>1082469.359336063</v>
      </c>
      <c r="O806" s="508">
        <v>1052.4009584601699</v>
      </c>
      <c r="Q806" s="2"/>
      <c r="R806" s="3"/>
      <c r="S806" s="3"/>
      <c r="T806" s="508"/>
      <c r="U806" s="508"/>
      <c r="V806" s="508"/>
      <c r="W806" s="508"/>
      <c r="X806" s="508">
        <v>1083521.7602945231</v>
      </c>
      <c r="Y806" s="508"/>
      <c r="Z806" s="508">
        <v>5687189.0154338926</v>
      </c>
      <c r="AA806" s="508"/>
      <c r="AB806" s="508"/>
      <c r="AC806" s="508"/>
      <c r="AD806" s="508"/>
      <c r="AE806" s="508"/>
      <c r="AF806" s="508"/>
      <c r="AG806" s="508"/>
      <c r="AH806" s="508">
        <v>0</v>
      </c>
      <c r="AI806" s="508"/>
      <c r="AJ806" s="508"/>
      <c r="AK806" s="508"/>
      <c r="AL806" s="508"/>
      <c r="AM806" s="508"/>
      <c r="AN806" s="508"/>
      <c r="AO806" s="508"/>
    </row>
    <row r="807" spans="1:41">
      <c r="A807" s="2" t="s">
        <v>947</v>
      </c>
      <c r="B807" s="2" t="s">
        <v>948</v>
      </c>
      <c r="C807" s="2" t="s">
        <v>17</v>
      </c>
      <c r="D807" s="2" t="s">
        <v>25</v>
      </c>
      <c r="E807" s="2" t="s">
        <v>19</v>
      </c>
      <c r="F807" s="2" t="s">
        <v>20</v>
      </c>
      <c r="G807" s="2" t="s">
        <v>21</v>
      </c>
      <c r="H807">
        <v>1</v>
      </c>
      <c r="I807" s="2" t="s">
        <v>526</v>
      </c>
      <c r="J807" s="3">
        <v>1</v>
      </c>
      <c r="K807" s="3">
        <v>5.2488000000000001</v>
      </c>
      <c r="L807" s="508">
        <v>58697.547054785406</v>
      </c>
      <c r="M807" s="508">
        <v>0</v>
      </c>
      <c r="N807" s="508">
        <v>58697.547054785406</v>
      </c>
      <c r="O807" s="508">
        <v>47.365633410576756</v>
      </c>
      <c r="Q807" s="2"/>
      <c r="R807" s="3"/>
      <c r="S807" s="3"/>
      <c r="T807" s="508"/>
      <c r="U807" s="508"/>
      <c r="V807" s="508"/>
      <c r="W807" s="508"/>
      <c r="X807" s="508">
        <v>58744.912688195982</v>
      </c>
      <c r="Y807" s="508"/>
      <c r="Z807" s="508">
        <v>308340.2977178031</v>
      </c>
      <c r="AA807" s="508"/>
      <c r="AB807" s="508"/>
      <c r="AC807" s="508"/>
      <c r="AD807" s="508"/>
      <c r="AE807" s="508"/>
      <c r="AF807" s="508"/>
      <c r="AG807" s="508"/>
      <c r="AH807" s="508">
        <v>0</v>
      </c>
      <c r="AI807" s="508"/>
      <c r="AJ807" s="508"/>
      <c r="AK807" s="508"/>
      <c r="AL807" s="508"/>
      <c r="AM807" s="508"/>
      <c r="AN807" s="508"/>
      <c r="AO807" s="508"/>
    </row>
    <row r="808" spans="1:41">
      <c r="A808" s="2" t="s">
        <v>949</v>
      </c>
      <c r="B808" s="2" t="s">
        <v>948</v>
      </c>
      <c r="C808" s="2" t="s">
        <v>17</v>
      </c>
      <c r="D808" s="2" t="s">
        <v>25</v>
      </c>
      <c r="E808" s="2" t="s">
        <v>19</v>
      </c>
      <c r="F808" s="2" t="s">
        <v>20</v>
      </c>
      <c r="G808" s="2" t="s">
        <v>21</v>
      </c>
      <c r="H808">
        <v>1</v>
      </c>
      <c r="I808" s="2" t="s">
        <v>526</v>
      </c>
      <c r="J808" s="3">
        <v>1</v>
      </c>
      <c r="K808" s="3">
        <v>5.2488000000000001</v>
      </c>
      <c r="L808" s="508">
        <v>176092.64116435623</v>
      </c>
      <c r="M808" s="508">
        <v>0</v>
      </c>
      <c r="N808" s="508">
        <v>176092.64116435623</v>
      </c>
      <c r="O808" s="508">
        <v>142.0970176268244</v>
      </c>
      <c r="Q808" s="2"/>
      <c r="R808" s="3"/>
      <c r="S808" s="3"/>
      <c r="T808" s="508"/>
      <c r="U808" s="508"/>
      <c r="V808" s="508"/>
      <c r="W808" s="508"/>
      <c r="X808" s="508">
        <v>176234.73818198306</v>
      </c>
      <c r="Y808" s="508"/>
      <c r="Z808" s="508">
        <v>925020.89376959275</v>
      </c>
      <c r="AA808" s="508"/>
      <c r="AB808" s="508"/>
      <c r="AC808" s="508"/>
      <c r="AD808" s="508"/>
      <c r="AE808" s="508"/>
      <c r="AF808" s="508"/>
      <c r="AG808" s="508"/>
      <c r="AH808" s="508">
        <v>0</v>
      </c>
      <c r="AI808" s="508"/>
      <c r="AJ808" s="508"/>
      <c r="AK808" s="508"/>
      <c r="AL808" s="508"/>
      <c r="AM808" s="508"/>
      <c r="AN808" s="508"/>
      <c r="AO808" s="508"/>
    </row>
    <row r="809" spans="1:41">
      <c r="A809" s="2" t="s">
        <v>950</v>
      </c>
      <c r="B809" s="2" t="s">
        <v>951</v>
      </c>
      <c r="C809" s="2" t="s">
        <v>17</v>
      </c>
      <c r="D809" s="2" t="s">
        <v>30</v>
      </c>
      <c r="E809" s="2" t="s">
        <v>19</v>
      </c>
      <c r="F809" s="2" t="s">
        <v>20</v>
      </c>
      <c r="G809" s="2" t="s">
        <v>21</v>
      </c>
      <c r="H809">
        <v>1</v>
      </c>
      <c r="I809" s="2" t="s">
        <v>526</v>
      </c>
      <c r="J809" s="3">
        <v>1</v>
      </c>
      <c r="K809" s="3">
        <v>5.2488000000000001</v>
      </c>
      <c r="L809" s="508">
        <v>519585.29248131026</v>
      </c>
      <c r="M809" s="508">
        <v>0</v>
      </c>
      <c r="N809" s="508">
        <v>519585.29248131026</v>
      </c>
      <c r="O809" s="508">
        <v>474.84336995800095</v>
      </c>
      <c r="Q809" s="2"/>
      <c r="R809" s="3"/>
      <c r="S809" s="3"/>
      <c r="T809" s="508"/>
      <c r="U809" s="508"/>
      <c r="V809" s="508"/>
      <c r="W809" s="508"/>
      <c r="X809" s="508">
        <v>520060.13585126825</v>
      </c>
      <c r="Y809" s="508"/>
      <c r="Z809" s="508">
        <v>2729691.6410561367</v>
      </c>
      <c r="AA809" s="508"/>
      <c r="AB809" s="508"/>
      <c r="AC809" s="508"/>
      <c r="AD809" s="508"/>
      <c r="AE809" s="508"/>
      <c r="AF809" s="508"/>
      <c r="AG809" s="508"/>
      <c r="AH809" s="508">
        <v>0</v>
      </c>
      <c r="AI809" s="508"/>
      <c r="AJ809" s="508"/>
      <c r="AK809" s="508"/>
      <c r="AL809" s="508"/>
      <c r="AM809" s="508"/>
      <c r="AN809" s="508"/>
      <c r="AO809" s="508"/>
    </row>
    <row r="810" spans="1:41">
      <c r="A810" s="2" t="s">
        <v>952</v>
      </c>
      <c r="B810" s="2" t="s">
        <v>953</v>
      </c>
      <c r="C810" s="2" t="s">
        <v>17</v>
      </c>
      <c r="D810" s="2" t="s">
        <v>18</v>
      </c>
      <c r="E810" s="2" t="s">
        <v>19</v>
      </c>
      <c r="F810" s="2" t="s">
        <v>20</v>
      </c>
      <c r="G810" s="2" t="s">
        <v>21</v>
      </c>
      <c r="H810">
        <v>1</v>
      </c>
      <c r="I810" s="2" t="s">
        <v>526</v>
      </c>
      <c r="J810" s="3">
        <v>1</v>
      </c>
      <c r="K810" s="3">
        <v>5.2488000000000001</v>
      </c>
      <c r="L810" s="508">
        <v>55390.050476478973</v>
      </c>
      <c r="M810" s="508">
        <v>0</v>
      </c>
      <c r="N810" s="508">
        <v>55390.050476478973</v>
      </c>
      <c r="O810" s="508">
        <v>193.86517666767639</v>
      </c>
      <c r="Q810" s="2"/>
      <c r="R810" s="3"/>
      <c r="S810" s="3"/>
      <c r="T810" s="508"/>
      <c r="U810" s="508"/>
      <c r="V810" s="508"/>
      <c r="W810" s="508"/>
      <c r="X810" s="508">
        <v>55583.915653146651</v>
      </c>
      <c r="Y810" s="508"/>
      <c r="Z810" s="508">
        <v>291748.85648023617</v>
      </c>
      <c r="AA810" s="508"/>
      <c r="AB810" s="508"/>
      <c r="AC810" s="508"/>
      <c r="AD810" s="508"/>
      <c r="AE810" s="508"/>
      <c r="AF810" s="508"/>
      <c r="AG810" s="508"/>
      <c r="AH810" s="508">
        <v>0</v>
      </c>
      <c r="AI810" s="508"/>
      <c r="AJ810" s="508"/>
      <c r="AK810" s="508"/>
      <c r="AL810" s="508"/>
      <c r="AM810" s="508"/>
      <c r="AN810" s="508"/>
      <c r="AO810" s="508"/>
    </row>
    <row r="811" spans="1:41">
      <c r="A811" s="2" t="s">
        <v>954</v>
      </c>
      <c r="B811" s="2" t="s">
        <v>151</v>
      </c>
      <c r="C811" s="2" t="s">
        <v>17</v>
      </c>
      <c r="D811" s="2" t="s">
        <v>25</v>
      </c>
      <c r="E811" s="2" t="s">
        <v>19</v>
      </c>
      <c r="F811" s="2" t="s">
        <v>20</v>
      </c>
      <c r="G811" s="2" t="s">
        <v>21</v>
      </c>
      <c r="H811">
        <v>1</v>
      </c>
      <c r="I811" s="2" t="s">
        <v>526</v>
      </c>
      <c r="J811" s="3">
        <v>1</v>
      </c>
      <c r="K811" s="3">
        <v>5.2488000000000001</v>
      </c>
      <c r="L811" s="508">
        <v>471757.94173191389</v>
      </c>
      <c r="M811" s="508">
        <v>0</v>
      </c>
      <c r="N811" s="508">
        <v>471757.94173191389</v>
      </c>
      <c r="O811" s="508">
        <v>499.93236551661255</v>
      </c>
      <c r="Q811" s="2"/>
      <c r="R811" s="3"/>
      <c r="S811" s="3"/>
      <c r="T811" s="508"/>
      <c r="U811" s="508"/>
      <c r="V811" s="508"/>
      <c r="W811" s="508"/>
      <c r="X811" s="508">
        <v>472257.8740974305</v>
      </c>
      <c r="Y811" s="508"/>
      <c r="Z811" s="508">
        <v>2478787.1295625931</v>
      </c>
      <c r="AA811" s="508"/>
      <c r="AB811" s="508"/>
      <c r="AC811" s="508"/>
      <c r="AD811" s="508"/>
      <c r="AE811" s="508"/>
      <c r="AF811" s="508"/>
      <c r="AG811" s="508"/>
      <c r="AH811" s="508">
        <v>0</v>
      </c>
      <c r="AI811" s="508"/>
      <c r="AJ811" s="508"/>
      <c r="AK811" s="508"/>
      <c r="AL811" s="508"/>
      <c r="AM811" s="508"/>
      <c r="AN811" s="508"/>
      <c r="AO811" s="508"/>
    </row>
    <row r="812" spans="1:41">
      <c r="A812" s="2" t="s">
        <v>955</v>
      </c>
      <c r="B812" s="2" t="s">
        <v>956</v>
      </c>
      <c r="C812" s="2" t="s">
        <v>17</v>
      </c>
      <c r="D812" s="2" t="s">
        <v>18</v>
      </c>
      <c r="E812" s="2" t="s">
        <v>19</v>
      </c>
      <c r="F812" s="2" t="s">
        <v>20</v>
      </c>
      <c r="G812" s="2" t="s">
        <v>21</v>
      </c>
      <c r="H812">
        <v>1</v>
      </c>
      <c r="I812" s="2" t="s">
        <v>526</v>
      </c>
      <c r="J812" s="3">
        <v>1</v>
      </c>
      <c r="K812" s="3">
        <v>5.2488000000000001</v>
      </c>
      <c r="L812" s="508">
        <v>376794.00938705617</v>
      </c>
      <c r="M812" s="508">
        <v>0</v>
      </c>
      <c r="N812" s="508">
        <v>376794.00938705617</v>
      </c>
      <c r="O812" s="508">
        <v>256.42934648186895</v>
      </c>
      <c r="Q812" s="2"/>
      <c r="R812" s="3"/>
      <c r="S812" s="3"/>
      <c r="T812" s="508"/>
      <c r="U812" s="508"/>
      <c r="V812" s="508"/>
      <c r="W812" s="508"/>
      <c r="X812" s="508">
        <v>377050.43873353803</v>
      </c>
      <c r="Y812" s="508"/>
      <c r="Z812" s="508">
        <v>1979062.3428245944</v>
      </c>
      <c r="AA812" s="508"/>
      <c r="AB812" s="508"/>
      <c r="AC812" s="508"/>
      <c r="AD812" s="508"/>
      <c r="AE812" s="508"/>
      <c r="AF812" s="508"/>
      <c r="AG812" s="508"/>
      <c r="AH812" s="508">
        <v>0</v>
      </c>
      <c r="AI812" s="508"/>
      <c r="AJ812" s="508"/>
      <c r="AK812" s="508"/>
      <c r="AL812" s="508"/>
      <c r="AM812" s="508"/>
      <c r="AN812" s="508"/>
      <c r="AO812" s="508"/>
    </row>
    <row r="813" spans="1:41">
      <c r="A813" s="2" t="s">
        <v>957</v>
      </c>
      <c r="B813" s="2" t="s">
        <v>928</v>
      </c>
      <c r="C813" s="2" t="s">
        <v>17</v>
      </c>
      <c r="D813" s="2" t="s">
        <v>18</v>
      </c>
      <c r="E813" s="2" t="s">
        <v>19</v>
      </c>
      <c r="F813" s="2" t="s">
        <v>20</v>
      </c>
      <c r="G813" s="2" t="s">
        <v>21</v>
      </c>
      <c r="H813">
        <v>1</v>
      </c>
      <c r="I813" s="2" t="s">
        <v>526</v>
      </c>
      <c r="J813" s="3">
        <v>1</v>
      </c>
      <c r="K813" s="3">
        <v>5.2488000000000001</v>
      </c>
      <c r="L813" s="508">
        <v>923167.50794131635</v>
      </c>
      <c r="M813" s="508">
        <v>0</v>
      </c>
      <c r="N813" s="508">
        <v>923167.50794131635</v>
      </c>
      <c r="O813" s="508">
        <v>420.55412798071103</v>
      </c>
      <c r="Q813" s="2"/>
      <c r="R813" s="3"/>
      <c r="S813" s="3"/>
      <c r="T813" s="508"/>
      <c r="U813" s="508"/>
      <c r="V813" s="508"/>
      <c r="W813" s="508"/>
      <c r="X813" s="508">
        <v>923588.06206929707</v>
      </c>
      <c r="Y813" s="508"/>
      <c r="Z813" s="508">
        <v>4847729.0201893263</v>
      </c>
      <c r="AA813" s="508"/>
      <c r="AB813" s="508"/>
      <c r="AC813" s="508"/>
      <c r="AD813" s="508"/>
      <c r="AE813" s="508"/>
      <c r="AF813" s="508"/>
      <c r="AG813" s="508"/>
      <c r="AH813" s="508">
        <v>0</v>
      </c>
      <c r="AI813" s="508"/>
      <c r="AJ813" s="508"/>
      <c r="AK813" s="508"/>
      <c r="AL813" s="508"/>
      <c r="AM813" s="508"/>
      <c r="AN813" s="508"/>
      <c r="AO813" s="508"/>
    </row>
    <row r="814" spans="1:41">
      <c r="A814" s="2" t="s">
        <v>958</v>
      </c>
      <c r="B814" s="2" t="s">
        <v>956</v>
      </c>
      <c r="C814" s="2" t="s">
        <v>17</v>
      </c>
      <c r="D814" s="2" t="s">
        <v>18</v>
      </c>
      <c r="E814" s="2" t="s">
        <v>19</v>
      </c>
      <c r="F814" s="2" t="s">
        <v>20</v>
      </c>
      <c r="G814" s="2" t="s">
        <v>21</v>
      </c>
      <c r="H814">
        <v>1</v>
      </c>
      <c r="I814" s="2" t="s">
        <v>526</v>
      </c>
      <c r="J814" s="3">
        <v>1</v>
      </c>
      <c r="K814" s="3">
        <v>5.2488000000000001</v>
      </c>
      <c r="L814" s="508">
        <v>358335.52358246269</v>
      </c>
      <c r="M814" s="508">
        <v>0</v>
      </c>
      <c r="N814" s="508">
        <v>358335.52358246269</v>
      </c>
      <c r="O814" s="508">
        <v>195.09372798724473</v>
      </c>
      <c r="Q814" s="2"/>
      <c r="R814" s="3"/>
      <c r="S814" s="3"/>
      <c r="T814" s="508"/>
      <c r="U814" s="508"/>
      <c r="V814" s="508"/>
      <c r="W814" s="508"/>
      <c r="X814" s="508">
        <v>358530.61731044995</v>
      </c>
      <c r="Y814" s="508"/>
      <c r="Z814" s="508">
        <v>1881855.5041390897</v>
      </c>
      <c r="AA814" s="508"/>
      <c r="AB814" s="508"/>
      <c r="AC814" s="508"/>
      <c r="AD814" s="508"/>
      <c r="AE814" s="508"/>
      <c r="AF814" s="508"/>
      <c r="AG814" s="508"/>
      <c r="AH814" s="508">
        <v>0</v>
      </c>
      <c r="AI814" s="508"/>
      <c r="AJ814" s="508"/>
      <c r="AK814" s="508"/>
      <c r="AL814" s="508"/>
      <c r="AM814" s="508"/>
      <c r="AN814" s="508"/>
      <c r="AO814" s="508"/>
    </row>
    <row r="815" spans="1:41">
      <c r="A815" s="2" t="s">
        <v>973</v>
      </c>
      <c r="B815" s="2" t="s">
        <v>236</v>
      </c>
      <c r="C815" s="2" t="s">
        <v>171</v>
      </c>
      <c r="D815" s="2" t="s">
        <v>25</v>
      </c>
      <c r="E815" s="2" t="s">
        <v>172</v>
      </c>
      <c r="F815" s="2" t="s">
        <v>173</v>
      </c>
      <c r="G815" s="2" t="s">
        <v>57</v>
      </c>
      <c r="H815">
        <v>1</v>
      </c>
      <c r="I815" s="2" t="s">
        <v>526</v>
      </c>
      <c r="J815" s="3">
        <v>0.15684552284455039</v>
      </c>
      <c r="K815" s="3">
        <v>5.2488000000000001</v>
      </c>
      <c r="L815" s="508">
        <v>31237.526102826119</v>
      </c>
      <c r="M815" s="508">
        <v>0</v>
      </c>
      <c r="N815" s="508">
        <v>31237.526102826119</v>
      </c>
      <c r="O815" s="508">
        <v>1.0846189688336276</v>
      </c>
      <c r="Q815" s="2"/>
      <c r="R815" s="3"/>
      <c r="S815" s="3"/>
      <c r="T815" s="508"/>
      <c r="U815" s="508"/>
      <c r="V815" s="508"/>
      <c r="W815" s="508"/>
      <c r="X815" s="508">
        <v>31238.610721794954</v>
      </c>
      <c r="Y815" s="508"/>
      <c r="Z815" s="508">
        <v>163965.21995655735</v>
      </c>
      <c r="AA815" s="508"/>
      <c r="AB815" s="508"/>
      <c r="AC815" s="508"/>
      <c r="AD815" s="508"/>
      <c r="AE815" s="508"/>
      <c r="AF815" s="508"/>
      <c r="AG815" s="508"/>
      <c r="AH815" s="508">
        <v>0</v>
      </c>
      <c r="AI815" s="508"/>
      <c r="AJ815" s="508"/>
      <c r="AK815" s="508"/>
      <c r="AL815" s="508"/>
      <c r="AM815" s="508"/>
      <c r="AN815" s="508"/>
      <c r="AO815" s="508"/>
    </row>
    <row r="816" spans="1:41">
      <c r="A816" s="2" t="s">
        <v>974</v>
      </c>
      <c r="B816" s="2" t="s">
        <v>975</v>
      </c>
      <c r="C816" s="2" t="s">
        <v>175</v>
      </c>
      <c r="D816" s="2" t="s">
        <v>25</v>
      </c>
      <c r="E816" s="2" t="s">
        <v>172</v>
      </c>
      <c r="F816" s="2" t="s">
        <v>173</v>
      </c>
      <c r="G816" s="2" t="s">
        <v>21</v>
      </c>
      <c r="H816">
        <v>1</v>
      </c>
      <c r="I816" s="2" t="s">
        <v>526</v>
      </c>
      <c r="J816" s="3">
        <v>1</v>
      </c>
      <c r="K816" s="3">
        <v>5.2488000000000001</v>
      </c>
      <c r="L816" s="508">
        <v>49049.282578315666</v>
      </c>
      <c r="M816" s="508">
        <v>0</v>
      </c>
      <c r="N816" s="508">
        <v>49049.282578315666</v>
      </c>
      <c r="O816" s="508">
        <v>2.4224868423800023</v>
      </c>
      <c r="Q816" s="2"/>
      <c r="R816" s="3"/>
      <c r="S816" s="3"/>
      <c r="T816" s="508"/>
      <c r="U816" s="508"/>
      <c r="V816" s="508"/>
      <c r="W816" s="508"/>
      <c r="X816" s="508">
        <v>49051.705065158043</v>
      </c>
      <c r="Y816" s="508"/>
      <c r="Z816" s="508">
        <v>257462.58954600155</v>
      </c>
      <c r="AA816" s="508"/>
      <c r="AB816" s="508"/>
      <c r="AC816" s="508"/>
      <c r="AD816" s="508"/>
      <c r="AE816" s="508"/>
      <c r="AF816" s="508"/>
      <c r="AG816" s="508"/>
      <c r="AH816" s="508">
        <v>0</v>
      </c>
      <c r="AI816" s="508"/>
      <c r="AJ816" s="508"/>
      <c r="AK816" s="508"/>
      <c r="AL816" s="508"/>
      <c r="AM816" s="508"/>
      <c r="AN816" s="508"/>
      <c r="AO816" s="508"/>
    </row>
    <row r="817" spans="1:41">
      <c r="A817" s="2" t="s">
        <v>1002</v>
      </c>
      <c r="B817" s="2" t="s">
        <v>179</v>
      </c>
      <c r="C817" s="2" t="s">
        <v>175</v>
      </c>
      <c r="D817" s="2" t="s">
        <v>25</v>
      </c>
      <c r="E817" s="2" t="s">
        <v>172</v>
      </c>
      <c r="F817" s="2" t="s">
        <v>173</v>
      </c>
      <c r="G817" s="2" t="s">
        <v>21</v>
      </c>
      <c r="H817">
        <v>1</v>
      </c>
      <c r="I817" s="2" t="s">
        <v>526</v>
      </c>
      <c r="J817" s="3">
        <v>1</v>
      </c>
      <c r="K817" s="3">
        <v>5.2488000000000001</v>
      </c>
      <c r="L817" s="508">
        <v>312773.28327946464</v>
      </c>
      <c r="M817" s="508">
        <v>0</v>
      </c>
      <c r="N817" s="508">
        <v>312773.28327946464</v>
      </c>
      <c r="O817" s="508">
        <v>242.05176172075716</v>
      </c>
      <c r="Q817" s="2"/>
      <c r="R817" s="3"/>
      <c r="S817" s="3"/>
      <c r="T817" s="508"/>
      <c r="U817" s="508"/>
      <c r="V817" s="508"/>
      <c r="W817" s="508"/>
      <c r="X817" s="508">
        <v>313015.33504118538</v>
      </c>
      <c r="Y817" s="508"/>
      <c r="Z817" s="508">
        <v>1642954.8905641739</v>
      </c>
      <c r="AA817" s="508"/>
      <c r="AB817" s="508"/>
      <c r="AC817" s="508"/>
      <c r="AD817" s="508"/>
      <c r="AE817" s="508"/>
      <c r="AF817" s="508"/>
      <c r="AG817" s="508"/>
      <c r="AH817" s="508">
        <v>0</v>
      </c>
      <c r="AI817" s="508"/>
      <c r="AJ817" s="508"/>
      <c r="AK817" s="508"/>
      <c r="AL817" s="508"/>
      <c r="AM817" s="508"/>
      <c r="AN817" s="508"/>
      <c r="AO817" s="508"/>
    </row>
    <row r="818" spans="1:41">
      <c r="A818" s="2" t="s">
        <v>1003</v>
      </c>
      <c r="B818" s="2" t="s">
        <v>1004</v>
      </c>
      <c r="C818" s="2" t="s">
        <v>175</v>
      </c>
      <c r="D818" s="2" t="s">
        <v>25</v>
      </c>
      <c r="E818" s="2" t="s">
        <v>172</v>
      </c>
      <c r="F818" s="2" t="s">
        <v>173</v>
      </c>
      <c r="G818" s="2" t="s">
        <v>21</v>
      </c>
      <c r="H818">
        <v>1</v>
      </c>
      <c r="I818" s="2" t="s">
        <v>526</v>
      </c>
      <c r="J818" s="3">
        <v>1</v>
      </c>
      <c r="K818" s="3">
        <v>5.2488000000000001</v>
      </c>
      <c r="L818" s="508">
        <v>521288.80546577438</v>
      </c>
      <c r="M818" s="508">
        <v>0</v>
      </c>
      <c r="N818" s="508">
        <v>521288.80546577438</v>
      </c>
      <c r="O818" s="508">
        <v>1427.7521125586925</v>
      </c>
      <c r="Q818" s="2"/>
      <c r="R818" s="3"/>
      <c r="S818" s="3"/>
      <c r="T818" s="508"/>
      <c r="U818" s="508"/>
      <c r="V818" s="508"/>
      <c r="W818" s="508"/>
      <c r="X818" s="508">
        <v>522716.55757833307</v>
      </c>
      <c r="Y818" s="508"/>
      <c r="Z818" s="508">
        <v>2743634.6674171546</v>
      </c>
      <c r="AA818" s="508"/>
      <c r="AB818" s="508"/>
      <c r="AC818" s="508"/>
      <c r="AD818" s="508"/>
      <c r="AE818" s="508"/>
      <c r="AF818" s="508"/>
      <c r="AG818" s="508"/>
      <c r="AH818" s="508">
        <v>0</v>
      </c>
      <c r="AI818" s="508"/>
      <c r="AJ818" s="508"/>
      <c r="AK818" s="508"/>
      <c r="AL818" s="508"/>
      <c r="AM818" s="508"/>
      <c r="AN818" s="508"/>
      <c r="AO818" s="508"/>
    </row>
    <row r="819" spans="1:41">
      <c r="A819" s="2" t="s">
        <v>1005</v>
      </c>
      <c r="B819" s="2" t="s">
        <v>194</v>
      </c>
      <c r="C819" s="2" t="s">
        <v>175</v>
      </c>
      <c r="D819" s="2" t="s">
        <v>25</v>
      </c>
      <c r="E819" s="2" t="s">
        <v>172</v>
      </c>
      <c r="F819" s="2" t="s">
        <v>173</v>
      </c>
      <c r="G819" s="2" t="s">
        <v>21</v>
      </c>
      <c r="H819">
        <v>1</v>
      </c>
      <c r="I819" s="2" t="s">
        <v>526</v>
      </c>
      <c r="J819" s="3">
        <v>1</v>
      </c>
      <c r="K819" s="3">
        <v>5.2488000000000001</v>
      </c>
      <c r="L819" s="508">
        <v>470343.68715415429</v>
      </c>
      <c r="M819" s="508">
        <v>0</v>
      </c>
      <c r="N819" s="508">
        <v>470343.68715415429</v>
      </c>
      <c r="O819" s="508">
        <v>333.81335640315808</v>
      </c>
      <c r="Q819" s="2"/>
      <c r="R819" s="3"/>
      <c r="S819" s="3"/>
      <c r="T819" s="508"/>
      <c r="U819" s="508"/>
      <c r="V819" s="508"/>
      <c r="W819" s="508"/>
      <c r="X819" s="508">
        <v>470677.50051055744</v>
      </c>
      <c r="Y819" s="508"/>
      <c r="Z819" s="508">
        <v>2470492.064679814</v>
      </c>
      <c r="AA819" s="508"/>
      <c r="AB819" s="508"/>
      <c r="AC819" s="508"/>
      <c r="AD819" s="508"/>
      <c r="AE819" s="508"/>
      <c r="AF819" s="508"/>
      <c r="AG819" s="508"/>
      <c r="AH819" s="508">
        <v>0</v>
      </c>
      <c r="AI819" s="508"/>
      <c r="AJ819" s="508"/>
      <c r="AK819" s="508"/>
      <c r="AL819" s="508"/>
      <c r="AM819" s="508"/>
      <c r="AN819" s="508"/>
      <c r="AO819" s="508"/>
    </row>
    <row r="820" spans="1:41">
      <c r="A820" s="2" t="s">
        <v>1006</v>
      </c>
      <c r="B820" s="2" t="s">
        <v>180</v>
      </c>
      <c r="C820" s="2" t="s">
        <v>175</v>
      </c>
      <c r="D820" s="2" t="s">
        <v>25</v>
      </c>
      <c r="E820" s="2" t="s">
        <v>172</v>
      </c>
      <c r="F820" s="2" t="s">
        <v>173</v>
      </c>
      <c r="G820" s="2" t="s">
        <v>21</v>
      </c>
      <c r="H820">
        <v>1</v>
      </c>
      <c r="I820" s="2" t="s">
        <v>526</v>
      </c>
      <c r="J820" s="3">
        <v>1</v>
      </c>
      <c r="K820" s="3">
        <v>5.2488000000000001</v>
      </c>
      <c r="L820" s="508">
        <v>376274.9497233234</v>
      </c>
      <c r="M820" s="508">
        <v>0</v>
      </c>
      <c r="N820" s="508">
        <v>376274.9497233234</v>
      </c>
      <c r="O820" s="508">
        <v>307.29119326259126</v>
      </c>
      <c r="Q820" s="2"/>
      <c r="R820" s="3"/>
      <c r="S820" s="3"/>
      <c r="T820" s="508"/>
      <c r="U820" s="508"/>
      <c r="V820" s="508"/>
      <c r="W820" s="508"/>
      <c r="X820" s="508">
        <v>376582.24091658602</v>
      </c>
      <c r="Y820" s="508"/>
      <c r="Z820" s="508">
        <v>1976604.8661229766</v>
      </c>
      <c r="AA820" s="508"/>
      <c r="AB820" s="508"/>
      <c r="AC820" s="508"/>
      <c r="AD820" s="508"/>
      <c r="AE820" s="508"/>
      <c r="AF820" s="508"/>
      <c r="AG820" s="508"/>
      <c r="AH820" s="508">
        <v>0</v>
      </c>
      <c r="AI820" s="508"/>
      <c r="AJ820" s="508"/>
      <c r="AK820" s="508"/>
      <c r="AL820" s="508"/>
      <c r="AM820" s="508"/>
      <c r="AN820" s="508"/>
      <c r="AO820" s="508"/>
    </row>
    <row r="821" spans="1:41">
      <c r="A821" s="2" t="s">
        <v>1007</v>
      </c>
      <c r="B821" s="2" t="s">
        <v>1008</v>
      </c>
      <c r="C821" s="2" t="s">
        <v>175</v>
      </c>
      <c r="D821" s="2" t="s">
        <v>25</v>
      </c>
      <c r="E821" s="2" t="s">
        <v>172</v>
      </c>
      <c r="F821" s="2" t="s">
        <v>173</v>
      </c>
      <c r="G821" s="2" t="s">
        <v>21</v>
      </c>
      <c r="H821">
        <v>1</v>
      </c>
      <c r="I821" s="2" t="s">
        <v>526</v>
      </c>
      <c r="J821" s="3">
        <v>1</v>
      </c>
      <c r="K821" s="3">
        <v>5.2488000000000001</v>
      </c>
      <c r="L821" s="508">
        <v>1115253.3940409226</v>
      </c>
      <c r="M821" s="508">
        <v>0</v>
      </c>
      <c r="N821" s="508">
        <v>1115253.3940409226</v>
      </c>
      <c r="O821" s="508">
        <v>731.11058440351462</v>
      </c>
      <c r="Q821" s="2"/>
      <c r="R821" s="3"/>
      <c r="S821" s="3"/>
      <c r="T821" s="508"/>
      <c r="U821" s="508"/>
      <c r="V821" s="508"/>
      <c r="W821" s="508"/>
      <c r="X821" s="508">
        <v>1115984.5046253263</v>
      </c>
      <c r="Y821" s="508"/>
      <c r="Z821" s="508">
        <v>5857579.4678774122</v>
      </c>
      <c r="AA821" s="508"/>
      <c r="AB821" s="508"/>
      <c r="AC821" s="508"/>
      <c r="AD821" s="508"/>
      <c r="AE821" s="508"/>
      <c r="AF821" s="508"/>
      <c r="AG821" s="508"/>
      <c r="AH821" s="508">
        <v>0</v>
      </c>
      <c r="AI821" s="508"/>
      <c r="AJ821" s="508"/>
      <c r="AK821" s="508"/>
      <c r="AL821" s="508"/>
      <c r="AM821" s="508"/>
      <c r="AN821" s="508"/>
      <c r="AO821" s="508"/>
    </row>
    <row r="822" spans="1:41">
      <c r="A822" s="2" t="s">
        <v>1009</v>
      </c>
      <c r="B822" s="2" t="s">
        <v>1008</v>
      </c>
      <c r="C822" s="2" t="s">
        <v>175</v>
      </c>
      <c r="D822" s="2" t="s">
        <v>25</v>
      </c>
      <c r="E822" s="2" t="s">
        <v>172</v>
      </c>
      <c r="F822" s="2" t="s">
        <v>173</v>
      </c>
      <c r="G822" s="2" t="s">
        <v>21</v>
      </c>
      <c r="H822">
        <v>1</v>
      </c>
      <c r="I822" s="2" t="s">
        <v>526</v>
      </c>
      <c r="J822" s="3">
        <v>1</v>
      </c>
      <c r="K822" s="3">
        <v>5.2488000000000001</v>
      </c>
      <c r="L822" s="508">
        <v>1173950.9410957084</v>
      </c>
      <c r="M822" s="508">
        <v>0</v>
      </c>
      <c r="N822" s="508">
        <v>1173950.9410957084</v>
      </c>
      <c r="O822" s="508">
        <v>776.11199801381895</v>
      </c>
      <c r="Q822" s="2"/>
      <c r="R822" s="3"/>
      <c r="S822" s="3"/>
      <c r="T822" s="508"/>
      <c r="U822" s="508"/>
      <c r="V822" s="508"/>
      <c r="W822" s="508"/>
      <c r="X822" s="508">
        <v>1174727.0530937223</v>
      </c>
      <c r="Y822" s="508"/>
      <c r="Z822" s="508">
        <v>6165907.3562783301</v>
      </c>
      <c r="AA822" s="508"/>
      <c r="AB822" s="508"/>
      <c r="AC822" s="508"/>
      <c r="AD822" s="508"/>
      <c r="AE822" s="508"/>
      <c r="AF822" s="508"/>
      <c r="AG822" s="508"/>
      <c r="AH822" s="508">
        <v>0</v>
      </c>
      <c r="AI822" s="508"/>
      <c r="AJ822" s="508"/>
      <c r="AK822" s="508"/>
      <c r="AL822" s="508"/>
      <c r="AM822" s="508"/>
      <c r="AN822" s="508"/>
      <c r="AO822" s="508"/>
    </row>
    <row r="823" spans="1:41">
      <c r="A823" s="2" t="s">
        <v>258</v>
      </c>
      <c r="B823" s="2" t="s">
        <v>259</v>
      </c>
      <c r="C823" s="2" t="s">
        <v>219</v>
      </c>
      <c r="D823" s="2" t="s">
        <v>25</v>
      </c>
      <c r="E823" s="2" t="s">
        <v>172</v>
      </c>
      <c r="F823" s="2" t="s">
        <v>173</v>
      </c>
      <c r="G823" s="2" t="s">
        <v>21</v>
      </c>
      <c r="H823">
        <v>1</v>
      </c>
      <c r="I823" s="2" t="s">
        <v>526</v>
      </c>
      <c r="J823" s="3">
        <v>1</v>
      </c>
      <c r="K823" s="3">
        <v>5.2488000000000001</v>
      </c>
      <c r="L823" s="508">
        <v>1.47147847734947E-4</v>
      </c>
      <c r="M823" s="508">
        <v>0</v>
      </c>
      <c r="N823" s="508">
        <v>1.47147847734947E-4</v>
      </c>
      <c r="O823" s="508">
        <v>0</v>
      </c>
      <c r="Q823" s="2"/>
      <c r="R823" s="3"/>
      <c r="S823" s="3"/>
      <c r="T823" s="508"/>
      <c r="U823" s="508"/>
      <c r="V823" s="508"/>
      <c r="W823" s="508"/>
      <c r="X823" s="508">
        <v>1.47147847734947E-4</v>
      </c>
      <c r="Y823" s="508"/>
      <c r="Z823" s="508">
        <v>7.7234962319118982E-4</v>
      </c>
      <c r="AA823" s="508"/>
      <c r="AB823" s="508"/>
      <c r="AC823" s="508"/>
      <c r="AD823" s="508"/>
      <c r="AE823" s="508"/>
      <c r="AF823" s="508"/>
      <c r="AG823" s="508"/>
      <c r="AH823" s="508">
        <v>0</v>
      </c>
      <c r="AI823" s="508"/>
      <c r="AJ823" s="508"/>
      <c r="AK823" s="508"/>
      <c r="AL823" s="508"/>
      <c r="AM823" s="508"/>
      <c r="AN823" s="508"/>
      <c r="AO823" s="508"/>
    </row>
    <row r="824" spans="1:41">
      <c r="A824" s="2" t="s">
        <v>1012</v>
      </c>
      <c r="B824" s="2" t="s">
        <v>1013</v>
      </c>
      <c r="C824" s="2" t="s">
        <v>1014</v>
      </c>
      <c r="D824" s="2" t="s">
        <v>18</v>
      </c>
      <c r="E824" s="2" t="s">
        <v>19</v>
      </c>
      <c r="F824" s="2" t="s">
        <v>20</v>
      </c>
      <c r="G824" s="2" t="s">
        <v>57</v>
      </c>
      <c r="H824">
        <v>1</v>
      </c>
      <c r="I824" s="2" t="s">
        <v>526</v>
      </c>
      <c r="J824" s="3">
        <v>0.15684552284455039</v>
      </c>
      <c r="K824" s="3">
        <v>5.2488000000000001</v>
      </c>
      <c r="L824" s="508">
        <v>150680.19944178453</v>
      </c>
      <c r="M824" s="508">
        <v>0</v>
      </c>
      <c r="N824" s="508">
        <v>150680.19944178453</v>
      </c>
      <c r="O824" s="508">
        <v>0</v>
      </c>
      <c r="Q824" s="2"/>
      <c r="R824" s="3"/>
      <c r="S824" s="3"/>
      <c r="T824" s="508"/>
      <c r="U824" s="508"/>
      <c r="V824" s="508"/>
      <c r="W824" s="508"/>
      <c r="X824" s="508">
        <v>150680.19944178453</v>
      </c>
      <c r="Y824" s="508"/>
      <c r="Z824" s="508">
        <v>790890.23083003866</v>
      </c>
      <c r="AA824" s="508"/>
      <c r="AB824" s="508"/>
      <c r="AC824" s="508"/>
      <c r="AD824" s="508"/>
      <c r="AE824" s="508"/>
      <c r="AF824" s="508"/>
      <c r="AG824" s="508"/>
      <c r="AH824" s="508">
        <v>0</v>
      </c>
      <c r="AI824" s="508"/>
      <c r="AJ824" s="508"/>
      <c r="AK824" s="508"/>
      <c r="AL824" s="508"/>
      <c r="AM824" s="508"/>
      <c r="AN824" s="508"/>
      <c r="AO824" s="508"/>
    </row>
    <row r="825" spans="1:41">
      <c r="A825" s="2" t="s">
        <v>1015</v>
      </c>
      <c r="B825" s="2" t="s">
        <v>1013</v>
      </c>
      <c r="C825" s="2" t="s">
        <v>1014</v>
      </c>
      <c r="D825" s="2" t="s">
        <v>18</v>
      </c>
      <c r="E825" s="2" t="s">
        <v>19</v>
      </c>
      <c r="F825" s="2" t="s">
        <v>20</v>
      </c>
      <c r="G825" s="2" t="s">
        <v>57</v>
      </c>
      <c r="H825">
        <v>1</v>
      </c>
      <c r="I825" s="2" t="s">
        <v>526</v>
      </c>
      <c r="J825" s="3">
        <v>0.15684552284455039</v>
      </c>
      <c r="K825" s="3">
        <v>5.2488000000000001</v>
      </c>
      <c r="L825" s="508">
        <v>104359.98998375447</v>
      </c>
      <c r="M825" s="508">
        <v>0</v>
      </c>
      <c r="N825" s="508">
        <v>104359.98998375447</v>
      </c>
      <c r="O825" s="508">
        <v>0</v>
      </c>
      <c r="Q825" s="2"/>
      <c r="R825" s="3"/>
      <c r="S825" s="3"/>
      <c r="T825" s="508"/>
      <c r="U825" s="508"/>
      <c r="V825" s="508"/>
      <c r="W825" s="508"/>
      <c r="X825" s="508">
        <v>104359.98998375447</v>
      </c>
      <c r="Y825" s="508"/>
      <c r="Z825" s="508">
        <v>547764.71542673046</v>
      </c>
      <c r="AA825" s="508"/>
      <c r="AB825" s="508"/>
      <c r="AC825" s="508"/>
      <c r="AD825" s="508"/>
      <c r="AE825" s="508"/>
      <c r="AF825" s="508"/>
      <c r="AG825" s="508"/>
      <c r="AH825" s="508">
        <v>0</v>
      </c>
      <c r="AI825" s="508"/>
      <c r="AJ825" s="508"/>
      <c r="AK825" s="508"/>
      <c r="AL825" s="508"/>
      <c r="AM825" s="508"/>
      <c r="AN825" s="508"/>
      <c r="AO825" s="508"/>
    </row>
    <row r="826" spans="1:41">
      <c r="A826" s="2" t="s">
        <v>1040</v>
      </c>
      <c r="B826" s="2" t="s">
        <v>288</v>
      </c>
      <c r="C826" s="2" t="s">
        <v>278</v>
      </c>
      <c r="D826" s="2" t="s">
        <v>25</v>
      </c>
      <c r="E826" s="2" t="s">
        <v>280</v>
      </c>
      <c r="F826" s="2" t="s">
        <v>281</v>
      </c>
      <c r="G826" s="2" t="s">
        <v>21</v>
      </c>
      <c r="H826">
        <v>1</v>
      </c>
      <c r="I826" s="2" t="s">
        <v>526</v>
      </c>
      <c r="J826" s="3">
        <v>1</v>
      </c>
      <c r="K826" s="3">
        <v>5.2488000000000001</v>
      </c>
      <c r="L826" s="508">
        <v>81611.139146345755</v>
      </c>
      <c r="M826" s="508">
        <v>0</v>
      </c>
      <c r="N826" s="508">
        <v>81611.139146345755</v>
      </c>
      <c r="O826" s="508">
        <v>0</v>
      </c>
      <c r="Q826" s="2"/>
      <c r="R826" s="3"/>
      <c r="S826" s="3"/>
      <c r="T826" s="508"/>
      <c r="U826" s="508"/>
      <c r="V826" s="508"/>
      <c r="W826" s="508"/>
      <c r="X826" s="508">
        <v>81611.139146345755</v>
      </c>
      <c r="Y826" s="508"/>
      <c r="Z826" s="508">
        <v>428360.54715133959</v>
      </c>
      <c r="AA826" s="508"/>
      <c r="AB826" s="508"/>
      <c r="AC826" s="508"/>
      <c r="AD826" s="508"/>
      <c r="AE826" s="508"/>
      <c r="AF826" s="508"/>
      <c r="AG826" s="508"/>
      <c r="AH826" s="508">
        <v>0</v>
      </c>
      <c r="AI826" s="508"/>
      <c r="AJ826" s="508"/>
      <c r="AK826" s="508"/>
      <c r="AL826" s="508"/>
      <c r="AM826" s="508"/>
      <c r="AN826" s="508"/>
      <c r="AO826" s="508"/>
    </row>
    <row r="827" spans="1:41">
      <c r="A827" s="2" t="s">
        <v>1041</v>
      </c>
      <c r="B827" s="2" t="s">
        <v>288</v>
      </c>
      <c r="C827" s="2" t="s">
        <v>278</v>
      </c>
      <c r="D827" s="2" t="s">
        <v>25</v>
      </c>
      <c r="E827" s="2" t="s">
        <v>280</v>
      </c>
      <c r="F827" s="2" t="s">
        <v>281</v>
      </c>
      <c r="G827" s="2" t="s">
        <v>21</v>
      </c>
      <c r="H827">
        <v>1</v>
      </c>
      <c r="I827" s="2" t="s">
        <v>526</v>
      </c>
      <c r="J827" s="3">
        <v>1</v>
      </c>
      <c r="K827" s="3">
        <v>5.2488000000000001</v>
      </c>
      <c r="L827" s="508">
        <v>48986.472101041152</v>
      </c>
      <c r="M827" s="508">
        <v>0</v>
      </c>
      <c r="N827" s="508">
        <v>48986.472101041152</v>
      </c>
      <c r="O827" s="508">
        <v>0</v>
      </c>
      <c r="Q827" s="2"/>
      <c r="R827" s="3"/>
      <c r="S827" s="3"/>
      <c r="T827" s="508"/>
      <c r="U827" s="508"/>
      <c r="V827" s="508"/>
      <c r="W827" s="508"/>
      <c r="X827" s="508">
        <v>48986.472101041152</v>
      </c>
      <c r="Y827" s="508"/>
      <c r="Z827" s="508">
        <v>257120.1947639448</v>
      </c>
      <c r="AA827" s="508"/>
      <c r="AB827" s="508"/>
      <c r="AC827" s="508"/>
      <c r="AD827" s="508"/>
      <c r="AE827" s="508"/>
      <c r="AF827" s="508"/>
      <c r="AG827" s="508"/>
      <c r="AH827" s="508">
        <v>0</v>
      </c>
      <c r="AI827" s="508"/>
      <c r="AJ827" s="508"/>
      <c r="AK827" s="508"/>
      <c r="AL827" s="508"/>
      <c r="AM827" s="508"/>
      <c r="AN827" s="508"/>
      <c r="AO827" s="508"/>
    </row>
    <row r="828" spans="1:41">
      <c r="A828" s="2" t="s">
        <v>1042</v>
      </c>
      <c r="B828" s="2" t="s">
        <v>288</v>
      </c>
      <c r="C828" s="2" t="s">
        <v>278</v>
      </c>
      <c r="D828" s="2" t="s">
        <v>25</v>
      </c>
      <c r="E828" s="2" t="s">
        <v>280</v>
      </c>
      <c r="F828" s="2" t="s">
        <v>281</v>
      </c>
      <c r="G828" s="2" t="s">
        <v>21</v>
      </c>
      <c r="H828">
        <v>1</v>
      </c>
      <c r="I828" s="2" t="s">
        <v>526</v>
      </c>
      <c r="J828" s="3">
        <v>1</v>
      </c>
      <c r="K828" s="3">
        <v>5.2488000000000001</v>
      </c>
      <c r="L828" s="508">
        <v>81533.093449404114</v>
      </c>
      <c r="M828" s="508">
        <v>0</v>
      </c>
      <c r="N828" s="508">
        <v>81533.093449404114</v>
      </c>
      <c r="O828" s="508">
        <v>0</v>
      </c>
      <c r="Q828" s="2"/>
      <c r="R828" s="3"/>
      <c r="S828" s="3"/>
      <c r="T828" s="508"/>
      <c r="U828" s="508"/>
      <c r="V828" s="508"/>
      <c r="W828" s="508"/>
      <c r="X828" s="508">
        <v>81533.093449404114</v>
      </c>
      <c r="Y828" s="508"/>
      <c r="Z828" s="508">
        <v>427950.90089723235</v>
      </c>
      <c r="AA828" s="508"/>
      <c r="AB828" s="508"/>
      <c r="AC828" s="508"/>
      <c r="AD828" s="508"/>
      <c r="AE828" s="508"/>
      <c r="AF828" s="508"/>
      <c r="AG828" s="508"/>
      <c r="AH828" s="508">
        <v>0</v>
      </c>
      <c r="AI828" s="508"/>
      <c r="AJ828" s="508"/>
      <c r="AK828" s="508"/>
      <c r="AL828" s="508"/>
      <c r="AM828" s="508"/>
      <c r="AN828" s="508"/>
      <c r="AO828" s="508"/>
    </row>
    <row r="829" spans="1:41">
      <c r="A829" s="2" t="s">
        <v>1064</v>
      </c>
      <c r="B829" s="2" t="s">
        <v>1060</v>
      </c>
      <c r="C829" s="2" t="s">
        <v>328</v>
      </c>
      <c r="D829" s="2" t="s">
        <v>18</v>
      </c>
      <c r="E829" s="2" t="s">
        <v>19</v>
      </c>
      <c r="F829" s="2" t="s">
        <v>20</v>
      </c>
      <c r="G829" s="2" t="s">
        <v>21</v>
      </c>
      <c r="H829">
        <v>1</v>
      </c>
      <c r="I829" s="2" t="s">
        <v>526</v>
      </c>
      <c r="J829" s="3">
        <v>1</v>
      </c>
      <c r="K829" s="3">
        <v>5.2488000000000001</v>
      </c>
      <c r="L829" s="508">
        <v>2411.9224277265039</v>
      </c>
      <c r="M829" s="508">
        <v>0</v>
      </c>
      <c r="N829" s="508">
        <v>2411.9224277265039</v>
      </c>
      <c r="O829" s="508">
        <v>48.573427328521248</v>
      </c>
      <c r="Q829" s="2"/>
      <c r="R829" s="3"/>
      <c r="S829" s="3"/>
      <c r="T829" s="508"/>
      <c r="U829" s="508"/>
      <c r="V829" s="508"/>
      <c r="W829" s="508"/>
      <c r="X829" s="508">
        <v>2460.495855055025</v>
      </c>
      <c r="Y829" s="508"/>
      <c r="Z829" s="508">
        <v>12914.650644012816</v>
      </c>
      <c r="AA829" s="508"/>
      <c r="AB829" s="508"/>
      <c r="AC829" s="508"/>
      <c r="AD829" s="508"/>
      <c r="AE829" s="508"/>
      <c r="AF829" s="508"/>
      <c r="AG829" s="508"/>
      <c r="AH829" s="508">
        <v>0</v>
      </c>
      <c r="AI829" s="508"/>
      <c r="AJ829" s="508"/>
      <c r="AK829" s="508"/>
      <c r="AL829" s="508"/>
      <c r="AM829" s="508"/>
      <c r="AN829" s="508"/>
      <c r="AO829" s="508"/>
    </row>
    <row r="830" spans="1:41">
      <c r="A830" s="2" t="s">
        <v>1065</v>
      </c>
      <c r="B830" s="2" t="s">
        <v>1066</v>
      </c>
      <c r="C830" s="2" t="s">
        <v>328</v>
      </c>
      <c r="D830" s="2" t="s">
        <v>30</v>
      </c>
      <c r="E830" s="2" t="s">
        <v>19</v>
      </c>
      <c r="F830" s="2" t="s">
        <v>20</v>
      </c>
      <c r="G830" s="2" t="s">
        <v>21</v>
      </c>
      <c r="H830">
        <v>1</v>
      </c>
      <c r="I830" s="2" t="s">
        <v>526</v>
      </c>
      <c r="J830" s="3">
        <v>1</v>
      </c>
      <c r="K830" s="3">
        <v>5.2488000000000001</v>
      </c>
      <c r="L830" s="508">
        <v>1251.1142078300504</v>
      </c>
      <c r="M830" s="508">
        <v>0</v>
      </c>
      <c r="N830" s="508">
        <v>1251.1142078300504</v>
      </c>
      <c r="O830" s="508">
        <v>30.235244344436644</v>
      </c>
      <c r="Q830" s="2"/>
      <c r="R830" s="3"/>
      <c r="S830" s="3"/>
      <c r="T830" s="508"/>
      <c r="U830" s="508"/>
      <c r="V830" s="508"/>
      <c r="W830" s="508"/>
      <c r="X830" s="508">
        <v>1281.3494521744872</v>
      </c>
      <c r="Y830" s="508"/>
      <c r="Z830" s="508">
        <v>6725.5470045734482</v>
      </c>
      <c r="AA830" s="508"/>
      <c r="AB830" s="508"/>
      <c r="AC830" s="508"/>
      <c r="AD830" s="508"/>
      <c r="AE830" s="508"/>
      <c r="AF830" s="508"/>
      <c r="AG830" s="508"/>
      <c r="AH830" s="508">
        <v>0</v>
      </c>
      <c r="AI830" s="508"/>
      <c r="AJ830" s="508"/>
      <c r="AK830" s="508"/>
      <c r="AL830" s="508"/>
      <c r="AM830" s="508"/>
      <c r="AN830" s="508"/>
      <c r="AO830" s="508"/>
    </row>
    <row r="831" spans="1:41">
      <c r="A831" s="2" t="s">
        <v>1067</v>
      </c>
      <c r="B831" s="2" t="s">
        <v>1060</v>
      </c>
      <c r="C831" s="2" t="s">
        <v>328</v>
      </c>
      <c r="D831" s="2" t="s">
        <v>18</v>
      </c>
      <c r="E831" s="2" t="s">
        <v>19</v>
      </c>
      <c r="F831" s="2" t="s">
        <v>20</v>
      </c>
      <c r="G831" s="2" t="s">
        <v>21</v>
      </c>
      <c r="H831">
        <v>1</v>
      </c>
      <c r="I831" s="2" t="s">
        <v>526</v>
      </c>
      <c r="J831" s="3">
        <v>1</v>
      </c>
      <c r="K831" s="3">
        <v>5.2488000000000001</v>
      </c>
      <c r="L831" s="508">
        <v>5408.9524022727746</v>
      </c>
      <c r="M831" s="508">
        <v>0</v>
      </c>
      <c r="N831" s="508">
        <v>5408.9524022727746</v>
      </c>
      <c r="O831" s="508">
        <v>120.9501961140148</v>
      </c>
      <c r="Q831" s="2"/>
      <c r="R831" s="3"/>
      <c r="S831" s="3"/>
      <c r="T831" s="508"/>
      <c r="U831" s="508"/>
      <c r="V831" s="508"/>
      <c r="W831" s="508"/>
      <c r="X831" s="508">
        <v>5529.9025983867896</v>
      </c>
      <c r="Y831" s="508"/>
      <c r="Z831" s="508">
        <v>29025.35275841258</v>
      </c>
      <c r="AA831" s="508"/>
      <c r="AB831" s="508"/>
      <c r="AC831" s="508"/>
      <c r="AD831" s="508"/>
      <c r="AE831" s="508"/>
      <c r="AF831" s="508"/>
      <c r="AG831" s="508"/>
      <c r="AH831" s="508">
        <v>0</v>
      </c>
      <c r="AI831" s="508"/>
      <c r="AJ831" s="508"/>
      <c r="AK831" s="508"/>
      <c r="AL831" s="508"/>
      <c r="AM831" s="508"/>
      <c r="AN831" s="508"/>
      <c r="AO831" s="508"/>
    </row>
    <row r="832" spans="1:41">
      <c r="A832" s="2" t="s">
        <v>1220</v>
      </c>
      <c r="B832" s="2" t="s">
        <v>353</v>
      </c>
      <c r="C832" s="2" t="s">
        <v>328</v>
      </c>
      <c r="D832" s="2" t="s">
        <v>18</v>
      </c>
      <c r="E832" s="2" t="s">
        <v>19</v>
      </c>
      <c r="F832" s="2" t="s">
        <v>20</v>
      </c>
      <c r="G832" s="2" t="s">
        <v>21</v>
      </c>
      <c r="H832">
        <v>1</v>
      </c>
      <c r="I832" s="2" t="s">
        <v>526</v>
      </c>
      <c r="J832" s="3">
        <v>1</v>
      </c>
      <c r="K832" s="3">
        <v>5.2488000000000001</v>
      </c>
      <c r="L832" s="508">
        <v>17067.611839451027</v>
      </c>
      <c r="M832" s="508">
        <v>0</v>
      </c>
      <c r="N832" s="508">
        <v>17067.611839451027</v>
      </c>
      <c r="O832" s="508">
        <v>469.35932147607491</v>
      </c>
      <c r="Q832" s="2"/>
      <c r="R832" s="3"/>
      <c r="S832" s="3"/>
      <c r="T832" s="508"/>
      <c r="U832" s="508"/>
      <c r="V832" s="508"/>
      <c r="W832" s="508"/>
      <c r="X832" s="508">
        <v>17536.971160927103</v>
      </c>
      <c r="Y832" s="508"/>
      <c r="Z832" s="508">
        <v>92048.05422947419</v>
      </c>
      <c r="AA832" s="508"/>
      <c r="AB832" s="508"/>
      <c r="AC832" s="508"/>
      <c r="AD832" s="508"/>
      <c r="AE832" s="508"/>
      <c r="AF832" s="508"/>
      <c r="AG832" s="508"/>
      <c r="AH832" s="508">
        <v>0</v>
      </c>
      <c r="AI832" s="508"/>
      <c r="AJ832" s="508"/>
      <c r="AK832" s="508"/>
      <c r="AL832" s="508"/>
      <c r="AM832" s="508"/>
      <c r="AN832" s="508"/>
      <c r="AO832" s="508"/>
    </row>
    <row r="833" spans="1:41">
      <c r="A833" s="2" t="s">
        <v>1221</v>
      </c>
      <c r="B833" s="2" t="s">
        <v>358</v>
      </c>
      <c r="C833" s="2" t="s">
        <v>328</v>
      </c>
      <c r="D833" s="2" t="s">
        <v>18</v>
      </c>
      <c r="E833" s="2" t="s">
        <v>19</v>
      </c>
      <c r="F833" s="2" t="s">
        <v>20</v>
      </c>
      <c r="G833" s="2" t="s">
        <v>21</v>
      </c>
      <c r="H833">
        <v>1</v>
      </c>
      <c r="I833" s="2" t="s">
        <v>526</v>
      </c>
      <c r="J833" s="3">
        <v>1</v>
      </c>
      <c r="K833" s="3">
        <v>5.2488000000000001</v>
      </c>
      <c r="L833" s="508">
        <v>13944.734930732242</v>
      </c>
      <c r="M833" s="508">
        <v>0</v>
      </c>
      <c r="N833" s="508">
        <v>13944.734930732242</v>
      </c>
      <c r="O833" s="508">
        <v>383.48023172625358</v>
      </c>
      <c r="Q833" s="2"/>
      <c r="R833" s="3"/>
      <c r="S833" s="3"/>
      <c r="T833" s="508"/>
      <c r="U833" s="508"/>
      <c r="V833" s="508"/>
      <c r="W833" s="508"/>
      <c r="X833" s="508">
        <v>14328.215162458495</v>
      </c>
      <c r="Y833" s="508"/>
      <c r="Z833" s="508">
        <v>75205.935744712144</v>
      </c>
      <c r="AA833" s="508"/>
      <c r="AB833" s="508"/>
      <c r="AC833" s="508"/>
      <c r="AD833" s="508"/>
      <c r="AE833" s="508"/>
      <c r="AF833" s="508"/>
      <c r="AG833" s="508"/>
      <c r="AH833" s="508">
        <v>0</v>
      </c>
      <c r="AI833" s="508"/>
      <c r="AJ833" s="508"/>
      <c r="AK833" s="508"/>
      <c r="AL833" s="508"/>
      <c r="AM833" s="508"/>
      <c r="AN833" s="508"/>
      <c r="AO833" s="508"/>
    </row>
    <row r="834" spans="1:41">
      <c r="A834" s="2" t="s">
        <v>1222</v>
      </c>
      <c r="B834" s="2" t="s">
        <v>354</v>
      </c>
      <c r="C834" s="2" t="s">
        <v>328</v>
      </c>
      <c r="D834" s="2" t="s">
        <v>18</v>
      </c>
      <c r="E834" s="2" t="s">
        <v>19</v>
      </c>
      <c r="F834" s="2" t="s">
        <v>20</v>
      </c>
      <c r="G834" s="2" t="s">
        <v>21</v>
      </c>
      <c r="H834">
        <v>1</v>
      </c>
      <c r="I834" s="2" t="s">
        <v>526</v>
      </c>
      <c r="J834" s="3">
        <v>1</v>
      </c>
      <c r="K834" s="3">
        <v>5.2488000000000001</v>
      </c>
      <c r="L834" s="508">
        <v>939.16075287656645</v>
      </c>
      <c r="M834" s="508">
        <v>0</v>
      </c>
      <c r="N834" s="508">
        <v>939.16075287656645</v>
      </c>
      <c r="O834" s="508">
        <v>25.826920704105579</v>
      </c>
      <c r="Q834" s="2"/>
      <c r="R834" s="3"/>
      <c r="S834" s="3"/>
      <c r="T834" s="508"/>
      <c r="U834" s="508"/>
      <c r="V834" s="508"/>
      <c r="W834" s="508"/>
      <c r="X834" s="508">
        <v>964.98767358067198</v>
      </c>
      <c r="Y834" s="508"/>
      <c r="Z834" s="508">
        <v>5065.027301090231</v>
      </c>
      <c r="AA834" s="508"/>
      <c r="AB834" s="508"/>
      <c r="AC834" s="508"/>
      <c r="AD834" s="508"/>
      <c r="AE834" s="508"/>
      <c r="AF834" s="508"/>
      <c r="AG834" s="508"/>
      <c r="AH834" s="508">
        <v>0</v>
      </c>
      <c r="AI834" s="508"/>
      <c r="AJ834" s="508"/>
      <c r="AK834" s="508"/>
      <c r="AL834" s="508"/>
      <c r="AM834" s="508"/>
      <c r="AN834" s="508"/>
      <c r="AO834" s="508"/>
    </row>
    <row r="835" spans="1:41">
      <c r="A835" s="2" t="s">
        <v>1223</v>
      </c>
      <c r="B835" s="2" t="s">
        <v>356</v>
      </c>
      <c r="C835" s="2" t="s">
        <v>328</v>
      </c>
      <c r="D835" s="2" t="s">
        <v>18</v>
      </c>
      <c r="E835" s="2" t="s">
        <v>19</v>
      </c>
      <c r="F835" s="2" t="s">
        <v>20</v>
      </c>
      <c r="G835" s="2" t="s">
        <v>21</v>
      </c>
      <c r="H835">
        <v>1</v>
      </c>
      <c r="I835" s="2" t="s">
        <v>526</v>
      </c>
      <c r="J835" s="3">
        <v>1</v>
      </c>
      <c r="K835" s="3">
        <v>5.2488000000000001</v>
      </c>
      <c r="L835" s="508">
        <v>3610.0553967395626</v>
      </c>
      <c r="M835" s="508">
        <v>0</v>
      </c>
      <c r="N835" s="508">
        <v>3610.0553967395626</v>
      </c>
      <c r="O835" s="508">
        <v>99.276570074887886</v>
      </c>
      <c r="Q835" s="2"/>
      <c r="R835" s="3"/>
      <c r="S835" s="3"/>
      <c r="T835" s="508"/>
      <c r="U835" s="508"/>
      <c r="V835" s="508"/>
      <c r="W835" s="508"/>
      <c r="X835" s="508">
        <v>3709.3319668144504</v>
      </c>
      <c r="Y835" s="508"/>
      <c r="Z835" s="508">
        <v>19469.541627415689</v>
      </c>
      <c r="AA835" s="508"/>
      <c r="AB835" s="508"/>
      <c r="AC835" s="508"/>
      <c r="AD835" s="508"/>
      <c r="AE835" s="508"/>
      <c r="AF835" s="508"/>
      <c r="AG835" s="508"/>
      <c r="AH835" s="508">
        <v>0</v>
      </c>
      <c r="AI835" s="508"/>
      <c r="AJ835" s="508"/>
      <c r="AK835" s="508"/>
      <c r="AL835" s="508"/>
      <c r="AM835" s="508"/>
      <c r="AN835" s="508"/>
      <c r="AO835" s="508"/>
    </row>
    <row r="836" spans="1:41">
      <c r="A836" s="2" t="s">
        <v>1224</v>
      </c>
      <c r="B836" s="2" t="s">
        <v>357</v>
      </c>
      <c r="C836" s="2" t="s">
        <v>328</v>
      </c>
      <c r="D836" s="2" t="s">
        <v>18</v>
      </c>
      <c r="E836" s="2" t="s">
        <v>19</v>
      </c>
      <c r="F836" s="2" t="s">
        <v>20</v>
      </c>
      <c r="G836" s="2" t="s">
        <v>21</v>
      </c>
      <c r="H836">
        <v>1</v>
      </c>
      <c r="I836" s="2" t="s">
        <v>526</v>
      </c>
      <c r="J836" s="3">
        <v>1</v>
      </c>
      <c r="K836" s="3">
        <v>5.2488000000000001</v>
      </c>
      <c r="L836" s="508">
        <v>3844.1218442035188</v>
      </c>
      <c r="M836" s="508">
        <v>0</v>
      </c>
      <c r="N836" s="508">
        <v>3844.1218442035188</v>
      </c>
      <c r="O836" s="508">
        <v>105.12601542908546</v>
      </c>
      <c r="Q836" s="2"/>
      <c r="R836" s="3"/>
      <c r="S836" s="3"/>
      <c r="T836" s="508"/>
      <c r="U836" s="508"/>
      <c r="V836" s="508"/>
      <c r="W836" s="508"/>
      <c r="X836" s="508">
        <v>3949.2478596326041</v>
      </c>
      <c r="Y836" s="508"/>
      <c r="Z836" s="508">
        <v>20728.812165639614</v>
      </c>
      <c r="AA836" s="508"/>
      <c r="AB836" s="508"/>
      <c r="AC836" s="508"/>
      <c r="AD836" s="508"/>
      <c r="AE836" s="508"/>
      <c r="AF836" s="508"/>
      <c r="AG836" s="508"/>
      <c r="AH836" s="508">
        <v>0</v>
      </c>
      <c r="AI836" s="508"/>
      <c r="AJ836" s="508"/>
      <c r="AK836" s="508"/>
      <c r="AL836" s="508"/>
      <c r="AM836" s="508"/>
      <c r="AN836" s="508"/>
      <c r="AO836" s="508"/>
    </row>
    <row r="837" spans="1:41">
      <c r="A837" s="2" t="s">
        <v>1225</v>
      </c>
      <c r="B837" s="2" t="s">
        <v>1226</v>
      </c>
      <c r="C837" s="2" t="s">
        <v>328</v>
      </c>
      <c r="D837" s="2" t="s">
        <v>18</v>
      </c>
      <c r="E837" s="2" t="s">
        <v>19</v>
      </c>
      <c r="F837" s="2" t="s">
        <v>20</v>
      </c>
      <c r="G837" s="2" t="s">
        <v>21</v>
      </c>
      <c r="H837">
        <v>1</v>
      </c>
      <c r="I837" s="2" t="s">
        <v>526</v>
      </c>
      <c r="J837" s="3">
        <v>1</v>
      </c>
      <c r="K837" s="3">
        <v>5.2488000000000001</v>
      </c>
      <c r="L837" s="508">
        <v>15820.855513261009</v>
      </c>
      <c r="M837" s="508">
        <v>0</v>
      </c>
      <c r="N837" s="508">
        <v>15820.855513261009</v>
      </c>
      <c r="O837" s="508">
        <v>432.65644967328234</v>
      </c>
      <c r="Q837" s="2"/>
      <c r="R837" s="3"/>
      <c r="S837" s="3"/>
      <c r="T837" s="508"/>
      <c r="U837" s="508"/>
      <c r="V837" s="508"/>
      <c r="W837" s="508"/>
      <c r="X837" s="508">
        <v>16253.511962934292</v>
      </c>
      <c r="Y837" s="508"/>
      <c r="Z837" s="508">
        <v>85311.433591049514</v>
      </c>
      <c r="AA837" s="508"/>
      <c r="AB837" s="508"/>
      <c r="AC837" s="508"/>
      <c r="AD837" s="508"/>
      <c r="AE837" s="508"/>
      <c r="AF837" s="508"/>
      <c r="AG837" s="508"/>
      <c r="AH837" s="508">
        <v>0</v>
      </c>
      <c r="AI837" s="508"/>
      <c r="AJ837" s="508"/>
      <c r="AK837" s="508"/>
      <c r="AL837" s="508"/>
      <c r="AM837" s="508"/>
      <c r="AN837" s="508"/>
      <c r="AO837" s="508"/>
    </row>
    <row r="838" spans="1:41">
      <c r="A838" s="2" t="s">
        <v>1227</v>
      </c>
      <c r="B838" s="2" t="s">
        <v>1228</v>
      </c>
      <c r="C838" s="2" t="s">
        <v>328</v>
      </c>
      <c r="D838" s="2" t="s">
        <v>18</v>
      </c>
      <c r="E838" s="2" t="s">
        <v>19</v>
      </c>
      <c r="F838" s="2" t="s">
        <v>20</v>
      </c>
      <c r="G838" s="2" t="s">
        <v>21</v>
      </c>
      <c r="H838">
        <v>1</v>
      </c>
      <c r="I838" s="2" t="s">
        <v>526</v>
      </c>
      <c r="J838" s="3">
        <v>1</v>
      </c>
      <c r="K838" s="3">
        <v>5.2488000000000001</v>
      </c>
      <c r="L838" s="508">
        <v>7566.7616014911373</v>
      </c>
      <c r="M838" s="508">
        <v>0</v>
      </c>
      <c r="N838" s="508">
        <v>7566.7616014911373</v>
      </c>
      <c r="O838" s="508">
        <v>206.9298670899642</v>
      </c>
      <c r="Q838" s="2"/>
      <c r="R838" s="3"/>
      <c r="S838" s="3"/>
      <c r="T838" s="508"/>
      <c r="U838" s="508"/>
      <c r="V838" s="508"/>
      <c r="W838" s="508"/>
      <c r="X838" s="508">
        <v>7773.6914685811016</v>
      </c>
      <c r="Y838" s="508"/>
      <c r="Z838" s="508">
        <v>40802.551780288486</v>
      </c>
      <c r="AA838" s="508"/>
      <c r="AB838" s="508"/>
      <c r="AC838" s="508"/>
      <c r="AD838" s="508"/>
      <c r="AE838" s="508"/>
      <c r="AF838" s="508"/>
      <c r="AG838" s="508"/>
      <c r="AH838" s="508">
        <v>0</v>
      </c>
      <c r="AI838" s="508"/>
      <c r="AJ838" s="508"/>
      <c r="AK838" s="508"/>
      <c r="AL838" s="508"/>
      <c r="AM838" s="508"/>
      <c r="AN838" s="508"/>
      <c r="AO838" s="508"/>
    </row>
    <row r="839" spans="1:41">
      <c r="A839" s="2" t="s">
        <v>1229</v>
      </c>
      <c r="B839" s="2" t="s">
        <v>1230</v>
      </c>
      <c r="C839" s="2" t="s">
        <v>328</v>
      </c>
      <c r="D839" s="2" t="s">
        <v>18</v>
      </c>
      <c r="E839" s="2" t="s">
        <v>19</v>
      </c>
      <c r="F839" s="2" t="s">
        <v>20</v>
      </c>
      <c r="G839" s="2" t="s">
        <v>21</v>
      </c>
      <c r="H839">
        <v>1</v>
      </c>
      <c r="I839" s="2" t="s">
        <v>526</v>
      </c>
      <c r="J839" s="3">
        <v>1</v>
      </c>
      <c r="K839" s="3">
        <v>5.2488000000000001</v>
      </c>
      <c r="L839" s="508">
        <v>15011.885919751956</v>
      </c>
      <c r="M839" s="508">
        <v>0</v>
      </c>
      <c r="N839" s="508">
        <v>15011.885919751956</v>
      </c>
      <c r="O839" s="508">
        <v>410.53334418833373</v>
      </c>
      <c r="Q839" s="2"/>
      <c r="R839" s="3"/>
      <c r="S839" s="3"/>
      <c r="T839" s="508"/>
      <c r="U839" s="508"/>
      <c r="V839" s="508"/>
      <c r="W839" s="508"/>
      <c r="X839" s="508">
        <v>15422.41926394029</v>
      </c>
      <c r="Y839" s="508"/>
      <c r="Z839" s="508">
        <v>80949.194232569789</v>
      </c>
      <c r="AA839" s="508"/>
      <c r="AB839" s="508"/>
      <c r="AC839" s="508"/>
      <c r="AD839" s="508"/>
      <c r="AE839" s="508"/>
      <c r="AF839" s="508"/>
      <c r="AG839" s="508"/>
      <c r="AH839" s="508">
        <v>0</v>
      </c>
      <c r="AI839" s="508"/>
      <c r="AJ839" s="508"/>
      <c r="AK839" s="508"/>
      <c r="AL839" s="508"/>
      <c r="AM839" s="508"/>
      <c r="AN839" s="508"/>
      <c r="AO839" s="508"/>
    </row>
    <row r="840" spans="1:41">
      <c r="A840" s="2" t="s">
        <v>1231</v>
      </c>
      <c r="B840" s="2" t="s">
        <v>1232</v>
      </c>
      <c r="C840" s="2" t="s">
        <v>328</v>
      </c>
      <c r="D840" s="2" t="s">
        <v>18</v>
      </c>
      <c r="E840" s="2" t="s">
        <v>19</v>
      </c>
      <c r="F840" s="2" t="s">
        <v>20</v>
      </c>
      <c r="G840" s="2" t="s">
        <v>21</v>
      </c>
      <c r="H840">
        <v>1</v>
      </c>
      <c r="I840" s="2" t="s">
        <v>526</v>
      </c>
      <c r="J840" s="3">
        <v>1</v>
      </c>
      <c r="K840" s="3">
        <v>5.2488000000000001</v>
      </c>
      <c r="L840" s="508">
        <v>41088.282938349788</v>
      </c>
      <c r="M840" s="508">
        <v>0</v>
      </c>
      <c r="N840" s="508">
        <v>41088.282938349788</v>
      </c>
      <c r="O840" s="508">
        <v>1117.3730798601653</v>
      </c>
      <c r="Q840" s="2"/>
      <c r="R840" s="3"/>
      <c r="S840" s="3"/>
      <c r="T840" s="508"/>
      <c r="U840" s="508"/>
      <c r="V840" s="508"/>
      <c r="W840" s="508"/>
      <c r="X840" s="508">
        <v>42205.656018209957</v>
      </c>
      <c r="Y840" s="508"/>
      <c r="Z840" s="508">
        <v>221529.04730838042</v>
      </c>
      <c r="AA840" s="508"/>
      <c r="AB840" s="508"/>
      <c r="AC840" s="508"/>
      <c r="AD840" s="508"/>
      <c r="AE840" s="508"/>
      <c r="AF840" s="508"/>
      <c r="AG840" s="508"/>
      <c r="AH840" s="508">
        <v>0</v>
      </c>
      <c r="AI840" s="508"/>
      <c r="AJ840" s="508"/>
      <c r="AK840" s="508"/>
      <c r="AL840" s="508"/>
      <c r="AM840" s="508"/>
      <c r="AN840" s="508"/>
      <c r="AO840" s="508"/>
    </row>
    <row r="841" spans="1:41">
      <c r="A841" s="2" t="s">
        <v>1233</v>
      </c>
      <c r="B841" s="2" t="s">
        <v>1232</v>
      </c>
      <c r="C841" s="2" t="s">
        <v>328</v>
      </c>
      <c r="D841" s="2" t="s">
        <v>18</v>
      </c>
      <c r="E841" s="2" t="s">
        <v>19</v>
      </c>
      <c r="F841" s="2" t="s">
        <v>20</v>
      </c>
      <c r="G841" s="2" t="s">
        <v>21</v>
      </c>
      <c r="H841">
        <v>1</v>
      </c>
      <c r="I841" s="2" t="s">
        <v>526</v>
      </c>
      <c r="J841" s="3">
        <v>1</v>
      </c>
      <c r="K841" s="3">
        <v>5.2488000000000001</v>
      </c>
      <c r="L841" s="508">
        <v>41088.282938349788</v>
      </c>
      <c r="M841" s="508">
        <v>0</v>
      </c>
      <c r="N841" s="508">
        <v>41088.282938349788</v>
      </c>
      <c r="O841" s="508">
        <v>1117.3730798601653</v>
      </c>
      <c r="Q841" s="2"/>
      <c r="R841" s="3"/>
      <c r="S841" s="3"/>
      <c r="T841" s="508"/>
      <c r="U841" s="508"/>
      <c r="V841" s="508"/>
      <c r="W841" s="508"/>
      <c r="X841" s="508">
        <v>42205.656018209957</v>
      </c>
      <c r="Y841" s="508"/>
      <c r="Z841" s="508">
        <v>221529.04730838042</v>
      </c>
      <c r="AA841" s="508"/>
      <c r="AB841" s="508"/>
      <c r="AC841" s="508"/>
      <c r="AD841" s="508"/>
      <c r="AE841" s="508"/>
      <c r="AF841" s="508"/>
      <c r="AG841" s="508"/>
      <c r="AH841" s="508">
        <v>0</v>
      </c>
      <c r="AI841" s="508"/>
      <c r="AJ841" s="508"/>
      <c r="AK841" s="508"/>
      <c r="AL841" s="508"/>
      <c r="AM841" s="508"/>
      <c r="AN841" s="508"/>
      <c r="AO841" s="508"/>
    </row>
    <row r="842" spans="1:41">
      <c r="A842" s="2" t="s">
        <v>1234</v>
      </c>
      <c r="B842" s="2" t="s">
        <v>1232</v>
      </c>
      <c r="C842" s="2" t="s">
        <v>328</v>
      </c>
      <c r="D842" s="2" t="s">
        <v>18</v>
      </c>
      <c r="E842" s="2" t="s">
        <v>19</v>
      </c>
      <c r="F842" s="2" t="s">
        <v>20</v>
      </c>
      <c r="G842" s="2" t="s">
        <v>21</v>
      </c>
      <c r="H842">
        <v>1</v>
      </c>
      <c r="I842" s="2" t="s">
        <v>526</v>
      </c>
      <c r="J842" s="3">
        <v>1</v>
      </c>
      <c r="K842" s="3">
        <v>5.2488000000000001</v>
      </c>
      <c r="L842" s="508">
        <v>35218.528232871249</v>
      </c>
      <c r="M842" s="508">
        <v>0</v>
      </c>
      <c r="N842" s="508">
        <v>35218.528232871249</v>
      </c>
      <c r="O842" s="508">
        <v>957.74827031221741</v>
      </c>
      <c r="Q842" s="2"/>
      <c r="R842" s="3"/>
      <c r="S842" s="3"/>
      <c r="T842" s="508"/>
      <c r="U842" s="508"/>
      <c r="V842" s="508"/>
      <c r="W842" s="508"/>
      <c r="X842" s="508">
        <v>36176.276503183464</v>
      </c>
      <c r="Y842" s="508"/>
      <c r="Z842" s="508">
        <v>189882.04010990937</v>
      </c>
      <c r="AA842" s="508"/>
      <c r="AB842" s="508"/>
      <c r="AC842" s="508"/>
      <c r="AD842" s="508"/>
      <c r="AE842" s="508"/>
      <c r="AF842" s="508"/>
      <c r="AG842" s="508"/>
      <c r="AH842" s="508">
        <v>0</v>
      </c>
      <c r="AI842" s="508"/>
      <c r="AJ842" s="508"/>
      <c r="AK842" s="508"/>
      <c r="AL842" s="508"/>
      <c r="AM842" s="508"/>
      <c r="AN842" s="508"/>
      <c r="AO842" s="508"/>
    </row>
    <row r="843" spans="1:41">
      <c r="A843" s="2" t="s">
        <v>1235</v>
      </c>
      <c r="B843" s="2" t="s">
        <v>352</v>
      </c>
      <c r="C843" s="2" t="s">
        <v>328</v>
      </c>
      <c r="D843" s="2" t="s">
        <v>18</v>
      </c>
      <c r="E843" s="2" t="s">
        <v>19</v>
      </c>
      <c r="F843" s="2" t="s">
        <v>20</v>
      </c>
      <c r="G843" s="2" t="s">
        <v>21</v>
      </c>
      <c r="H843">
        <v>1</v>
      </c>
      <c r="I843" s="2" t="s">
        <v>526</v>
      </c>
      <c r="J843" s="3">
        <v>1</v>
      </c>
      <c r="K843" s="3">
        <v>5.2488000000000001</v>
      </c>
      <c r="L843" s="508">
        <v>10512.902543929842</v>
      </c>
      <c r="M843" s="508">
        <v>0</v>
      </c>
      <c r="N843" s="508">
        <v>10512.902543929842</v>
      </c>
      <c r="O843" s="508">
        <v>285.89250747522607</v>
      </c>
      <c r="Q843" s="2"/>
      <c r="R843" s="3"/>
      <c r="S843" s="3"/>
      <c r="T843" s="508"/>
      <c r="U843" s="508"/>
      <c r="V843" s="508"/>
      <c r="W843" s="508"/>
      <c r="X843" s="508">
        <v>10798.795051405068</v>
      </c>
      <c r="Y843" s="508"/>
      <c r="Z843" s="508">
        <v>56680.715465814923</v>
      </c>
      <c r="AA843" s="508"/>
      <c r="AB843" s="508"/>
      <c r="AC843" s="508"/>
      <c r="AD843" s="508"/>
      <c r="AE843" s="508"/>
      <c r="AF843" s="508"/>
      <c r="AG843" s="508"/>
      <c r="AH843" s="508">
        <v>0</v>
      </c>
      <c r="AI843" s="508"/>
      <c r="AJ843" s="508"/>
      <c r="AK843" s="508"/>
      <c r="AL843" s="508"/>
      <c r="AM843" s="508"/>
      <c r="AN843" s="508"/>
      <c r="AO843" s="508"/>
    </row>
    <row r="844" spans="1:41">
      <c r="A844" s="2" t="s">
        <v>1236</v>
      </c>
      <c r="B844" s="2" t="s">
        <v>1237</v>
      </c>
      <c r="C844" s="2" t="s">
        <v>328</v>
      </c>
      <c r="D844" s="2" t="s">
        <v>18</v>
      </c>
      <c r="E844" s="2" t="s">
        <v>19</v>
      </c>
      <c r="F844" s="2" t="s">
        <v>20</v>
      </c>
      <c r="G844" s="2" t="s">
        <v>21</v>
      </c>
      <c r="H844">
        <v>1</v>
      </c>
      <c r="I844" s="2" t="s">
        <v>526</v>
      </c>
      <c r="J844" s="3">
        <v>1</v>
      </c>
      <c r="K844" s="3">
        <v>5.2488000000000001</v>
      </c>
      <c r="L844" s="508">
        <v>1487.0583314726971</v>
      </c>
      <c r="M844" s="508">
        <v>0</v>
      </c>
      <c r="N844" s="508">
        <v>1487.0583314726971</v>
      </c>
      <c r="O844" s="508">
        <v>40.439675043394409</v>
      </c>
      <c r="Q844" s="2"/>
      <c r="R844" s="3"/>
      <c r="S844" s="3"/>
      <c r="T844" s="508"/>
      <c r="U844" s="508"/>
      <c r="V844" s="508"/>
      <c r="W844" s="508"/>
      <c r="X844" s="508">
        <v>1527.4980065160914</v>
      </c>
      <c r="Y844" s="508"/>
      <c r="Z844" s="508">
        <v>8017.5315366016612</v>
      </c>
      <c r="AA844" s="508"/>
      <c r="AB844" s="508"/>
      <c r="AC844" s="508"/>
      <c r="AD844" s="508"/>
      <c r="AE844" s="508"/>
      <c r="AF844" s="508"/>
      <c r="AG844" s="508"/>
      <c r="AH844" s="508">
        <v>0</v>
      </c>
      <c r="AI844" s="508"/>
      <c r="AJ844" s="508"/>
      <c r="AK844" s="508"/>
      <c r="AL844" s="508"/>
      <c r="AM844" s="508"/>
      <c r="AN844" s="508"/>
      <c r="AO844" s="508"/>
    </row>
    <row r="845" spans="1:41">
      <c r="A845" s="2" t="s">
        <v>1238</v>
      </c>
      <c r="B845" s="2" t="s">
        <v>1239</v>
      </c>
      <c r="C845" s="2" t="s">
        <v>328</v>
      </c>
      <c r="D845" s="2" t="s">
        <v>18</v>
      </c>
      <c r="E845" s="2" t="s">
        <v>19</v>
      </c>
      <c r="F845" s="2" t="s">
        <v>20</v>
      </c>
      <c r="G845" s="2" t="s">
        <v>21</v>
      </c>
      <c r="H845">
        <v>1</v>
      </c>
      <c r="I845" s="2" t="s">
        <v>526</v>
      </c>
      <c r="J845" s="3">
        <v>1</v>
      </c>
      <c r="K845" s="3">
        <v>5.2488000000000001</v>
      </c>
      <c r="L845" s="508">
        <v>684.85679992924963</v>
      </c>
      <c r="M845" s="508">
        <v>0</v>
      </c>
      <c r="N845" s="508">
        <v>684.85679992924963</v>
      </c>
      <c r="O845" s="508">
        <v>18.624262100106975</v>
      </c>
      <c r="Q845" s="2"/>
      <c r="R845" s="3"/>
      <c r="S845" s="3"/>
      <c r="T845" s="508"/>
      <c r="U845" s="508"/>
      <c r="V845" s="508"/>
      <c r="W845" s="508"/>
      <c r="X845" s="508">
        <v>703.48106202935662</v>
      </c>
      <c r="Y845" s="508"/>
      <c r="Z845" s="508">
        <v>3692.4313983796869</v>
      </c>
      <c r="AA845" s="508"/>
      <c r="AB845" s="508"/>
      <c r="AC845" s="508"/>
      <c r="AD845" s="508"/>
      <c r="AE845" s="508"/>
      <c r="AF845" s="508"/>
      <c r="AG845" s="508"/>
      <c r="AH845" s="508">
        <v>0</v>
      </c>
      <c r="AI845" s="508"/>
      <c r="AJ845" s="508"/>
      <c r="AK845" s="508"/>
      <c r="AL845" s="508"/>
      <c r="AM845" s="508"/>
      <c r="AN845" s="508"/>
      <c r="AO845" s="508"/>
    </row>
    <row r="846" spans="1:41">
      <c r="A846" s="2" t="s">
        <v>1240</v>
      </c>
      <c r="B846" s="2" t="s">
        <v>359</v>
      </c>
      <c r="C846" s="2" t="s">
        <v>328</v>
      </c>
      <c r="D846" s="2" t="s">
        <v>18</v>
      </c>
      <c r="E846" s="2" t="s">
        <v>19</v>
      </c>
      <c r="F846" s="2" t="s">
        <v>20</v>
      </c>
      <c r="G846" s="2" t="s">
        <v>21</v>
      </c>
      <c r="H846">
        <v>1</v>
      </c>
      <c r="I846" s="2" t="s">
        <v>526</v>
      </c>
      <c r="J846" s="3">
        <v>1</v>
      </c>
      <c r="K846" s="3">
        <v>5.2488000000000001</v>
      </c>
      <c r="L846" s="508">
        <v>53544.468150333778</v>
      </c>
      <c r="M846" s="508">
        <v>0</v>
      </c>
      <c r="N846" s="508">
        <v>53544.468150333778</v>
      </c>
      <c r="O846" s="508">
        <v>1456.1120455046614</v>
      </c>
      <c r="Q846" s="2"/>
      <c r="R846" s="3"/>
      <c r="S846" s="3"/>
      <c r="T846" s="508"/>
      <c r="U846" s="508"/>
      <c r="V846" s="508"/>
      <c r="W846" s="508"/>
      <c r="X846" s="508">
        <v>55000.58019583844</v>
      </c>
      <c r="Y846" s="508"/>
      <c r="Z846" s="508">
        <v>288687.04533191683</v>
      </c>
      <c r="AA846" s="508"/>
      <c r="AB846" s="508"/>
      <c r="AC846" s="508"/>
      <c r="AD846" s="508"/>
      <c r="AE846" s="508"/>
      <c r="AF846" s="508"/>
      <c r="AG846" s="508"/>
      <c r="AH846" s="508">
        <v>0</v>
      </c>
      <c r="AI846" s="508"/>
      <c r="AJ846" s="508"/>
      <c r="AK846" s="508"/>
      <c r="AL846" s="508"/>
      <c r="AM846" s="508"/>
      <c r="AN846" s="508"/>
      <c r="AO846" s="508"/>
    </row>
    <row r="847" spans="1:41">
      <c r="A847" s="2" t="s">
        <v>1241</v>
      </c>
      <c r="B847" s="2" t="s">
        <v>1242</v>
      </c>
      <c r="C847" s="2" t="s">
        <v>328</v>
      </c>
      <c r="D847" s="2" t="s">
        <v>18</v>
      </c>
      <c r="E847" s="2" t="s">
        <v>19</v>
      </c>
      <c r="F847" s="2" t="s">
        <v>20</v>
      </c>
      <c r="G847" s="2" t="s">
        <v>21</v>
      </c>
      <c r="H847">
        <v>1</v>
      </c>
      <c r="I847" s="2" t="s">
        <v>526</v>
      </c>
      <c r="J847" s="3">
        <v>1</v>
      </c>
      <c r="K847" s="3">
        <v>5.2488000000000001</v>
      </c>
      <c r="L847" s="508">
        <v>14791.781857805923</v>
      </c>
      <c r="M847" s="508">
        <v>0</v>
      </c>
      <c r="N847" s="508">
        <v>14791.781857805923</v>
      </c>
      <c r="O847" s="508">
        <v>402.25428996644445</v>
      </c>
      <c r="Q847" s="2"/>
      <c r="R847" s="3"/>
      <c r="S847" s="3"/>
      <c r="T847" s="508"/>
      <c r="U847" s="508"/>
      <c r="V847" s="508"/>
      <c r="W847" s="508"/>
      <c r="X847" s="508">
        <v>15194.036147772367</v>
      </c>
      <c r="Y847" s="508"/>
      <c r="Z847" s="508">
        <v>79750.456932427609</v>
      </c>
      <c r="AA847" s="508"/>
      <c r="AB847" s="508"/>
      <c r="AC847" s="508"/>
      <c r="AD847" s="508"/>
      <c r="AE847" s="508"/>
      <c r="AF847" s="508"/>
      <c r="AG847" s="508"/>
      <c r="AH847" s="508">
        <v>0</v>
      </c>
      <c r="AI847" s="508"/>
      <c r="AJ847" s="508"/>
      <c r="AK847" s="508"/>
      <c r="AL847" s="508"/>
      <c r="AM847" s="508"/>
      <c r="AN847" s="508"/>
      <c r="AO847" s="508"/>
    </row>
    <row r="848" spans="1:41">
      <c r="A848" s="2" t="s">
        <v>1243</v>
      </c>
      <c r="B848" s="2" t="s">
        <v>1239</v>
      </c>
      <c r="C848" s="2" t="s">
        <v>328</v>
      </c>
      <c r="D848" s="2" t="s">
        <v>18</v>
      </c>
      <c r="E848" s="2" t="s">
        <v>19</v>
      </c>
      <c r="F848" s="2" t="s">
        <v>20</v>
      </c>
      <c r="G848" s="2" t="s">
        <v>21</v>
      </c>
      <c r="H848">
        <v>1</v>
      </c>
      <c r="I848" s="2" t="s">
        <v>526</v>
      </c>
      <c r="J848" s="3">
        <v>1</v>
      </c>
      <c r="K848" s="3">
        <v>5.2488000000000001</v>
      </c>
      <c r="L848" s="508">
        <v>5034.4931892976147</v>
      </c>
      <c r="M848" s="508">
        <v>0</v>
      </c>
      <c r="N848" s="508">
        <v>5034.4931892976147</v>
      </c>
      <c r="O848" s="508">
        <v>136.91026757887533</v>
      </c>
      <c r="Q848" s="2"/>
      <c r="R848" s="3"/>
      <c r="S848" s="3"/>
      <c r="T848" s="508"/>
      <c r="U848" s="508"/>
      <c r="V848" s="508"/>
      <c r="W848" s="508"/>
      <c r="X848" s="508">
        <v>5171.4034568764901</v>
      </c>
      <c r="Y848" s="508"/>
      <c r="Z848" s="508">
        <v>27143.662464453322</v>
      </c>
      <c r="AA848" s="508"/>
      <c r="AB848" s="508"/>
      <c r="AC848" s="508"/>
      <c r="AD848" s="508"/>
      <c r="AE848" s="508"/>
      <c r="AF848" s="508"/>
      <c r="AG848" s="508"/>
      <c r="AH848" s="508">
        <v>0</v>
      </c>
      <c r="AI848" s="508"/>
      <c r="AJ848" s="508"/>
      <c r="AK848" s="508"/>
      <c r="AL848" s="508"/>
      <c r="AM848" s="508"/>
      <c r="AN848" s="508"/>
      <c r="AO848" s="508"/>
    </row>
    <row r="849" spans="1:41">
      <c r="A849" s="2" t="s">
        <v>1244</v>
      </c>
      <c r="B849" s="2" t="s">
        <v>1245</v>
      </c>
      <c r="C849" s="2" t="s">
        <v>328</v>
      </c>
      <c r="D849" s="2" t="s">
        <v>18</v>
      </c>
      <c r="E849" s="2" t="s">
        <v>19</v>
      </c>
      <c r="F849" s="2" t="s">
        <v>20</v>
      </c>
      <c r="G849" s="2" t="s">
        <v>21</v>
      </c>
      <c r="H849">
        <v>1</v>
      </c>
      <c r="I849" s="2" t="s">
        <v>526</v>
      </c>
      <c r="J849" s="3">
        <v>1</v>
      </c>
      <c r="K849" s="3">
        <v>5.2488000000000001</v>
      </c>
      <c r="L849" s="508">
        <v>547.62463500232593</v>
      </c>
      <c r="M849" s="508">
        <v>0</v>
      </c>
      <c r="N849" s="508">
        <v>547.62463500232593</v>
      </c>
      <c r="O849" s="508">
        <v>14.557696040151438</v>
      </c>
      <c r="Q849" s="2"/>
      <c r="R849" s="3"/>
      <c r="S849" s="3"/>
      <c r="T849" s="508"/>
      <c r="U849" s="508"/>
      <c r="V849" s="508"/>
      <c r="W849" s="508"/>
      <c r="X849" s="508">
        <v>562.18233104247736</v>
      </c>
      <c r="Y849" s="508"/>
      <c r="Z849" s="508">
        <v>2950.7826191757554</v>
      </c>
      <c r="AA849" s="508"/>
      <c r="AB849" s="508"/>
      <c r="AC849" s="508"/>
      <c r="AD849" s="508"/>
      <c r="AE849" s="508"/>
      <c r="AF849" s="508"/>
      <c r="AG849" s="508"/>
      <c r="AH849" s="508">
        <v>0</v>
      </c>
      <c r="AI849" s="508"/>
      <c r="AJ849" s="508"/>
      <c r="AK849" s="508"/>
      <c r="AL849" s="508"/>
      <c r="AM849" s="508"/>
      <c r="AN849" s="508"/>
      <c r="AO849" s="508"/>
    </row>
    <row r="850" spans="1:41">
      <c r="A850" s="2" t="s">
        <v>1246</v>
      </c>
      <c r="B850" s="2" t="s">
        <v>1247</v>
      </c>
      <c r="C850" s="2" t="s">
        <v>328</v>
      </c>
      <c r="D850" s="2" t="s">
        <v>18</v>
      </c>
      <c r="E850" s="2" t="s">
        <v>19</v>
      </c>
      <c r="F850" s="2" t="s">
        <v>20</v>
      </c>
      <c r="G850" s="2" t="s">
        <v>21</v>
      </c>
      <c r="H850">
        <v>1</v>
      </c>
      <c r="I850" s="2" t="s">
        <v>526</v>
      </c>
      <c r="J850" s="3">
        <v>1</v>
      </c>
      <c r="K850" s="3">
        <v>5.2488000000000001</v>
      </c>
      <c r="L850" s="508">
        <v>9414.982418139105</v>
      </c>
      <c r="M850" s="508">
        <v>0</v>
      </c>
      <c r="N850" s="508">
        <v>9414.982418139105</v>
      </c>
      <c r="O850" s="508">
        <v>250.28164483784059</v>
      </c>
      <c r="Q850" s="2"/>
      <c r="R850" s="3"/>
      <c r="S850" s="3"/>
      <c r="T850" s="508"/>
      <c r="U850" s="508"/>
      <c r="V850" s="508"/>
      <c r="W850" s="508"/>
      <c r="X850" s="508">
        <v>9665.2640629769448</v>
      </c>
      <c r="Y850" s="508"/>
      <c r="Z850" s="508">
        <v>50731.038013753387</v>
      </c>
      <c r="AA850" s="508"/>
      <c r="AB850" s="508"/>
      <c r="AC850" s="508"/>
      <c r="AD850" s="508"/>
      <c r="AE850" s="508"/>
      <c r="AF850" s="508"/>
      <c r="AG850" s="508"/>
      <c r="AH850" s="508">
        <v>0</v>
      </c>
      <c r="AI850" s="508"/>
      <c r="AJ850" s="508"/>
      <c r="AK850" s="508"/>
      <c r="AL850" s="508"/>
      <c r="AM850" s="508"/>
      <c r="AN850" s="508"/>
      <c r="AO850" s="508"/>
    </row>
    <row r="851" spans="1:41">
      <c r="A851" s="2" t="s">
        <v>1248</v>
      </c>
      <c r="B851" s="2" t="s">
        <v>350</v>
      </c>
      <c r="C851" s="2" t="s">
        <v>328</v>
      </c>
      <c r="D851" s="2" t="s">
        <v>18</v>
      </c>
      <c r="E851" s="2" t="s">
        <v>19</v>
      </c>
      <c r="F851" s="2" t="s">
        <v>20</v>
      </c>
      <c r="G851" s="2" t="s">
        <v>21</v>
      </c>
      <c r="H851">
        <v>1</v>
      </c>
      <c r="I851" s="2" t="s">
        <v>526</v>
      </c>
      <c r="J851" s="3">
        <v>1</v>
      </c>
      <c r="K851" s="3">
        <v>5.2488000000000001</v>
      </c>
      <c r="L851" s="508">
        <v>92316.750794131629</v>
      </c>
      <c r="M851" s="508">
        <v>0</v>
      </c>
      <c r="N851" s="508">
        <v>92316.750794131629</v>
      </c>
      <c r="O851" s="508">
        <v>2301.764381344849</v>
      </c>
      <c r="Q851" s="2"/>
      <c r="R851" s="3"/>
      <c r="S851" s="3"/>
      <c r="T851" s="508"/>
      <c r="U851" s="508"/>
      <c r="V851" s="508"/>
      <c r="W851" s="508"/>
      <c r="X851" s="508">
        <v>94618.515175476481</v>
      </c>
      <c r="Y851" s="508"/>
      <c r="Z851" s="508">
        <v>496633.66245304095</v>
      </c>
      <c r="AA851" s="508"/>
      <c r="AB851" s="508"/>
      <c r="AC851" s="508"/>
      <c r="AD851" s="508"/>
      <c r="AE851" s="508"/>
      <c r="AF851" s="508"/>
      <c r="AG851" s="508"/>
      <c r="AH851" s="508">
        <v>0</v>
      </c>
      <c r="AI851" s="508"/>
      <c r="AJ851" s="508"/>
      <c r="AK851" s="508"/>
      <c r="AL851" s="508"/>
      <c r="AM851" s="508"/>
      <c r="AN851" s="508"/>
      <c r="AO851" s="508"/>
    </row>
    <row r="852" spans="1:41">
      <c r="A852" s="2" t="s">
        <v>1249</v>
      </c>
      <c r="B852" s="2" t="s">
        <v>1250</v>
      </c>
      <c r="C852" s="2" t="s">
        <v>328</v>
      </c>
      <c r="D852" s="2" t="s">
        <v>18</v>
      </c>
      <c r="E852" s="2" t="s">
        <v>19</v>
      </c>
      <c r="F852" s="2" t="s">
        <v>20</v>
      </c>
      <c r="G852" s="2" t="s">
        <v>21</v>
      </c>
      <c r="H852">
        <v>1</v>
      </c>
      <c r="I852" s="2" t="s">
        <v>526</v>
      </c>
      <c r="J852" s="3">
        <v>1</v>
      </c>
      <c r="K852" s="3">
        <v>5.2488000000000001</v>
      </c>
      <c r="L852" s="508">
        <v>6956.1516810167659</v>
      </c>
      <c r="M852" s="508">
        <v>0</v>
      </c>
      <c r="N852" s="508">
        <v>6956.1516810167659</v>
      </c>
      <c r="O852" s="508">
        <v>184.91769996894911</v>
      </c>
      <c r="Q852" s="2"/>
      <c r="R852" s="3"/>
      <c r="S852" s="3"/>
      <c r="T852" s="508"/>
      <c r="U852" s="508"/>
      <c r="V852" s="508"/>
      <c r="W852" s="508"/>
      <c r="X852" s="508">
        <v>7141.0693809857148</v>
      </c>
      <c r="Y852" s="508"/>
      <c r="Z852" s="508">
        <v>37482.04496691782</v>
      </c>
      <c r="AA852" s="508"/>
      <c r="AB852" s="508"/>
      <c r="AC852" s="508"/>
      <c r="AD852" s="508"/>
      <c r="AE852" s="508"/>
      <c r="AF852" s="508"/>
      <c r="AG852" s="508"/>
      <c r="AH852" s="508">
        <v>0</v>
      </c>
      <c r="AI852" s="508"/>
      <c r="AJ852" s="508"/>
      <c r="AK852" s="508"/>
      <c r="AL852" s="508"/>
      <c r="AM852" s="508"/>
      <c r="AN852" s="508"/>
      <c r="AO852" s="508"/>
    </row>
    <row r="853" spans="1:41">
      <c r="A853" s="2" t="s">
        <v>1251</v>
      </c>
      <c r="B853" s="2" t="s">
        <v>1252</v>
      </c>
      <c r="C853" s="2" t="s">
        <v>328</v>
      </c>
      <c r="D853" s="2" t="s">
        <v>18</v>
      </c>
      <c r="E853" s="2" t="s">
        <v>19</v>
      </c>
      <c r="F853" s="2" t="s">
        <v>20</v>
      </c>
      <c r="G853" s="2" t="s">
        <v>21</v>
      </c>
      <c r="H853">
        <v>1</v>
      </c>
      <c r="I853" s="2" t="s">
        <v>526</v>
      </c>
      <c r="J853" s="3">
        <v>1</v>
      </c>
      <c r="K853" s="3">
        <v>5.2488000000000001</v>
      </c>
      <c r="L853" s="508">
        <v>5145.7199929773869</v>
      </c>
      <c r="M853" s="508">
        <v>0</v>
      </c>
      <c r="N853" s="508">
        <v>5145.7199929773869</v>
      </c>
      <c r="O853" s="508">
        <v>136.79040718778944</v>
      </c>
      <c r="Q853" s="2"/>
      <c r="R853" s="3"/>
      <c r="S853" s="3"/>
      <c r="T853" s="508"/>
      <c r="U853" s="508"/>
      <c r="V853" s="508"/>
      <c r="W853" s="508"/>
      <c r="X853" s="508">
        <v>5282.5104001651762</v>
      </c>
      <c r="Y853" s="508"/>
      <c r="Z853" s="508">
        <v>27726.840588386978</v>
      </c>
      <c r="AA853" s="508"/>
      <c r="AB853" s="508"/>
      <c r="AC853" s="508"/>
      <c r="AD853" s="508"/>
      <c r="AE853" s="508"/>
      <c r="AF853" s="508"/>
      <c r="AG853" s="508"/>
      <c r="AH853" s="508">
        <v>0</v>
      </c>
      <c r="AI853" s="508"/>
      <c r="AJ853" s="508"/>
      <c r="AK853" s="508"/>
      <c r="AL853" s="508"/>
      <c r="AM853" s="508"/>
      <c r="AN853" s="508"/>
      <c r="AO853" s="508"/>
    </row>
    <row r="854" spans="1:41">
      <c r="A854" s="2" t="s">
        <v>1253</v>
      </c>
      <c r="B854" s="2" t="s">
        <v>350</v>
      </c>
      <c r="C854" s="2" t="s">
        <v>328</v>
      </c>
      <c r="D854" s="2" t="s">
        <v>18</v>
      </c>
      <c r="E854" s="2" t="s">
        <v>19</v>
      </c>
      <c r="F854" s="2" t="s">
        <v>20</v>
      </c>
      <c r="G854" s="2" t="s">
        <v>21</v>
      </c>
      <c r="H854">
        <v>1</v>
      </c>
      <c r="I854" s="2" t="s">
        <v>526</v>
      </c>
      <c r="J854" s="3">
        <v>1</v>
      </c>
      <c r="K854" s="3">
        <v>5.2488000000000001</v>
      </c>
      <c r="L854" s="508">
        <v>52727.358433323832</v>
      </c>
      <c r="M854" s="508">
        <v>0</v>
      </c>
      <c r="N854" s="508">
        <v>52727.358433323832</v>
      </c>
      <c r="O854" s="508">
        <v>1314.6688159131077</v>
      </c>
      <c r="Q854" s="2"/>
      <c r="R854" s="3"/>
      <c r="S854" s="3"/>
      <c r="T854" s="508"/>
      <c r="U854" s="508"/>
      <c r="V854" s="508"/>
      <c r="W854" s="508"/>
      <c r="X854" s="508">
        <v>54042.02724923694</v>
      </c>
      <c r="Y854" s="508"/>
      <c r="Z854" s="508">
        <v>283655.79262579489</v>
      </c>
      <c r="AA854" s="508"/>
      <c r="AB854" s="508"/>
      <c r="AC854" s="508"/>
      <c r="AD854" s="508"/>
      <c r="AE854" s="508"/>
      <c r="AF854" s="508"/>
      <c r="AG854" s="508"/>
      <c r="AH854" s="508">
        <v>0</v>
      </c>
      <c r="AI854" s="508"/>
      <c r="AJ854" s="508"/>
      <c r="AK854" s="508"/>
      <c r="AL854" s="508"/>
      <c r="AM854" s="508"/>
      <c r="AN854" s="508"/>
      <c r="AO854" s="508"/>
    </row>
    <row r="855" spans="1:41">
      <c r="A855" s="2" t="s">
        <v>1254</v>
      </c>
      <c r="B855" s="2" t="s">
        <v>1255</v>
      </c>
      <c r="C855" s="2" t="s">
        <v>328</v>
      </c>
      <c r="D855" s="2" t="s">
        <v>18</v>
      </c>
      <c r="E855" s="2" t="s">
        <v>19</v>
      </c>
      <c r="F855" s="2" t="s">
        <v>20</v>
      </c>
      <c r="G855" s="2" t="s">
        <v>21</v>
      </c>
      <c r="H855">
        <v>1</v>
      </c>
      <c r="I855" s="2" t="s">
        <v>526</v>
      </c>
      <c r="J855" s="3">
        <v>1</v>
      </c>
      <c r="K855" s="3">
        <v>5.2488000000000001</v>
      </c>
      <c r="L855" s="508">
        <v>9662.6153948636456</v>
      </c>
      <c r="M855" s="508">
        <v>0</v>
      </c>
      <c r="N855" s="508">
        <v>9662.6153948636456</v>
      </c>
      <c r="O855" s="508">
        <v>255.38833143160693</v>
      </c>
      <c r="Q855" s="2"/>
      <c r="R855" s="3"/>
      <c r="S855" s="3"/>
      <c r="T855" s="508"/>
      <c r="U855" s="508"/>
      <c r="V855" s="508"/>
      <c r="W855" s="508"/>
      <c r="X855" s="508">
        <v>9918.0037262952519</v>
      </c>
      <c r="Y855" s="508"/>
      <c r="Z855" s="508">
        <v>52057.617958578521</v>
      </c>
      <c r="AA855" s="508"/>
      <c r="AB855" s="508"/>
      <c r="AC855" s="508"/>
      <c r="AD855" s="508"/>
      <c r="AE855" s="508"/>
      <c r="AF855" s="508"/>
      <c r="AG855" s="508"/>
      <c r="AH855" s="508">
        <v>0</v>
      </c>
      <c r="AI855" s="508"/>
      <c r="AJ855" s="508"/>
      <c r="AK855" s="508"/>
      <c r="AL855" s="508"/>
      <c r="AM855" s="508"/>
      <c r="AN855" s="508"/>
      <c r="AO855" s="508"/>
    </row>
    <row r="856" spans="1:41">
      <c r="A856" s="2" t="s">
        <v>1256</v>
      </c>
      <c r="B856" s="2" t="s">
        <v>1257</v>
      </c>
      <c r="C856" s="2" t="s">
        <v>328</v>
      </c>
      <c r="D856" s="2" t="s">
        <v>18</v>
      </c>
      <c r="E856" s="2" t="s">
        <v>19</v>
      </c>
      <c r="F856" s="2" t="s">
        <v>20</v>
      </c>
      <c r="G856" s="2" t="s">
        <v>21</v>
      </c>
      <c r="H856">
        <v>1</v>
      </c>
      <c r="I856" s="2" t="s">
        <v>526</v>
      </c>
      <c r="J856" s="3">
        <v>1</v>
      </c>
      <c r="K856" s="3">
        <v>5.2488000000000001</v>
      </c>
      <c r="L856" s="508">
        <v>15336.025514097893</v>
      </c>
      <c r="M856" s="508">
        <v>0</v>
      </c>
      <c r="N856" s="508">
        <v>15336.025514097893</v>
      </c>
      <c r="O856" s="508">
        <v>405.33966782983214</v>
      </c>
      <c r="Q856" s="2"/>
      <c r="R856" s="3"/>
      <c r="S856" s="3"/>
      <c r="T856" s="508"/>
      <c r="U856" s="508"/>
      <c r="V856" s="508"/>
      <c r="W856" s="508"/>
      <c r="X856" s="508">
        <v>15741.365181927726</v>
      </c>
      <c r="Y856" s="508"/>
      <c r="Z856" s="508">
        <v>82623.277566902252</v>
      </c>
      <c r="AA856" s="508"/>
      <c r="AB856" s="508"/>
      <c r="AC856" s="508"/>
      <c r="AD856" s="508"/>
      <c r="AE856" s="508"/>
      <c r="AF856" s="508"/>
      <c r="AG856" s="508"/>
      <c r="AH856" s="508">
        <v>0</v>
      </c>
      <c r="AI856" s="508"/>
      <c r="AJ856" s="508"/>
      <c r="AK856" s="508"/>
      <c r="AL856" s="508"/>
      <c r="AM856" s="508"/>
      <c r="AN856" s="508"/>
      <c r="AO856" s="508"/>
    </row>
    <row r="857" spans="1:41">
      <c r="A857" s="2" t="s">
        <v>1258</v>
      </c>
      <c r="B857" s="2" t="s">
        <v>1259</v>
      </c>
      <c r="C857" s="2" t="s">
        <v>328</v>
      </c>
      <c r="D857" s="2" t="s">
        <v>18</v>
      </c>
      <c r="E857" s="2" t="s">
        <v>19</v>
      </c>
      <c r="F857" s="2" t="s">
        <v>20</v>
      </c>
      <c r="G857" s="2" t="s">
        <v>21</v>
      </c>
      <c r="H857">
        <v>1</v>
      </c>
      <c r="I857" s="2" t="s">
        <v>526</v>
      </c>
      <c r="J857" s="3">
        <v>1</v>
      </c>
      <c r="K857" s="3">
        <v>5.2488000000000001</v>
      </c>
      <c r="L857" s="508">
        <v>12823.0167062538</v>
      </c>
      <c r="M857" s="508">
        <v>0</v>
      </c>
      <c r="N857" s="508">
        <v>12823.0167062538</v>
      </c>
      <c r="O857" s="508">
        <v>338.91940190414272</v>
      </c>
      <c r="Q857" s="2"/>
      <c r="R857" s="3"/>
      <c r="S857" s="3"/>
      <c r="T857" s="508"/>
      <c r="U857" s="508"/>
      <c r="V857" s="508"/>
      <c r="W857" s="508"/>
      <c r="X857" s="508">
        <v>13161.936108157943</v>
      </c>
      <c r="Y857" s="508"/>
      <c r="Z857" s="508">
        <v>69084.370244499412</v>
      </c>
      <c r="AA857" s="508"/>
      <c r="AB857" s="508"/>
      <c r="AC857" s="508"/>
      <c r="AD857" s="508"/>
      <c r="AE857" s="508"/>
      <c r="AF857" s="508"/>
      <c r="AG857" s="508"/>
      <c r="AH857" s="508">
        <v>0</v>
      </c>
      <c r="AI857" s="508"/>
      <c r="AJ857" s="508"/>
      <c r="AK857" s="508"/>
      <c r="AL857" s="508"/>
      <c r="AM857" s="508"/>
      <c r="AN857" s="508"/>
      <c r="AO857" s="508"/>
    </row>
    <row r="858" spans="1:41">
      <c r="A858" s="2" t="s">
        <v>1260</v>
      </c>
      <c r="B858" s="2" t="s">
        <v>1261</v>
      </c>
      <c r="C858" s="2" t="s">
        <v>328</v>
      </c>
      <c r="D858" s="2" t="s">
        <v>18</v>
      </c>
      <c r="E858" s="2" t="s">
        <v>19</v>
      </c>
      <c r="F858" s="2" t="s">
        <v>20</v>
      </c>
      <c r="G858" s="2" t="s">
        <v>21</v>
      </c>
      <c r="H858">
        <v>1</v>
      </c>
      <c r="I858" s="2" t="s">
        <v>526</v>
      </c>
      <c r="J858" s="3">
        <v>1</v>
      </c>
      <c r="K858" s="3">
        <v>5.2488000000000001</v>
      </c>
      <c r="L858" s="508">
        <v>5546.0911482392185</v>
      </c>
      <c r="M858" s="508">
        <v>0</v>
      </c>
      <c r="N858" s="508">
        <v>5546.0911482392185</v>
      </c>
      <c r="O858" s="508">
        <v>146.58632342066849</v>
      </c>
      <c r="Q858" s="2"/>
      <c r="R858" s="3"/>
      <c r="S858" s="3"/>
      <c r="T858" s="508"/>
      <c r="U858" s="508"/>
      <c r="V858" s="508"/>
      <c r="W858" s="508"/>
      <c r="X858" s="508">
        <v>5692.6774716598866</v>
      </c>
      <c r="Y858" s="508"/>
      <c r="Z858" s="508">
        <v>29879.725513248413</v>
      </c>
      <c r="AA858" s="508"/>
      <c r="AB858" s="508"/>
      <c r="AC858" s="508"/>
      <c r="AD858" s="508"/>
      <c r="AE858" s="508"/>
      <c r="AF858" s="508"/>
      <c r="AG858" s="508"/>
      <c r="AH858" s="508">
        <v>0</v>
      </c>
      <c r="AI858" s="508"/>
      <c r="AJ858" s="508"/>
      <c r="AK858" s="508"/>
      <c r="AL858" s="508"/>
      <c r="AM858" s="508"/>
      <c r="AN858" s="508"/>
      <c r="AO858" s="508"/>
    </row>
    <row r="859" spans="1:41">
      <c r="A859" s="2" t="s">
        <v>1262</v>
      </c>
      <c r="B859" s="2" t="s">
        <v>1263</v>
      </c>
      <c r="C859" s="2" t="s">
        <v>328</v>
      </c>
      <c r="D859" s="2" t="s">
        <v>18</v>
      </c>
      <c r="E859" s="2" t="s">
        <v>19</v>
      </c>
      <c r="F859" s="2" t="s">
        <v>20</v>
      </c>
      <c r="G859" s="2" t="s">
        <v>21</v>
      </c>
      <c r="H859">
        <v>1</v>
      </c>
      <c r="I859" s="2" t="s">
        <v>526</v>
      </c>
      <c r="J859" s="3">
        <v>1</v>
      </c>
      <c r="K859" s="3">
        <v>5.2488000000000001</v>
      </c>
      <c r="L859" s="508">
        <v>4017.7156133946582</v>
      </c>
      <c r="M859" s="508">
        <v>0</v>
      </c>
      <c r="N859" s="508">
        <v>4017.7156133946582</v>
      </c>
      <c r="O859" s="508">
        <v>106.19043674737694</v>
      </c>
      <c r="Q859" s="2"/>
      <c r="R859" s="3"/>
      <c r="S859" s="3"/>
      <c r="T859" s="508"/>
      <c r="U859" s="508"/>
      <c r="V859" s="508"/>
      <c r="W859" s="508"/>
      <c r="X859" s="508">
        <v>4123.9060501420354</v>
      </c>
      <c r="Y859" s="508"/>
      <c r="Z859" s="508">
        <v>21645.558075985515</v>
      </c>
      <c r="AA859" s="508"/>
      <c r="AB859" s="508"/>
      <c r="AC859" s="508"/>
      <c r="AD859" s="508"/>
      <c r="AE859" s="508"/>
      <c r="AF859" s="508"/>
      <c r="AG859" s="508"/>
      <c r="AH859" s="508">
        <v>0</v>
      </c>
      <c r="AI859" s="508"/>
      <c r="AJ859" s="508"/>
      <c r="AK859" s="508"/>
      <c r="AL859" s="508"/>
      <c r="AM859" s="508"/>
      <c r="AN859" s="508"/>
      <c r="AO859" s="508"/>
    </row>
    <row r="860" spans="1:41">
      <c r="A860" s="2" t="s">
        <v>1264</v>
      </c>
      <c r="B860" s="2" t="s">
        <v>1265</v>
      </c>
      <c r="C860" s="2" t="s">
        <v>328</v>
      </c>
      <c r="D860" s="2" t="s">
        <v>18</v>
      </c>
      <c r="E860" s="2" t="s">
        <v>19</v>
      </c>
      <c r="F860" s="2" t="s">
        <v>20</v>
      </c>
      <c r="G860" s="2" t="s">
        <v>21</v>
      </c>
      <c r="H860">
        <v>1</v>
      </c>
      <c r="I860" s="2" t="s">
        <v>526</v>
      </c>
      <c r="J860" s="3">
        <v>1</v>
      </c>
      <c r="K860" s="3">
        <v>5.2488000000000001</v>
      </c>
      <c r="L860" s="508">
        <v>890.30091470816319</v>
      </c>
      <c r="M860" s="508">
        <v>0</v>
      </c>
      <c r="N860" s="508">
        <v>890.30091470816319</v>
      </c>
      <c r="O860" s="508">
        <v>23.531142243698813</v>
      </c>
      <c r="Q860" s="2"/>
      <c r="R860" s="3"/>
      <c r="S860" s="3"/>
      <c r="T860" s="508"/>
      <c r="U860" s="508"/>
      <c r="V860" s="508"/>
      <c r="W860" s="508"/>
      <c r="X860" s="508">
        <v>913.832056951862</v>
      </c>
      <c r="Y860" s="508"/>
      <c r="Z860" s="508">
        <v>4796.5217005289333</v>
      </c>
      <c r="AA860" s="508"/>
      <c r="AB860" s="508"/>
      <c r="AC860" s="508"/>
      <c r="AD860" s="508"/>
      <c r="AE860" s="508"/>
      <c r="AF860" s="508"/>
      <c r="AG860" s="508"/>
      <c r="AH860" s="508">
        <v>0</v>
      </c>
      <c r="AI860" s="508"/>
      <c r="AJ860" s="508"/>
      <c r="AK860" s="508"/>
      <c r="AL860" s="508"/>
      <c r="AM860" s="508"/>
      <c r="AN860" s="508"/>
      <c r="AO860" s="508"/>
    </row>
    <row r="861" spans="1:41">
      <c r="A861" s="2" t="s">
        <v>1266</v>
      </c>
      <c r="B861" s="2" t="s">
        <v>1267</v>
      </c>
      <c r="C861" s="2" t="s">
        <v>328</v>
      </c>
      <c r="D861" s="2" t="s">
        <v>18</v>
      </c>
      <c r="E861" s="2" t="s">
        <v>19</v>
      </c>
      <c r="F861" s="2" t="s">
        <v>20</v>
      </c>
      <c r="G861" s="2" t="s">
        <v>21</v>
      </c>
      <c r="H861">
        <v>1</v>
      </c>
      <c r="I861" s="2" t="s">
        <v>526</v>
      </c>
      <c r="J861" s="3">
        <v>1</v>
      </c>
      <c r="K861" s="3">
        <v>5.2488000000000001</v>
      </c>
      <c r="L861" s="508">
        <v>4137.4313737245866</v>
      </c>
      <c r="M861" s="508">
        <v>0</v>
      </c>
      <c r="N861" s="508">
        <v>4137.4313737245866</v>
      </c>
      <c r="O861" s="508">
        <v>108.72253153222627</v>
      </c>
      <c r="Q861" s="2"/>
      <c r="R861" s="3"/>
      <c r="S861" s="3"/>
      <c r="T861" s="508"/>
      <c r="U861" s="508"/>
      <c r="V861" s="508"/>
      <c r="W861" s="508"/>
      <c r="X861" s="508">
        <v>4246.1539052568132</v>
      </c>
      <c r="Y861" s="508"/>
      <c r="Z861" s="508">
        <v>22287.212617911962</v>
      </c>
      <c r="AA861" s="508"/>
      <c r="AB861" s="508"/>
      <c r="AC861" s="508"/>
      <c r="AD861" s="508"/>
      <c r="AE861" s="508"/>
      <c r="AF861" s="508"/>
      <c r="AG861" s="508"/>
      <c r="AH861" s="508">
        <v>0</v>
      </c>
      <c r="AI861" s="508"/>
      <c r="AJ861" s="508"/>
      <c r="AK861" s="508"/>
      <c r="AL861" s="508"/>
      <c r="AM861" s="508"/>
      <c r="AN861" s="508"/>
      <c r="AO861" s="508"/>
    </row>
    <row r="862" spans="1:41">
      <c r="A862" s="2" t="s">
        <v>1268</v>
      </c>
      <c r="B862" s="2" t="s">
        <v>1269</v>
      </c>
      <c r="C862" s="2" t="s">
        <v>328</v>
      </c>
      <c r="D862" s="2" t="s">
        <v>18</v>
      </c>
      <c r="E862" s="2" t="s">
        <v>19</v>
      </c>
      <c r="F862" s="2" t="s">
        <v>20</v>
      </c>
      <c r="G862" s="2" t="s">
        <v>21</v>
      </c>
      <c r="H862">
        <v>1</v>
      </c>
      <c r="I862" s="2" t="s">
        <v>526</v>
      </c>
      <c r="J862" s="3">
        <v>1</v>
      </c>
      <c r="K862" s="3">
        <v>5.2488000000000001</v>
      </c>
      <c r="L862" s="508">
        <v>45455.772656235247</v>
      </c>
      <c r="M862" s="508">
        <v>0</v>
      </c>
      <c r="N862" s="508">
        <v>45455.772656235247</v>
      </c>
      <c r="O862" s="508">
        <v>1194.476651535108</v>
      </c>
      <c r="Q862" s="2"/>
      <c r="R862" s="3"/>
      <c r="S862" s="3"/>
      <c r="T862" s="508"/>
      <c r="U862" s="508"/>
      <c r="V862" s="508"/>
      <c r="W862" s="508"/>
      <c r="X862" s="508">
        <v>46650.249307770355</v>
      </c>
      <c r="Y862" s="508"/>
      <c r="Z862" s="508">
        <v>244857.82856662504</v>
      </c>
      <c r="AA862" s="508"/>
      <c r="AB862" s="508"/>
      <c r="AC862" s="508"/>
      <c r="AD862" s="508"/>
      <c r="AE862" s="508"/>
      <c r="AF862" s="508"/>
      <c r="AG862" s="508"/>
      <c r="AH862" s="508">
        <v>0</v>
      </c>
      <c r="AI862" s="508"/>
      <c r="AJ862" s="508"/>
      <c r="AK862" s="508"/>
      <c r="AL862" s="508"/>
      <c r="AM862" s="508"/>
      <c r="AN862" s="508"/>
      <c r="AO862" s="508"/>
    </row>
    <row r="863" spans="1:41">
      <c r="A863" s="2" t="s">
        <v>1270</v>
      </c>
      <c r="B863" s="2" t="s">
        <v>1271</v>
      </c>
      <c r="C863" s="2" t="s">
        <v>328</v>
      </c>
      <c r="D863" s="2" t="s">
        <v>18</v>
      </c>
      <c r="E863" s="2" t="s">
        <v>19</v>
      </c>
      <c r="F863" s="2" t="s">
        <v>20</v>
      </c>
      <c r="G863" s="2" t="s">
        <v>21</v>
      </c>
      <c r="H863">
        <v>1</v>
      </c>
      <c r="I863" s="2" t="s">
        <v>526</v>
      </c>
      <c r="J863" s="3">
        <v>1</v>
      </c>
      <c r="K863" s="3">
        <v>5.2488000000000001</v>
      </c>
      <c r="L863" s="508">
        <v>1852.9112202380225</v>
      </c>
      <c r="M863" s="508">
        <v>0</v>
      </c>
      <c r="N863" s="508">
        <v>1852.9112202380225</v>
      </c>
      <c r="O863" s="508">
        <v>48.690437047603254</v>
      </c>
      <c r="Q863" s="2"/>
      <c r="R863" s="3"/>
      <c r="S863" s="3"/>
      <c r="T863" s="508"/>
      <c r="U863" s="508"/>
      <c r="V863" s="508"/>
      <c r="W863" s="508"/>
      <c r="X863" s="508">
        <v>1901.6016572856256</v>
      </c>
      <c r="Y863" s="508"/>
      <c r="Z863" s="508">
        <v>9981.1267787607921</v>
      </c>
      <c r="AA863" s="508"/>
      <c r="AB863" s="508"/>
      <c r="AC863" s="508"/>
      <c r="AD863" s="508"/>
      <c r="AE863" s="508"/>
      <c r="AF863" s="508"/>
      <c r="AG863" s="508"/>
      <c r="AH863" s="508">
        <v>0</v>
      </c>
      <c r="AI863" s="508"/>
      <c r="AJ863" s="508"/>
      <c r="AK863" s="508"/>
      <c r="AL863" s="508"/>
      <c r="AM863" s="508"/>
      <c r="AN863" s="508"/>
      <c r="AO863" s="508"/>
    </row>
    <row r="864" spans="1:41">
      <c r="A864" s="2" t="s">
        <v>1272</v>
      </c>
      <c r="B864" s="2" t="s">
        <v>1273</v>
      </c>
      <c r="C864" s="2" t="s">
        <v>328</v>
      </c>
      <c r="D864" s="2" t="s">
        <v>18</v>
      </c>
      <c r="E864" s="2" t="s">
        <v>19</v>
      </c>
      <c r="F864" s="2" t="s">
        <v>20</v>
      </c>
      <c r="G864" s="2" t="s">
        <v>21</v>
      </c>
      <c r="H864">
        <v>1</v>
      </c>
      <c r="I864" s="2" t="s">
        <v>526</v>
      </c>
      <c r="J864" s="3">
        <v>1</v>
      </c>
      <c r="K864" s="3">
        <v>5.2488000000000001</v>
      </c>
      <c r="L864" s="508">
        <v>15101.447341418714</v>
      </c>
      <c r="M864" s="508">
        <v>0</v>
      </c>
      <c r="N864" s="508">
        <v>15101.447341418714</v>
      </c>
      <c r="O864" s="508">
        <v>394.52534915555253</v>
      </c>
      <c r="Q864" s="2"/>
      <c r="R864" s="3"/>
      <c r="S864" s="3"/>
      <c r="T864" s="508"/>
      <c r="U864" s="508"/>
      <c r="V864" s="508"/>
      <c r="W864" s="508"/>
      <c r="X864" s="508">
        <v>15495.972690574266</v>
      </c>
      <c r="Y864" s="508"/>
      <c r="Z864" s="508">
        <v>81335.261458286215</v>
      </c>
      <c r="AA864" s="508"/>
      <c r="AB864" s="508"/>
      <c r="AC864" s="508"/>
      <c r="AD864" s="508"/>
      <c r="AE864" s="508"/>
      <c r="AF864" s="508"/>
      <c r="AG864" s="508"/>
      <c r="AH864" s="508">
        <v>0</v>
      </c>
      <c r="AI864" s="508"/>
      <c r="AJ864" s="508"/>
      <c r="AK864" s="508"/>
      <c r="AL864" s="508"/>
      <c r="AM864" s="508"/>
      <c r="AN864" s="508"/>
      <c r="AO864" s="508"/>
    </row>
    <row r="865" spans="1:41">
      <c r="A865" s="2" t="s">
        <v>1274</v>
      </c>
      <c r="B865" s="2" t="s">
        <v>1275</v>
      </c>
      <c r="C865" s="2" t="s">
        <v>328</v>
      </c>
      <c r="D865" s="2" t="s">
        <v>18</v>
      </c>
      <c r="E865" s="2" t="s">
        <v>19</v>
      </c>
      <c r="F865" s="2" t="s">
        <v>20</v>
      </c>
      <c r="G865" s="2" t="s">
        <v>21</v>
      </c>
      <c r="H865">
        <v>1</v>
      </c>
      <c r="I865" s="2" t="s">
        <v>526</v>
      </c>
      <c r="J865" s="3">
        <v>1</v>
      </c>
      <c r="K865" s="3">
        <v>5.2488000000000001</v>
      </c>
      <c r="L865" s="508">
        <v>7658.0320609379378</v>
      </c>
      <c r="M865" s="508">
        <v>0</v>
      </c>
      <c r="N865" s="508">
        <v>7658.0320609379378</v>
      </c>
      <c r="O865" s="508">
        <v>196.55613220387784</v>
      </c>
      <c r="Q865" s="2"/>
      <c r="R865" s="3"/>
      <c r="S865" s="3"/>
      <c r="T865" s="508"/>
      <c r="U865" s="508"/>
      <c r="V865" s="508"/>
      <c r="W865" s="508"/>
      <c r="X865" s="508">
        <v>7854.5881931418153</v>
      </c>
      <c r="Y865" s="508"/>
      <c r="Z865" s="508">
        <v>41227.162508162764</v>
      </c>
      <c r="AA865" s="508"/>
      <c r="AB865" s="508"/>
      <c r="AC865" s="508"/>
      <c r="AD865" s="508"/>
      <c r="AE865" s="508"/>
      <c r="AF865" s="508"/>
      <c r="AG865" s="508"/>
      <c r="AH865" s="508">
        <v>0</v>
      </c>
      <c r="AI865" s="508"/>
      <c r="AJ865" s="508"/>
      <c r="AK865" s="508"/>
      <c r="AL865" s="508"/>
      <c r="AM865" s="508"/>
      <c r="AN865" s="508"/>
      <c r="AO865" s="508"/>
    </row>
    <row r="866" spans="1:41">
      <c r="A866" s="2" t="s">
        <v>1276</v>
      </c>
      <c r="B866" s="2" t="s">
        <v>355</v>
      </c>
      <c r="C866" s="2" t="s">
        <v>328</v>
      </c>
      <c r="D866" s="2" t="s">
        <v>18</v>
      </c>
      <c r="E866" s="2" t="s">
        <v>19</v>
      </c>
      <c r="F866" s="2" t="s">
        <v>20</v>
      </c>
      <c r="G866" s="2" t="s">
        <v>21</v>
      </c>
      <c r="H866">
        <v>1</v>
      </c>
      <c r="I866" s="2" t="s">
        <v>526</v>
      </c>
      <c r="J866" s="3">
        <v>1</v>
      </c>
      <c r="K866" s="3">
        <v>5.2488000000000001</v>
      </c>
      <c r="L866" s="508">
        <v>5516.9459378050133</v>
      </c>
      <c r="M866" s="508">
        <v>0</v>
      </c>
      <c r="N866" s="508">
        <v>5516.9459378050133</v>
      </c>
      <c r="O866" s="508">
        <v>139.07303739765595</v>
      </c>
      <c r="Q866" s="2"/>
      <c r="R866" s="3"/>
      <c r="S866" s="3"/>
      <c r="T866" s="508"/>
      <c r="U866" s="508"/>
      <c r="V866" s="508"/>
      <c r="W866" s="508"/>
      <c r="X866" s="508">
        <v>5656.018975202669</v>
      </c>
      <c r="Y866" s="508"/>
      <c r="Z866" s="508">
        <v>29687.31239704377</v>
      </c>
      <c r="AA866" s="508"/>
      <c r="AB866" s="508"/>
      <c r="AC866" s="508"/>
      <c r="AD866" s="508"/>
      <c r="AE866" s="508"/>
      <c r="AF866" s="508"/>
      <c r="AG866" s="508"/>
      <c r="AH866" s="508">
        <v>0</v>
      </c>
      <c r="AI866" s="508"/>
      <c r="AJ866" s="508"/>
      <c r="AK866" s="508"/>
      <c r="AL866" s="508"/>
      <c r="AM866" s="508"/>
      <c r="AN866" s="508"/>
      <c r="AO866" s="508"/>
    </row>
    <row r="867" spans="1:41">
      <c r="A867" s="2" t="s">
        <v>1277</v>
      </c>
      <c r="B867" s="2" t="s">
        <v>1278</v>
      </c>
      <c r="C867" s="2" t="s">
        <v>328</v>
      </c>
      <c r="D867" s="2" t="s">
        <v>18</v>
      </c>
      <c r="E867" s="2" t="s">
        <v>19</v>
      </c>
      <c r="F867" s="2" t="s">
        <v>20</v>
      </c>
      <c r="G867" s="2" t="s">
        <v>21</v>
      </c>
      <c r="H867">
        <v>1</v>
      </c>
      <c r="I867" s="2" t="s">
        <v>526</v>
      </c>
      <c r="J867" s="3">
        <v>1</v>
      </c>
      <c r="K867" s="3">
        <v>5.2488000000000001</v>
      </c>
      <c r="L867" s="508">
        <v>995.43056938516611</v>
      </c>
      <c r="M867" s="508">
        <v>0</v>
      </c>
      <c r="N867" s="508">
        <v>995.43056938516611</v>
      </c>
      <c r="O867" s="508">
        <v>25.093201365920763</v>
      </c>
      <c r="Q867" s="2"/>
      <c r="R867" s="3"/>
      <c r="S867" s="3"/>
      <c r="T867" s="508"/>
      <c r="U867" s="508"/>
      <c r="V867" s="508"/>
      <c r="W867" s="508"/>
      <c r="X867" s="508">
        <v>1020.5237707510869</v>
      </c>
      <c r="Y867" s="508"/>
      <c r="Z867" s="508">
        <v>5356.5251679183048</v>
      </c>
      <c r="AA867" s="508"/>
      <c r="AB867" s="508"/>
      <c r="AC867" s="508"/>
      <c r="AD867" s="508"/>
      <c r="AE867" s="508"/>
      <c r="AF867" s="508"/>
      <c r="AG867" s="508"/>
      <c r="AH867" s="508">
        <v>0</v>
      </c>
      <c r="AI867" s="508"/>
      <c r="AJ867" s="508"/>
      <c r="AK867" s="508"/>
      <c r="AL867" s="508"/>
      <c r="AM867" s="508"/>
      <c r="AN867" s="508"/>
      <c r="AO867" s="508"/>
    </row>
    <row r="868" spans="1:41">
      <c r="A868" s="2" t="s">
        <v>1279</v>
      </c>
      <c r="B868" s="2" t="s">
        <v>1280</v>
      </c>
      <c r="C868" s="2" t="s">
        <v>328</v>
      </c>
      <c r="D868" s="2" t="s">
        <v>18</v>
      </c>
      <c r="E868" s="2" t="s">
        <v>19</v>
      </c>
      <c r="F868" s="2" t="s">
        <v>20</v>
      </c>
      <c r="G868" s="2" t="s">
        <v>21</v>
      </c>
      <c r="H868">
        <v>1</v>
      </c>
      <c r="I868" s="2" t="s">
        <v>526</v>
      </c>
      <c r="J868" s="3">
        <v>1</v>
      </c>
      <c r="K868" s="3">
        <v>5.2488000000000001</v>
      </c>
      <c r="L868" s="508">
        <v>2331.7959796501477</v>
      </c>
      <c r="M868" s="508">
        <v>0</v>
      </c>
      <c r="N868" s="508">
        <v>2331.7959796501477</v>
      </c>
      <c r="O868" s="508">
        <v>58.780662781414989</v>
      </c>
      <c r="Q868" s="2"/>
      <c r="R868" s="3"/>
      <c r="S868" s="3"/>
      <c r="T868" s="508"/>
      <c r="U868" s="508"/>
      <c r="V868" s="508"/>
      <c r="W868" s="508"/>
      <c r="X868" s="508">
        <v>2390.5766424315625</v>
      </c>
      <c r="Y868" s="508"/>
      <c r="Z868" s="508">
        <v>12547.658680794786</v>
      </c>
      <c r="AA868" s="508"/>
      <c r="AB868" s="508"/>
      <c r="AC868" s="508"/>
      <c r="AD868" s="508"/>
      <c r="AE868" s="508"/>
      <c r="AF868" s="508"/>
      <c r="AG868" s="508"/>
      <c r="AH868" s="508">
        <v>0</v>
      </c>
      <c r="AI868" s="508"/>
      <c r="AJ868" s="508"/>
      <c r="AK868" s="508"/>
      <c r="AL868" s="508"/>
      <c r="AM868" s="508"/>
      <c r="AN868" s="508"/>
      <c r="AO868" s="508"/>
    </row>
    <row r="869" spans="1:41">
      <c r="A869" s="2" t="s">
        <v>1281</v>
      </c>
      <c r="B869" s="2" t="s">
        <v>1282</v>
      </c>
      <c r="C869" s="2" t="s">
        <v>328</v>
      </c>
      <c r="D869" s="2" t="s">
        <v>18</v>
      </c>
      <c r="E869" s="2" t="s">
        <v>19</v>
      </c>
      <c r="F869" s="2" t="s">
        <v>20</v>
      </c>
      <c r="G869" s="2" t="s">
        <v>21</v>
      </c>
      <c r="H869">
        <v>1</v>
      </c>
      <c r="I869" s="2" t="s">
        <v>526</v>
      </c>
      <c r="J869" s="3">
        <v>1</v>
      </c>
      <c r="K869" s="3">
        <v>5.2488000000000001</v>
      </c>
      <c r="L869" s="508">
        <v>3675.6493185978152</v>
      </c>
      <c r="M869" s="508">
        <v>0</v>
      </c>
      <c r="N869" s="508">
        <v>3675.6493185978152</v>
      </c>
      <c r="O869" s="508">
        <v>92.657012903331506</v>
      </c>
      <c r="Q869" s="2"/>
      <c r="R869" s="3"/>
      <c r="S869" s="3"/>
      <c r="T869" s="508"/>
      <c r="U869" s="508"/>
      <c r="V869" s="508"/>
      <c r="W869" s="508"/>
      <c r="X869" s="508">
        <v>3768.3063315011468</v>
      </c>
      <c r="Y869" s="508"/>
      <c r="Z869" s="508">
        <v>19779.086272783221</v>
      </c>
      <c r="AA869" s="508"/>
      <c r="AB869" s="508"/>
      <c r="AC869" s="508"/>
      <c r="AD869" s="508"/>
      <c r="AE869" s="508"/>
      <c r="AF869" s="508"/>
      <c r="AG869" s="508"/>
      <c r="AH869" s="508">
        <v>0</v>
      </c>
      <c r="AI869" s="508"/>
      <c r="AJ869" s="508"/>
      <c r="AK869" s="508"/>
      <c r="AL869" s="508"/>
      <c r="AM869" s="508"/>
      <c r="AN869" s="508"/>
      <c r="AO869" s="508"/>
    </row>
    <row r="870" spans="1:41">
      <c r="A870" s="2" t="s">
        <v>1283</v>
      </c>
      <c r="B870" s="2" t="s">
        <v>1278</v>
      </c>
      <c r="C870" s="2" t="s">
        <v>328</v>
      </c>
      <c r="D870" s="2" t="s">
        <v>18</v>
      </c>
      <c r="E870" s="2" t="s">
        <v>19</v>
      </c>
      <c r="F870" s="2" t="s">
        <v>20</v>
      </c>
      <c r="G870" s="2" t="s">
        <v>21</v>
      </c>
      <c r="H870">
        <v>1</v>
      </c>
      <c r="I870" s="2" t="s">
        <v>526</v>
      </c>
      <c r="J870" s="3">
        <v>1</v>
      </c>
      <c r="K870" s="3">
        <v>5.2488000000000001</v>
      </c>
      <c r="L870" s="508">
        <v>1420.7693132622223</v>
      </c>
      <c r="M870" s="508">
        <v>0</v>
      </c>
      <c r="N870" s="508">
        <v>1420.7693132622223</v>
      </c>
      <c r="O870" s="508">
        <v>35.815247496230192</v>
      </c>
      <c r="Q870" s="2"/>
      <c r="R870" s="3"/>
      <c r="S870" s="3"/>
      <c r="T870" s="508"/>
      <c r="U870" s="508"/>
      <c r="V870" s="508"/>
      <c r="W870" s="508"/>
      <c r="X870" s="508">
        <v>1456.5845607584524</v>
      </c>
      <c r="Y870" s="508"/>
      <c r="Z870" s="508">
        <v>7645.3210425089655</v>
      </c>
      <c r="AA870" s="508"/>
      <c r="AB870" s="508"/>
      <c r="AC870" s="508"/>
      <c r="AD870" s="508"/>
      <c r="AE870" s="508"/>
      <c r="AF870" s="508"/>
      <c r="AG870" s="508"/>
      <c r="AH870" s="508">
        <v>0</v>
      </c>
      <c r="AI870" s="508"/>
      <c r="AJ870" s="508"/>
      <c r="AK870" s="508"/>
      <c r="AL870" s="508"/>
      <c r="AM870" s="508"/>
      <c r="AN870" s="508"/>
      <c r="AO870" s="508"/>
    </row>
    <row r="871" spans="1:41">
      <c r="A871" s="2" t="s">
        <v>1284</v>
      </c>
      <c r="B871" s="2" t="s">
        <v>1278</v>
      </c>
      <c r="C871" s="2" t="s">
        <v>328</v>
      </c>
      <c r="D871" s="2" t="s">
        <v>18</v>
      </c>
      <c r="E871" s="2" t="s">
        <v>19</v>
      </c>
      <c r="F871" s="2" t="s">
        <v>20</v>
      </c>
      <c r="G871" s="2" t="s">
        <v>21</v>
      </c>
      <c r="H871">
        <v>1</v>
      </c>
      <c r="I871" s="2" t="s">
        <v>526</v>
      </c>
      <c r="J871" s="3">
        <v>1</v>
      </c>
      <c r="K871" s="3">
        <v>5.2488000000000001</v>
      </c>
      <c r="L871" s="508">
        <v>2930.8685450656167</v>
      </c>
      <c r="M871" s="508">
        <v>0</v>
      </c>
      <c r="N871" s="508">
        <v>2930.8685450656167</v>
      </c>
      <c r="O871" s="508">
        <v>73.882367687670168</v>
      </c>
      <c r="Q871" s="2"/>
      <c r="R871" s="3"/>
      <c r="S871" s="3"/>
      <c r="T871" s="508"/>
      <c r="U871" s="508"/>
      <c r="V871" s="508"/>
      <c r="W871" s="508"/>
      <c r="X871" s="508">
        <v>3004.7509127532867</v>
      </c>
      <c r="Y871" s="508"/>
      <c r="Z871" s="508">
        <v>15771.336590859451</v>
      </c>
      <c r="AA871" s="508"/>
      <c r="AB871" s="508"/>
      <c r="AC871" s="508"/>
      <c r="AD871" s="508"/>
      <c r="AE871" s="508"/>
      <c r="AF871" s="508"/>
      <c r="AG871" s="508"/>
      <c r="AH871" s="508">
        <v>0</v>
      </c>
      <c r="AI871" s="508"/>
      <c r="AJ871" s="508"/>
      <c r="AK871" s="508"/>
      <c r="AL871" s="508"/>
      <c r="AM871" s="508"/>
      <c r="AN871" s="508"/>
      <c r="AO871" s="508"/>
    </row>
    <row r="872" spans="1:41">
      <c r="A872" s="2" t="s">
        <v>1285</v>
      </c>
      <c r="B872" s="2" t="s">
        <v>1195</v>
      </c>
      <c r="C872" s="2" t="s">
        <v>328</v>
      </c>
      <c r="D872" s="2" t="s">
        <v>18</v>
      </c>
      <c r="E872" s="2" t="s">
        <v>19</v>
      </c>
      <c r="F872" s="2" t="s">
        <v>20</v>
      </c>
      <c r="G872" s="2" t="s">
        <v>21</v>
      </c>
      <c r="H872">
        <v>1</v>
      </c>
      <c r="I872" s="2" t="s">
        <v>526</v>
      </c>
      <c r="J872" s="3">
        <v>1</v>
      </c>
      <c r="K872" s="3">
        <v>5.2488000000000001</v>
      </c>
      <c r="L872" s="508">
        <v>341437.475017249</v>
      </c>
      <c r="M872" s="508">
        <v>0</v>
      </c>
      <c r="N872" s="508">
        <v>341437.475017249</v>
      </c>
      <c r="O872" s="508">
        <v>2881.3529451856139</v>
      </c>
      <c r="Q872" s="2"/>
      <c r="R872" s="3"/>
      <c r="S872" s="3"/>
      <c r="T872" s="508"/>
      <c r="U872" s="508"/>
      <c r="V872" s="508"/>
      <c r="W872" s="508"/>
      <c r="X872" s="508">
        <v>344318.82796243462</v>
      </c>
      <c r="Y872" s="508"/>
      <c r="Z872" s="508">
        <v>1807260.6642092268</v>
      </c>
      <c r="AA872" s="508"/>
      <c r="AB872" s="508"/>
      <c r="AC872" s="508"/>
      <c r="AD872" s="508"/>
      <c r="AE872" s="508"/>
      <c r="AF872" s="508"/>
      <c r="AG872" s="508"/>
      <c r="AH872" s="508">
        <v>0</v>
      </c>
      <c r="AI872" s="508"/>
      <c r="AJ872" s="508"/>
      <c r="AK872" s="508"/>
      <c r="AL872" s="508"/>
      <c r="AM872" s="508"/>
      <c r="AN872" s="508"/>
      <c r="AO872" s="508"/>
    </row>
    <row r="873" spans="1:41">
      <c r="A873" s="2" t="s">
        <v>1286</v>
      </c>
      <c r="B873" s="2" t="s">
        <v>374</v>
      </c>
      <c r="C873" s="2" t="s">
        <v>328</v>
      </c>
      <c r="D873" s="2" t="s">
        <v>18</v>
      </c>
      <c r="E873" s="2" t="s">
        <v>19</v>
      </c>
      <c r="F873" s="2" t="s">
        <v>20</v>
      </c>
      <c r="G873" s="2" t="s">
        <v>21</v>
      </c>
      <c r="H873">
        <v>1</v>
      </c>
      <c r="I873" s="2" t="s">
        <v>526</v>
      </c>
      <c r="J873" s="3">
        <v>1</v>
      </c>
      <c r="K873" s="3">
        <v>5.2488000000000001</v>
      </c>
      <c r="L873" s="508">
        <v>989.34680171660693</v>
      </c>
      <c r="M873" s="508">
        <v>0</v>
      </c>
      <c r="N873" s="508">
        <v>989.34680171660693</v>
      </c>
      <c r="O873" s="508">
        <v>5.9250736994689568</v>
      </c>
      <c r="Q873" s="2"/>
      <c r="R873" s="3"/>
      <c r="S873" s="3"/>
      <c r="T873" s="508"/>
      <c r="U873" s="508"/>
      <c r="V873" s="508"/>
      <c r="W873" s="508"/>
      <c r="X873" s="508">
        <v>995.27187541607589</v>
      </c>
      <c r="Y873" s="508"/>
      <c r="Z873" s="508">
        <v>5223.9830196838993</v>
      </c>
      <c r="AA873" s="508"/>
      <c r="AB873" s="508"/>
      <c r="AC873" s="508"/>
      <c r="AD873" s="508"/>
      <c r="AE873" s="508"/>
      <c r="AF873" s="508"/>
      <c r="AG873" s="508"/>
      <c r="AH873" s="508">
        <v>0</v>
      </c>
      <c r="AI873" s="508"/>
      <c r="AJ873" s="508"/>
      <c r="AK873" s="508"/>
      <c r="AL873" s="508"/>
      <c r="AM873" s="508"/>
      <c r="AN873" s="508"/>
      <c r="AO873" s="508"/>
    </row>
    <row r="874" spans="1:41">
      <c r="A874" s="2" t="s">
        <v>1336</v>
      </c>
      <c r="B874" s="2" t="s">
        <v>382</v>
      </c>
      <c r="C874" s="2" t="s">
        <v>379</v>
      </c>
      <c r="D874" s="2" t="s">
        <v>30</v>
      </c>
      <c r="E874" s="2" t="s">
        <v>19</v>
      </c>
      <c r="F874" s="2" t="s">
        <v>380</v>
      </c>
      <c r="G874" s="2" t="s">
        <v>21</v>
      </c>
      <c r="H874">
        <v>1</v>
      </c>
      <c r="I874" s="2" t="s">
        <v>526</v>
      </c>
      <c r="J874" s="3">
        <v>1</v>
      </c>
      <c r="K874" s="3">
        <v>5.2488000000000001</v>
      </c>
      <c r="L874" s="508">
        <v>1870.0740308115592</v>
      </c>
      <c r="M874" s="508">
        <v>0</v>
      </c>
      <c r="N874" s="508">
        <v>1870.0740308115592</v>
      </c>
      <c r="O874" s="508">
        <v>0</v>
      </c>
      <c r="Q874" s="2"/>
      <c r="R874" s="3"/>
      <c r="S874" s="3"/>
      <c r="T874" s="508"/>
      <c r="U874" s="508"/>
      <c r="V874" s="508"/>
      <c r="W874" s="508"/>
      <c r="X874" s="508">
        <v>1870.0740308115592</v>
      </c>
      <c r="Y874" s="508"/>
      <c r="Z874" s="508">
        <v>9815.6445729237112</v>
      </c>
      <c r="AA874" s="508"/>
      <c r="AB874" s="508"/>
      <c r="AC874" s="508"/>
      <c r="AD874" s="508"/>
      <c r="AE874" s="508"/>
      <c r="AF874" s="508"/>
      <c r="AG874" s="508"/>
      <c r="AH874" s="508">
        <v>0</v>
      </c>
      <c r="AI874" s="508"/>
      <c r="AJ874" s="508"/>
      <c r="AK874" s="508"/>
      <c r="AL874" s="508"/>
      <c r="AM874" s="508"/>
      <c r="AN874" s="508"/>
      <c r="AO874" s="508"/>
    </row>
    <row r="875" spans="1:41">
      <c r="A875" s="2" t="s">
        <v>1299</v>
      </c>
      <c r="B875" s="2" t="s">
        <v>382</v>
      </c>
      <c r="C875" s="2" t="s">
        <v>379</v>
      </c>
      <c r="D875" s="2" t="s">
        <v>30</v>
      </c>
      <c r="E875" s="2" t="s">
        <v>19</v>
      </c>
      <c r="F875" s="2" t="s">
        <v>380</v>
      </c>
      <c r="G875" s="2" t="s">
        <v>21</v>
      </c>
      <c r="H875">
        <v>1</v>
      </c>
      <c r="I875" s="2" t="s">
        <v>526</v>
      </c>
      <c r="J875" s="3">
        <v>1</v>
      </c>
      <c r="K875" s="3">
        <v>5.2488000000000001</v>
      </c>
      <c r="L875" s="508">
        <v>1640.2917999120377</v>
      </c>
      <c r="M875" s="508">
        <v>0</v>
      </c>
      <c r="N875" s="508">
        <v>1640.2917999120377</v>
      </c>
      <c r="O875" s="508">
        <v>0</v>
      </c>
      <c r="Q875" s="2"/>
      <c r="R875" s="3"/>
      <c r="S875" s="3"/>
      <c r="T875" s="508"/>
      <c r="U875" s="508"/>
      <c r="V875" s="508"/>
      <c r="W875" s="508"/>
      <c r="X875" s="508">
        <v>1640.2917999120377</v>
      </c>
      <c r="Y875" s="508"/>
      <c r="Z875" s="508">
        <v>8609.5635993783035</v>
      </c>
      <c r="AA875" s="508"/>
      <c r="AB875" s="508"/>
      <c r="AC875" s="508"/>
      <c r="AD875" s="508"/>
      <c r="AE875" s="508"/>
      <c r="AF875" s="508"/>
      <c r="AG875" s="508"/>
      <c r="AH875" s="508">
        <v>0</v>
      </c>
      <c r="AI875" s="508"/>
      <c r="AJ875" s="508"/>
      <c r="AK875" s="508"/>
      <c r="AL875" s="508"/>
      <c r="AM875" s="508"/>
      <c r="AN875" s="508"/>
      <c r="AO875" s="508"/>
    </row>
    <row r="876" spans="1:41">
      <c r="A876" s="2" t="s">
        <v>1300</v>
      </c>
      <c r="B876" s="2" t="s">
        <v>382</v>
      </c>
      <c r="C876" s="2" t="s">
        <v>379</v>
      </c>
      <c r="D876" s="2" t="s">
        <v>30</v>
      </c>
      <c r="E876" s="2" t="s">
        <v>19</v>
      </c>
      <c r="F876" s="2" t="s">
        <v>380</v>
      </c>
      <c r="G876" s="2" t="s">
        <v>21</v>
      </c>
      <c r="H876">
        <v>1</v>
      </c>
      <c r="I876" s="2" t="s">
        <v>526</v>
      </c>
      <c r="J876" s="3">
        <v>1</v>
      </c>
      <c r="K876" s="3">
        <v>5.2488000000000001</v>
      </c>
      <c r="L876" s="508">
        <v>446.34251061868895</v>
      </c>
      <c r="M876" s="508">
        <v>0</v>
      </c>
      <c r="N876" s="508">
        <v>446.34251061868895</v>
      </c>
      <c r="O876" s="508">
        <v>0</v>
      </c>
      <c r="Q876" s="2"/>
      <c r="R876" s="3"/>
      <c r="S876" s="3"/>
      <c r="T876" s="508"/>
      <c r="U876" s="508"/>
      <c r="V876" s="508"/>
      <c r="W876" s="508"/>
      <c r="X876" s="508">
        <v>446.34251061868895</v>
      </c>
      <c r="Y876" s="508"/>
      <c r="Z876" s="508">
        <v>2342.7625697353747</v>
      </c>
      <c r="AA876" s="508"/>
      <c r="AB876" s="508"/>
      <c r="AC876" s="508"/>
      <c r="AD876" s="508"/>
      <c r="AE876" s="508"/>
      <c r="AF876" s="508"/>
      <c r="AG876" s="508"/>
      <c r="AH876" s="508">
        <v>0</v>
      </c>
      <c r="AI876" s="508"/>
      <c r="AJ876" s="508"/>
      <c r="AK876" s="508"/>
      <c r="AL876" s="508"/>
      <c r="AM876" s="508"/>
      <c r="AN876" s="508"/>
      <c r="AO876" s="508"/>
    </row>
    <row r="877" spans="1:41">
      <c r="A877" s="2" t="s">
        <v>1301</v>
      </c>
      <c r="B877" s="2" t="s">
        <v>382</v>
      </c>
      <c r="C877" s="2" t="s">
        <v>379</v>
      </c>
      <c r="D877" s="2" t="s">
        <v>30</v>
      </c>
      <c r="E877" s="2" t="s">
        <v>19</v>
      </c>
      <c r="F877" s="2" t="s">
        <v>380</v>
      </c>
      <c r="G877" s="2" t="s">
        <v>21</v>
      </c>
      <c r="H877">
        <v>1</v>
      </c>
      <c r="I877" s="2" t="s">
        <v>526</v>
      </c>
      <c r="J877" s="3">
        <v>1</v>
      </c>
      <c r="K877" s="3">
        <v>5.2488000000000001</v>
      </c>
      <c r="L877" s="508">
        <v>186.91059908655319</v>
      </c>
      <c r="M877" s="508">
        <v>0</v>
      </c>
      <c r="N877" s="508">
        <v>186.91059908655319</v>
      </c>
      <c r="O877" s="508">
        <v>0</v>
      </c>
      <c r="Q877" s="2"/>
      <c r="R877" s="3"/>
      <c r="S877" s="3"/>
      <c r="T877" s="508"/>
      <c r="U877" s="508"/>
      <c r="V877" s="508"/>
      <c r="W877" s="508"/>
      <c r="X877" s="508">
        <v>186.91059908655319</v>
      </c>
      <c r="Y877" s="508"/>
      <c r="Z877" s="508">
        <v>981.05635248550038</v>
      </c>
      <c r="AA877" s="508"/>
      <c r="AB877" s="508"/>
      <c r="AC877" s="508"/>
      <c r="AD877" s="508"/>
      <c r="AE877" s="508"/>
      <c r="AF877" s="508"/>
      <c r="AG877" s="508"/>
      <c r="AH877" s="508">
        <v>0</v>
      </c>
      <c r="AI877" s="508"/>
      <c r="AJ877" s="508"/>
      <c r="AK877" s="508"/>
      <c r="AL877" s="508"/>
      <c r="AM877" s="508"/>
      <c r="AN877" s="508"/>
      <c r="AO877" s="508"/>
    </row>
    <row r="878" spans="1:41">
      <c r="A878" s="2" t="s">
        <v>1325</v>
      </c>
      <c r="B878" s="2" t="s">
        <v>382</v>
      </c>
      <c r="C878" s="2" t="s">
        <v>379</v>
      </c>
      <c r="D878" s="2" t="s">
        <v>30</v>
      </c>
      <c r="E878" s="2" t="s">
        <v>19</v>
      </c>
      <c r="F878" s="2" t="s">
        <v>380</v>
      </c>
      <c r="G878" s="2" t="s">
        <v>57</v>
      </c>
      <c r="H878">
        <v>1</v>
      </c>
      <c r="I878" s="2" t="s">
        <v>526</v>
      </c>
      <c r="J878" s="3">
        <v>0.15684552284455039</v>
      </c>
      <c r="K878" s="3">
        <v>5.2488000000000001</v>
      </c>
      <c r="L878" s="508">
        <v>4059.3258862465545</v>
      </c>
      <c r="M878" s="508">
        <v>0</v>
      </c>
      <c r="N878" s="508">
        <v>4059.3258862465545</v>
      </c>
      <c r="O878" s="508">
        <v>0</v>
      </c>
      <c r="Q878" s="2"/>
      <c r="R878" s="3"/>
      <c r="S878" s="3"/>
      <c r="T878" s="508"/>
      <c r="U878" s="508"/>
      <c r="V878" s="508"/>
      <c r="W878" s="508"/>
      <c r="X878" s="508">
        <v>4059.3258862465545</v>
      </c>
      <c r="Y878" s="508"/>
      <c r="Z878" s="508">
        <v>21306.589711730918</v>
      </c>
      <c r="AA878" s="508"/>
      <c r="AB878" s="508"/>
      <c r="AC878" s="508"/>
      <c r="AD878" s="508"/>
      <c r="AE878" s="508"/>
      <c r="AF878" s="508"/>
      <c r="AG878" s="508"/>
      <c r="AH878" s="508">
        <v>0</v>
      </c>
      <c r="AI878" s="508"/>
      <c r="AJ878" s="508"/>
      <c r="AK878" s="508"/>
      <c r="AL878" s="508"/>
      <c r="AM878" s="508"/>
      <c r="AN878" s="508"/>
      <c r="AO878" s="508"/>
    </row>
    <row r="879" spans="1:41">
      <c r="A879" s="2" t="s">
        <v>1326</v>
      </c>
      <c r="B879" s="2" t="s">
        <v>382</v>
      </c>
      <c r="C879" s="2" t="s">
        <v>379</v>
      </c>
      <c r="D879" s="2" t="s">
        <v>30</v>
      </c>
      <c r="E879" s="2" t="s">
        <v>19</v>
      </c>
      <c r="F879" s="2" t="s">
        <v>380</v>
      </c>
      <c r="G879" s="2" t="s">
        <v>57</v>
      </c>
      <c r="H879">
        <v>1</v>
      </c>
      <c r="I879" s="2" t="s">
        <v>526</v>
      </c>
      <c r="J879" s="3">
        <v>0.15684552284455039</v>
      </c>
      <c r="K879" s="3">
        <v>5.2488000000000001</v>
      </c>
      <c r="L879" s="508">
        <v>1126.9744666227868</v>
      </c>
      <c r="M879" s="508">
        <v>0</v>
      </c>
      <c r="N879" s="508">
        <v>1126.9744666227868</v>
      </c>
      <c r="O879" s="508">
        <v>0</v>
      </c>
      <c r="Q879" s="2"/>
      <c r="R879" s="3"/>
      <c r="S879" s="3"/>
      <c r="T879" s="508"/>
      <c r="U879" s="508"/>
      <c r="V879" s="508"/>
      <c r="W879" s="508"/>
      <c r="X879" s="508">
        <v>1126.9744666227868</v>
      </c>
      <c r="Y879" s="508"/>
      <c r="Z879" s="508">
        <v>5915.2635804096835</v>
      </c>
      <c r="AA879" s="508"/>
      <c r="AB879" s="508"/>
      <c r="AC879" s="508"/>
      <c r="AD879" s="508"/>
      <c r="AE879" s="508"/>
      <c r="AF879" s="508"/>
      <c r="AG879" s="508"/>
      <c r="AH879" s="508">
        <v>0</v>
      </c>
      <c r="AI879" s="508"/>
      <c r="AJ879" s="508"/>
      <c r="AK879" s="508"/>
      <c r="AL879" s="508"/>
      <c r="AM879" s="508"/>
      <c r="AN879" s="508"/>
      <c r="AO879" s="508"/>
    </row>
    <row r="880" spans="1:41">
      <c r="A880" s="2" t="s">
        <v>1327</v>
      </c>
      <c r="B880" s="2" t="s">
        <v>382</v>
      </c>
      <c r="C880" s="2" t="s">
        <v>379</v>
      </c>
      <c r="D880" s="2" t="s">
        <v>30</v>
      </c>
      <c r="E880" s="2" t="s">
        <v>19</v>
      </c>
      <c r="F880" s="2" t="s">
        <v>380</v>
      </c>
      <c r="G880" s="2" t="s">
        <v>57</v>
      </c>
      <c r="H880">
        <v>1</v>
      </c>
      <c r="I880" s="2" t="s">
        <v>526</v>
      </c>
      <c r="J880" s="3">
        <v>0.15684552284455039</v>
      </c>
      <c r="K880" s="3">
        <v>5.2488000000000001</v>
      </c>
      <c r="L880" s="508">
        <v>2219.164870755566</v>
      </c>
      <c r="M880" s="508">
        <v>0</v>
      </c>
      <c r="N880" s="508">
        <v>2219.164870755566</v>
      </c>
      <c r="O880" s="508">
        <v>0</v>
      </c>
      <c r="Q880" s="2"/>
      <c r="R880" s="3"/>
      <c r="S880" s="3"/>
      <c r="T880" s="508"/>
      <c r="U880" s="508"/>
      <c r="V880" s="508"/>
      <c r="W880" s="508"/>
      <c r="X880" s="508">
        <v>2219.164870755566</v>
      </c>
      <c r="Y880" s="508"/>
      <c r="Z880" s="508">
        <v>11647.952573621815</v>
      </c>
      <c r="AA880" s="508"/>
      <c r="AB880" s="508"/>
      <c r="AC880" s="508"/>
      <c r="AD880" s="508"/>
      <c r="AE880" s="508"/>
      <c r="AF880" s="508"/>
      <c r="AG880" s="508"/>
      <c r="AH880" s="508">
        <v>0</v>
      </c>
      <c r="AI880" s="508"/>
      <c r="AJ880" s="508"/>
      <c r="AK880" s="508"/>
      <c r="AL880" s="508"/>
      <c r="AM880" s="508"/>
      <c r="AN880" s="508"/>
      <c r="AO880" s="508"/>
    </row>
    <row r="881" spans="1:41">
      <c r="A881" s="2" t="s">
        <v>1328</v>
      </c>
      <c r="B881" s="2" t="s">
        <v>382</v>
      </c>
      <c r="C881" s="2" t="s">
        <v>379</v>
      </c>
      <c r="D881" s="2" t="s">
        <v>30</v>
      </c>
      <c r="E881" s="2" t="s">
        <v>19</v>
      </c>
      <c r="F881" s="2" t="s">
        <v>380</v>
      </c>
      <c r="G881" s="2" t="s">
        <v>57</v>
      </c>
      <c r="H881">
        <v>1</v>
      </c>
      <c r="I881" s="2" t="s">
        <v>526</v>
      </c>
      <c r="J881" s="3">
        <v>0.15684552284455039</v>
      </c>
      <c r="K881" s="3">
        <v>5.2488000000000001</v>
      </c>
      <c r="L881" s="508">
        <v>8635.2696777987567</v>
      </c>
      <c r="M881" s="508">
        <v>0</v>
      </c>
      <c r="N881" s="508">
        <v>8635.2696777987567</v>
      </c>
      <c r="O881" s="508">
        <v>0</v>
      </c>
      <c r="Q881" s="2"/>
      <c r="R881" s="3"/>
      <c r="S881" s="3"/>
      <c r="T881" s="508"/>
      <c r="U881" s="508"/>
      <c r="V881" s="508"/>
      <c r="W881" s="508"/>
      <c r="X881" s="508">
        <v>8635.2696777987567</v>
      </c>
      <c r="Y881" s="508"/>
      <c r="Z881" s="508">
        <v>45324.803484830118</v>
      </c>
      <c r="AA881" s="508"/>
      <c r="AB881" s="508"/>
      <c r="AC881" s="508"/>
      <c r="AD881" s="508"/>
      <c r="AE881" s="508"/>
      <c r="AF881" s="508"/>
      <c r="AG881" s="508"/>
      <c r="AH881" s="508">
        <v>0</v>
      </c>
      <c r="AI881" s="508"/>
      <c r="AJ881" s="508"/>
      <c r="AK881" s="508"/>
      <c r="AL881" s="508"/>
      <c r="AM881" s="508"/>
      <c r="AN881" s="508"/>
      <c r="AO881" s="508"/>
    </row>
    <row r="882" spans="1:41">
      <c r="A882" s="2"/>
      <c r="B882" s="2" t="s">
        <v>1329</v>
      </c>
      <c r="C882" s="2" t="s">
        <v>17</v>
      </c>
      <c r="D882" s="2" t="s">
        <v>25</v>
      </c>
      <c r="E882" s="2" t="s">
        <v>19</v>
      </c>
      <c r="F882" s="2" t="s">
        <v>20</v>
      </c>
      <c r="G882" s="2" t="s">
        <v>21</v>
      </c>
      <c r="H882">
        <v>1</v>
      </c>
      <c r="I882" s="2" t="s">
        <v>526</v>
      </c>
      <c r="J882" s="3">
        <v>1</v>
      </c>
      <c r="K882" s="3">
        <v>5.2488000000000001</v>
      </c>
      <c r="L882" s="508">
        <v>147706.80127061059</v>
      </c>
      <c r="M882" s="508">
        <v>0</v>
      </c>
      <c r="N882" s="508">
        <v>147706.80127061059</v>
      </c>
      <c r="O882" s="508">
        <v>0</v>
      </c>
      <c r="Q882" s="2"/>
      <c r="R882" s="3"/>
      <c r="S882" s="3"/>
      <c r="T882" s="508"/>
      <c r="U882" s="508"/>
      <c r="V882" s="508"/>
      <c r="W882" s="508"/>
      <c r="X882" s="508">
        <v>147706.80127061059</v>
      </c>
      <c r="Y882" s="508"/>
      <c r="Z882" s="508">
        <v>775283.45850918093</v>
      </c>
      <c r="AA882" s="508"/>
      <c r="AB882" s="508"/>
      <c r="AC882" s="508"/>
      <c r="AD882" s="508"/>
      <c r="AE882" s="508"/>
      <c r="AF882" s="508"/>
      <c r="AG882" s="508"/>
      <c r="AH882" s="508">
        <v>0</v>
      </c>
      <c r="AI882" s="508"/>
      <c r="AJ882" s="508"/>
      <c r="AK882" s="508"/>
      <c r="AL882" s="508"/>
      <c r="AM882" s="508"/>
      <c r="AN882" s="508"/>
      <c r="AO882" s="508"/>
    </row>
    <row r="883" spans="1:41">
      <c r="A883" s="2"/>
      <c r="B883" s="2" t="s">
        <v>1330</v>
      </c>
      <c r="C883" s="2" t="s">
        <v>175</v>
      </c>
      <c r="D883" s="2" t="s">
        <v>25</v>
      </c>
      <c r="E883" s="2" t="s">
        <v>172</v>
      </c>
      <c r="F883" s="2" t="s">
        <v>173</v>
      </c>
      <c r="G883" s="2" t="s">
        <v>21</v>
      </c>
      <c r="H883">
        <v>1</v>
      </c>
      <c r="I883" s="2" t="s">
        <v>526</v>
      </c>
      <c r="J883" s="3">
        <v>1</v>
      </c>
      <c r="K883" s="3">
        <v>5.2488000000000001</v>
      </c>
      <c r="L883" s="508">
        <v>1760926.4116435624</v>
      </c>
      <c r="M883" s="508">
        <v>0</v>
      </c>
      <c r="N883" s="508">
        <v>1760926.4116435624</v>
      </c>
      <c r="O883" s="508">
        <v>0</v>
      </c>
      <c r="Q883" s="2"/>
      <c r="R883" s="3"/>
      <c r="S883" s="3"/>
      <c r="T883" s="508"/>
      <c r="U883" s="508"/>
      <c r="V883" s="508"/>
      <c r="W883" s="508"/>
      <c r="X883" s="508">
        <v>1760926.4116435624</v>
      </c>
      <c r="Y883" s="508"/>
      <c r="Z883" s="508">
        <v>9242750.5494347308</v>
      </c>
      <c r="AA883" s="508"/>
      <c r="AB883" s="508"/>
      <c r="AC883" s="508"/>
      <c r="AD883" s="508"/>
      <c r="AE883" s="508"/>
      <c r="AF883" s="508"/>
      <c r="AG883" s="508"/>
      <c r="AH883" s="508">
        <v>0</v>
      </c>
      <c r="AI883" s="508"/>
      <c r="AJ883" s="508"/>
      <c r="AK883" s="508"/>
      <c r="AL883" s="508"/>
      <c r="AM883" s="508"/>
      <c r="AN883" s="508"/>
      <c r="AO883" s="508"/>
    </row>
    <row r="884" spans="1:41">
      <c r="A884" s="2"/>
      <c r="B884" s="2" t="s">
        <v>1331</v>
      </c>
      <c r="C884" s="2" t="s">
        <v>17</v>
      </c>
      <c r="D884" s="2" t="s">
        <v>18</v>
      </c>
      <c r="E884" s="2" t="s">
        <v>19</v>
      </c>
      <c r="F884" s="2" t="s">
        <v>20</v>
      </c>
      <c r="G884" s="2" t="s">
        <v>21</v>
      </c>
      <c r="H884">
        <v>1</v>
      </c>
      <c r="I884" s="2" t="s">
        <v>526</v>
      </c>
      <c r="J884" s="3">
        <v>1</v>
      </c>
      <c r="K884" s="3">
        <v>5.2488000000000001</v>
      </c>
      <c r="L884" s="508">
        <v>923167.50794131611</v>
      </c>
      <c r="M884" s="508">
        <v>0</v>
      </c>
      <c r="N884" s="508">
        <v>923167.50794131611</v>
      </c>
      <c r="O884" s="508">
        <v>0</v>
      </c>
      <c r="Q884" s="2"/>
      <c r="R884" s="3"/>
      <c r="S884" s="3"/>
      <c r="T884" s="508"/>
      <c r="U884" s="508"/>
      <c r="V884" s="508"/>
      <c r="W884" s="508"/>
      <c r="X884" s="508">
        <v>923167.50794131611</v>
      </c>
      <c r="Y884" s="508"/>
      <c r="Z884" s="508">
        <v>4845521.6156823803</v>
      </c>
      <c r="AA884" s="508"/>
      <c r="AB884" s="508"/>
      <c r="AC884" s="508"/>
      <c r="AD884" s="508"/>
      <c r="AE884" s="508"/>
      <c r="AF884" s="508"/>
      <c r="AG884" s="508"/>
      <c r="AH884" s="508">
        <v>0</v>
      </c>
      <c r="AI884" s="508"/>
      <c r="AJ884" s="508"/>
      <c r="AK884" s="508"/>
      <c r="AL884" s="508"/>
      <c r="AM884" s="508"/>
      <c r="AN884" s="508"/>
      <c r="AO884" s="508"/>
    </row>
    <row r="885" spans="1:41">
      <c r="A885" s="2"/>
      <c r="B885" s="2" t="s">
        <v>1332</v>
      </c>
      <c r="C885" s="2" t="s">
        <v>17</v>
      </c>
      <c r="D885" s="2" t="s">
        <v>30</v>
      </c>
      <c r="E885" s="2" t="s">
        <v>19</v>
      </c>
      <c r="F885" s="2" t="s">
        <v>20</v>
      </c>
      <c r="G885" s="2" t="s">
        <v>21</v>
      </c>
      <c r="H885">
        <v>1</v>
      </c>
      <c r="I885" s="2" t="s">
        <v>526</v>
      </c>
      <c r="J885" s="3">
        <v>1</v>
      </c>
      <c r="K885" s="3">
        <v>5.2488000000000001</v>
      </c>
      <c r="L885" s="508">
        <v>830122.97848711582</v>
      </c>
      <c r="M885" s="508">
        <v>0</v>
      </c>
      <c r="N885" s="508">
        <v>830122.97848711582</v>
      </c>
      <c r="O885" s="508">
        <v>0</v>
      </c>
      <c r="Q885" s="2"/>
      <c r="R885" s="3"/>
      <c r="S885" s="3"/>
      <c r="T885" s="508"/>
      <c r="U885" s="508"/>
      <c r="V885" s="508"/>
      <c r="W885" s="508"/>
      <c r="X885" s="508">
        <v>830122.97848711582</v>
      </c>
      <c r="Y885" s="508"/>
      <c r="Z885" s="508">
        <v>4357149.4894831739</v>
      </c>
      <c r="AA885" s="508"/>
      <c r="AB885" s="508"/>
      <c r="AC885" s="508"/>
      <c r="AD885" s="508"/>
      <c r="AE885" s="508"/>
      <c r="AF885" s="508"/>
      <c r="AG885" s="508"/>
      <c r="AH885" s="508">
        <v>0</v>
      </c>
      <c r="AI885" s="508"/>
      <c r="AJ885" s="508"/>
      <c r="AK885" s="508"/>
      <c r="AL885" s="508"/>
      <c r="AM885" s="508"/>
      <c r="AN885" s="508"/>
      <c r="AO885" s="508"/>
    </row>
    <row r="886" spans="1:41">
      <c r="A886" s="2"/>
      <c r="B886" s="2" t="s">
        <v>1333</v>
      </c>
      <c r="C886" s="2" t="s">
        <v>175</v>
      </c>
      <c r="D886" s="2" t="s">
        <v>25</v>
      </c>
      <c r="E886" s="2" t="s">
        <v>172</v>
      </c>
      <c r="F886" s="2" t="s">
        <v>173</v>
      </c>
      <c r="G886" s="2" t="s">
        <v>21</v>
      </c>
      <c r="H886">
        <v>1</v>
      </c>
      <c r="I886" s="2" t="s">
        <v>526</v>
      </c>
      <c r="J886" s="3">
        <v>1</v>
      </c>
      <c r="K886" s="3">
        <v>5.2488000000000001</v>
      </c>
      <c r="L886" s="508">
        <v>1846335.0158826322</v>
      </c>
      <c r="M886" s="508">
        <v>0</v>
      </c>
      <c r="N886" s="508">
        <v>1846335.0158826322</v>
      </c>
      <c r="O886" s="508">
        <v>0</v>
      </c>
      <c r="Q886" s="2"/>
      <c r="R886" s="3"/>
      <c r="S886" s="3"/>
      <c r="T886" s="508"/>
      <c r="U886" s="508"/>
      <c r="V886" s="508"/>
      <c r="W886" s="508"/>
      <c r="X886" s="508">
        <v>1846335.0158826322</v>
      </c>
      <c r="Y886" s="508"/>
      <c r="Z886" s="508">
        <v>9691043.2313647605</v>
      </c>
      <c r="AA886" s="508"/>
      <c r="AB886" s="508"/>
      <c r="AC886" s="508"/>
      <c r="AD886" s="508"/>
      <c r="AE886" s="508"/>
      <c r="AF886" s="508"/>
      <c r="AG886" s="508"/>
      <c r="AH886" s="508">
        <v>0</v>
      </c>
      <c r="AI886" s="508"/>
      <c r="AJ886" s="508"/>
      <c r="AK886" s="508"/>
      <c r="AL886" s="508"/>
      <c r="AM886" s="508"/>
      <c r="AN886" s="508"/>
      <c r="AO886" s="508"/>
    </row>
    <row r="887" spans="1:41">
      <c r="A887" s="2"/>
      <c r="B887" s="2" t="s">
        <v>27</v>
      </c>
      <c r="C887" s="2" t="s">
        <v>379</v>
      </c>
      <c r="D887" s="2" t="s">
        <v>18</v>
      </c>
      <c r="E887" s="2" t="s">
        <v>19</v>
      </c>
      <c r="F887" s="2" t="s">
        <v>380</v>
      </c>
      <c r="G887" s="2" t="s">
        <v>21</v>
      </c>
      <c r="H887">
        <v>1</v>
      </c>
      <c r="I887" s="2" t="s">
        <v>526</v>
      </c>
      <c r="J887" s="3">
        <v>1</v>
      </c>
      <c r="K887" s="3">
        <v>5.2488000000000001</v>
      </c>
      <c r="L887" s="508">
        <v>44200</v>
      </c>
      <c r="M887" s="508">
        <v>0</v>
      </c>
      <c r="N887" s="508">
        <v>44200</v>
      </c>
      <c r="O887" s="508">
        <v>0</v>
      </c>
      <c r="Q887" s="2"/>
      <c r="R887" s="3"/>
      <c r="S887" s="3"/>
      <c r="T887" s="508"/>
      <c r="U887" s="508"/>
      <c r="V887" s="508"/>
      <c r="W887" s="508"/>
      <c r="X887" s="508">
        <v>44200</v>
      </c>
      <c r="Y887" s="508"/>
      <c r="Z887" s="508">
        <v>231996.96</v>
      </c>
      <c r="AA887" s="508"/>
      <c r="AB887" s="508"/>
      <c r="AC887" s="508"/>
      <c r="AD887" s="508"/>
      <c r="AE887" s="508"/>
      <c r="AF887" s="508"/>
      <c r="AG887" s="508"/>
      <c r="AH887" s="508">
        <v>0</v>
      </c>
      <c r="AI887" s="508"/>
      <c r="AJ887" s="508"/>
      <c r="AK887" s="508"/>
      <c r="AL887" s="508"/>
      <c r="AM887" s="508"/>
      <c r="AN887" s="508"/>
      <c r="AO887" s="508"/>
    </row>
  </sheetData>
  <phoneticPr fontId="6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6" sqref="E16"/>
    </sheetView>
  </sheetViews>
  <sheetFormatPr defaultColWidth="9.1796875" defaultRowHeight="14.5"/>
  <cols>
    <col min="1" max="1" width="10.26953125" style="521" bestFit="1" customWidth="1"/>
    <col min="2" max="2" width="9.54296875" style="512" bestFit="1" customWidth="1"/>
    <col min="3" max="3" width="9.1796875" style="513"/>
    <col min="4" max="4" width="15.453125" style="513" bestFit="1" customWidth="1"/>
    <col min="5" max="5" width="17.81640625" style="513" bestFit="1" customWidth="1"/>
    <col min="6" max="6" width="9.1796875" style="513"/>
    <col min="7" max="7" width="14.26953125" style="513" bestFit="1" customWidth="1"/>
    <col min="8" max="8" width="19.26953125" style="513" bestFit="1" customWidth="1"/>
    <col min="9" max="16384" width="9.1796875" style="513"/>
  </cols>
  <sheetData>
    <row r="1" spans="1:8">
      <c r="A1" s="511" t="s">
        <v>588</v>
      </c>
      <c r="D1" s="511" t="s">
        <v>589</v>
      </c>
      <c r="G1" s="511" t="s">
        <v>590</v>
      </c>
    </row>
    <row r="2" spans="1:8">
      <c r="A2" s="514" t="s">
        <v>10</v>
      </c>
      <c r="B2" s="515" t="s">
        <v>1343</v>
      </c>
      <c r="D2" s="514" t="s">
        <v>1344</v>
      </c>
      <c r="E2" s="515" t="s">
        <v>1345</v>
      </c>
      <c r="G2" s="514" t="s">
        <v>1344</v>
      </c>
      <c r="H2" s="515" t="s">
        <v>1345</v>
      </c>
    </row>
    <row r="3" spans="1:8">
      <c r="A3" s="516" t="s">
        <v>17</v>
      </c>
      <c r="B3" s="517">
        <v>1.4999999999999999E-2</v>
      </c>
      <c r="D3" s="518" t="s">
        <v>1346</v>
      </c>
      <c r="E3" s="517">
        <v>0.02</v>
      </c>
      <c r="G3" s="518" t="s">
        <v>1347</v>
      </c>
      <c r="H3" s="517">
        <v>0.25</v>
      </c>
    </row>
    <row r="4" spans="1:8">
      <c r="A4" s="516" t="s">
        <v>667</v>
      </c>
      <c r="B4" s="517">
        <v>1.4999999999999999E-2</v>
      </c>
      <c r="G4" s="516" t="s">
        <v>1348</v>
      </c>
      <c r="H4" s="517">
        <v>0.5</v>
      </c>
    </row>
    <row r="5" spans="1:8">
      <c r="A5" s="516" t="s">
        <v>666</v>
      </c>
      <c r="B5" s="517">
        <v>1.4999999999999999E-2</v>
      </c>
      <c r="G5" s="516" t="s">
        <v>1349</v>
      </c>
      <c r="H5" s="517">
        <v>1</v>
      </c>
    </row>
    <row r="6" spans="1:8">
      <c r="A6" s="516" t="s">
        <v>676</v>
      </c>
      <c r="B6" s="517">
        <v>1.4999999999999999E-2</v>
      </c>
      <c r="G6" s="519"/>
      <c r="H6" s="520"/>
    </row>
    <row r="7" spans="1:8">
      <c r="A7" s="516" t="s">
        <v>328</v>
      </c>
      <c r="B7" s="517">
        <v>1.4999999999999999E-2</v>
      </c>
      <c r="G7" s="519"/>
      <c r="H7" s="520"/>
    </row>
    <row r="8" spans="1:8">
      <c r="A8" s="516" t="s">
        <v>1014</v>
      </c>
      <c r="B8" s="517">
        <v>1.4999999999999999E-2</v>
      </c>
      <c r="G8" s="519"/>
      <c r="H8" s="520"/>
    </row>
    <row r="9" spans="1:8">
      <c r="A9" s="516" t="s">
        <v>674</v>
      </c>
      <c r="B9" s="517">
        <v>0.1</v>
      </c>
    </row>
    <row r="10" spans="1:8">
      <c r="A10" s="516" t="s">
        <v>731</v>
      </c>
      <c r="B10" s="517">
        <v>0.1</v>
      </c>
    </row>
    <row r="11" spans="1:8">
      <c r="A11" s="516" t="s">
        <v>735</v>
      </c>
      <c r="B11" s="517">
        <v>0.1</v>
      </c>
    </row>
    <row r="12" spans="1:8">
      <c r="A12" s="516" t="s">
        <v>739</v>
      </c>
      <c r="B12" s="517">
        <v>0.1</v>
      </c>
    </row>
    <row r="13" spans="1:8">
      <c r="A13" s="516" t="s">
        <v>1353</v>
      </c>
      <c r="B13" s="51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7030A0"/>
  </sheetPr>
  <dimension ref="A2:O86"/>
  <sheetViews>
    <sheetView topLeftCell="A10" workbookViewId="0">
      <selection activeCell="G86" sqref="G86"/>
    </sheetView>
  </sheetViews>
  <sheetFormatPr defaultColWidth="9.08984375" defaultRowHeight="14.5"/>
  <cols>
    <col min="1" max="1" width="40.90625" style="498" customWidth="1"/>
    <col min="2" max="2" width="15.08984375" style="498" bestFit="1" customWidth="1"/>
    <col min="3" max="3" width="11.7265625" style="498" bestFit="1" customWidth="1"/>
    <col min="4" max="4" width="28.26953125" style="498" bestFit="1" customWidth="1"/>
    <col min="5" max="5" width="25" style="498" bestFit="1" customWidth="1"/>
    <col min="6" max="6" width="26.26953125" style="443" customWidth="1"/>
    <col min="7" max="7" width="21.7265625" style="443" bestFit="1" customWidth="1"/>
    <col min="8" max="10" width="19.08984375" style="498" customWidth="1"/>
    <col min="11" max="11" width="15.453125" style="498" bestFit="1" customWidth="1"/>
    <col min="12" max="12" width="17.7265625" style="498" bestFit="1" customWidth="1"/>
    <col min="13" max="14" width="9.08984375" style="498"/>
    <col min="15" max="16384" width="9.08984375" style="499"/>
  </cols>
  <sheetData>
    <row r="2" spans="1:15" s="314" customFormat="1">
      <c r="A2" s="442" t="s">
        <v>779</v>
      </c>
      <c r="B2" s="443"/>
      <c r="C2" s="444">
        <v>4</v>
      </c>
      <c r="D2" s="442" t="s">
        <v>780</v>
      </c>
      <c r="E2" s="445">
        <f>SUM(E4:E7)</f>
        <v>31664733654.151398</v>
      </c>
      <c r="F2" s="443" t="s">
        <v>744</v>
      </c>
      <c r="G2" s="443"/>
      <c r="H2" s="442"/>
      <c r="I2" s="446"/>
      <c r="J2" s="446"/>
      <c r="K2" s="446"/>
      <c r="L2" s="446"/>
      <c r="M2" s="442"/>
      <c r="N2" s="447"/>
      <c r="O2" s="386"/>
    </row>
    <row r="3" spans="1:15" s="314" customFormat="1">
      <c r="A3" s="448" t="s">
        <v>781</v>
      </c>
      <c r="B3" s="449" t="s">
        <v>782</v>
      </c>
      <c r="C3" s="449" t="s">
        <v>783</v>
      </c>
      <c r="D3" s="442" t="s">
        <v>784</v>
      </c>
      <c r="E3" s="450" t="s">
        <v>780</v>
      </c>
      <c r="F3" s="451" t="s">
        <v>785</v>
      </c>
      <c r="G3" s="452" t="s">
        <v>786</v>
      </c>
      <c r="H3" s="450" t="s">
        <v>787</v>
      </c>
      <c r="I3" s="450" t="s">
        <v>788</v>
      </c>
      <c r="J3" s="450" t="s">
        <v>789</v>
      </c>
      <c r="K3" s="450" t="s">
        <v>690</v>
      </c>
      <c r="L3" s="450" t="s">
        <v>534</v>
      </c>
      <c r="M3" s="442"/>
      <c r="N3" s="447"/>
      <c r="O3" s="386"/>
    </row>
    <row r="4" spans="1:15" s="314" customFormat="1">
      <c r="A4" s="442" t="s">
        <v>790</v>
      </c>
      <c r="B4" s="453">
        <v>5</v>
      </c>
      <c r="C4" s="454" t="s">
        <v>783</v>
      </c>
      <c r="D4" s="455" t="s">
        <v>791</v>
      </c>
      <c r="E4" s="456">
        <f>SUMIFS(Port!AD:AD,Port!$F:$F,"C",Port!$H:$H,1)</f>
        <v>31622997643.909374</v>
      </c>
      <c r="F4" s="456">
        <f>SUMIFS(Port!AG:AG,Port!$F:$F,"C",Port!$H:$H,1)</f>
        <v>110199325.78246723</v>
      </c>
      <c r="G4" s="457">
        <v>0</v>
      </c>
      <c r="H4" s="456">
        <f>SUMIFS(Port!AD:AD,Port!$F:$F,"C",Port!$H:$H,1)+SUMIFS(Port!AG:AG,Port!$F:$F,"C",Port!$H:$H,1)</f>
        <v>31733196969.691841</v>
      </c>
      <c r="I4" s="456">
        <f>SUMIFS(Port!AE:AE,Port!$F:$F,"C",Port!$H:$H,1)</f>
        <v>2811253395.888</v>
      </c>
      <c r="J4" s="500">
        <f>(SUMIFS(Port!AL:AL,Port!$F:$F,"C",Port!$H:$H,1)+SUMIFS(Port!AM:AM,Port!$F:$F,"C",Port!$H:$H,1)) / (H4+I4)</f>
        <v>2.0923788321164326E-2</v>
      </c>
      <c r="K4" s="500">
        <f>(SUMIFS(Port!AN:AN,Port!$F:$F,"C",Port!$H:$H,1)+SUMIFS(Port!AO:AO,Port!$F:$F,"C",Port!$H:$H,1)) / (H4+I4)</f>
        <v>0.80579576995912072</v>
      </c>
      <c r="L4" s="456">
        <f>SUMIFS(Port!AJ:AJ,Port!$F:$F,"C",Port!$H:$H,1)+SUMIFS(Port!AK:AK,Port!$F:$F,"C",Port!$H:$H,1)</f>
        <v>586041691.2525351</v>
      </c>
      <c r="M4" s="459"/>
      <c r="N4" s="460"/>
    </row>
    <row r="5" spans="1:15" s="314" customFormat="1">
      <c r="A5" s="442" t="s">
        <v>790</v>
      </c>
      <c r="B5" s="453">
        <v>5</v>
      </c>
      <c r="C5" s="454" t="s">
        <v>783</v>
      </c>
      <c r="D5" s="455" t="s">
        <v>792</v>
      </c>
      <c r="E5" s="456">
        <f>SUMIFS(Port!AD:AD,Port!$F:$F,"C",Port!$H:$H,2)</f>
        <v>40435139.671847999</v>
      </c>
      <c r="F5" s="456">
        <f>SUMIFS(Port!AG:AG,Port!$F:$F,"C",Port!$H:$H,2)</f>
        <v>911153.67868800031</v>
      </c>
      <c r="G5" s="457">
        <v>0</v>
      </c>
      <c r="H5" s="456">
        <f>SUMIFS(Port!AD:AD,Port!$F:$F,"C",Port!$H:$H,2)+SUMIFS(Port!AG:AG,Port!$F:$F,"C",Port!$H:$H,2)</f>
        <v>41346293.350535996</v>
      </c>
      <c r="I5" s="456">
        <f>SUMIFS(Port!AE:AE,Port!$F:$F,"C",Port!$H:$H,2)</f>
        <v>0</v>
      </c>
      <c r="J5" s="500">
        <f>(SUMIFS(Port!AL:AL,Port!$F:$F,"C",Port!$H:$H,2)+SUMIFS(Port!AM:AM,Port!$F:$F,"C",Port!$H:$H,2)) / (H5+I5)</f>
        <v>8.7213647762221513E-2</v>
      </c>
      <c r="K5" s="500">
        <f>(SUMIFS(Port!AN:AN,Port!$F:$F,"C",Port!$H:$H,2)+SUMIFS(Port!AO:AO,Port!$F:$F,"C",Port!$H:$H,2)) / (H5+I5)</f>
        <v>0.85000000000000042</v>
      </c>
      <c r="L5" s="456">
        <f>SUMIFS(Port!AJ:AJ,Port!$F:$F,"C",Port!$H:$H,2)+SUMIFS(Port!AK:AK,Port!$F:$F,"C",Port!$H:$H,2)</f>
        <v>3065066.9048650586</v>
      </c>
      <c r="M5" s="459"/>
      <c r="N5" s="460"/>
    </row>
    <row r="6" spans="1:15" s="314" customFormat="1">
      <c r="A6" s="442" t="s">
        <v>790</v>
      </c>
      <c r="B6" s="453">
        <v>5</v>
      </c>
      <c r="C6" s="454" t="s">
        <v>783</v>
      </c>
      <c r="D6" s="455" t="s">
        <v>793</v>
      </c>
      <c r="E6" s="456">
        <f>SUMIFS(Port!AD:AD,Port!$F:$F,"C",Port!$H:$H,3)</f>
        <v>1300870.5701760002</v>
      </c>
      <c r="F6" s="456">
        <f>SUMIFS(Port!AG:AG,Port!$F:$F,"C",Port!$H:$H,3)</f>
        <v>0</v>
      </c>
      <c r="G6" s="456">
        <v>0</v>
      </c>
      <c r="H6" s="456">
        <f>SUMIFS(Port!AD:AD,Port!$F:$F,"C",Port!$H:$H,3)+SUMIFS(Port!AG:AG,Port!$F:$F,"C",Port!$H:$H,3)</f>
        <v>1300870.5701760002</v>
      </c>
      <c r="I6" s="456">
        <f>SUMIFS(Port!AE:AE,Port!$F:$F,"C",Port!$H:$H,3)</f>
        <v>0</v>
      </c>
      <c r="J6" s="500">
        <f>(SUMIFS(Port!AL:AL,Port!$F:$F,"C",Port!$H:$H,3)+SUMIFS(Port!AM:AM,Port!$F:$F,"C",Port!$H:$H,3)) / (H6+I6)</f>
        <v>1</v>
      </c>
      <c r="K6" s="500">
        <f>(SUMIFS(Port!AN:AN,Port!$F:$F,"C",Port!$H:$H,3)+SUMIFS(Port!AO:AO,Port!$F:$F,"C",Port!$H:$H,3)) / (H6+I6)</f>
        <v>0.85</v>
      </c>
      <c r="L6" s="456">
        <f>SUMIFS(Port!AJ:AJ,Port!$F:$F,"C",Port!$H:$H,3)+SUMIFS(Port!AK:AK,Port!$F:$F,"C",Port!$H:$H,3)</f>
        <v>1105739.9846496</v>
      </c>
      <c r="M6" s="459"/>
      <c r="N6" s="460"/>
    </row>
    <row r="7" spans="1:15" s="314" customFormat="1">
      <c r="A7" s="442" t="s">
        <v>790</v>
      </c>
      <c r="B7" s="453">
        <v>5</v>
      </c>
      <c r="C7" s="454" t="s">
        <v>783</v>
      </c>
      <c r="D7" s="455" t="s">
        <v>591</v>
      </c>
      <c r="E7" s="456">
        <v>0</v>
      </c>
      <c r="F7" s="456">
        <v>0</v>
      </c>
      <c r="G7" s="456">
        <v>0</v>
      </c>
      <c r="H7" s="456">
        <v>0</v>
      </c>
      <c r="I7" s="456">
        <v>0</v>
      </c>
      <c r="J7" s="456">
        <v>0</v>
      </c>
      <c r="K7" s="456">
        <v>0</v>
      </c>
      <c r="L7" s="456">
        <v>0</v>
      </c>
      <c r="M7" s="459"/>
      <c r="N7" s="460"/>
    </row>
    <row r="8" spans="1:15" s="314" customFormat="1">
      <c r="A8" s="447"/>
      <c r="B8" s="461"/>
      <c r="C8" s="461"/>
      <c r="D8" s="462" t="s">
        <v>684</v>
      </c>
      <c r="E8" s="463"/>
      <c r="F8" s="464"/>
      <c r="G8" s="464"/>
      <c r="H8" s="461"/>
      <c r="I8" s="461"/>
      <c r="J8" s="465"/>
      <c r="K8" s="447"/>
      <c r="L8" s="466"/>
      <c r="M8" s="447"/>
      <c r="N8" s="460"/>
    </row>
    <row r="9" spans="1:15" s="314" customFormat="1">
      <c r="A9" s="447"/>
      <c r="B9" s="461"/>
      <c r="C9" s="461"/>
      <c r="D9" s="465"/>
      <c r="E9" s="463"/>
      <c r="F9" s="464"/>
      <c r="G9" s="464"/>
      <c r="H9" s="461"/>
      <c r="I9" s="461"/>
      <c r="J9" s="465"/>
      <c r="K9" s="447"/>
      <c r="L9" s="447"/>
      <c r="M9" s="447"/>
      <c r="N9" s="460"/>
    </row>
    <row r="10" spans="1:15" s="314" customFormat="1">
      <c r="A10" s="447"/>
      <c r="B10" s="461"/>
      <c r="C10" s="461"/>
      <c r="D10" s="465"/>
      <c r="E10" s="463"/>
      <c r="F10" s="464"/>
      <c r="G10" s="464"/>
      <c r="H10" s="464"/>
      <c r="I10" s="461"/>
      <c r="J10" s="465"/>
      <c r="K10" s="447"/>
      <c r="L10" s="447"/>
      <c r="M10" s="447"/>
      <c r="N10" s="460"/>
    </row>
    <row r="11" spans="1:15" s="314" customFormat="1">
      <c r="A11" s="442" t="s">
        <v>794</v>
      </c>
      <c r="B11" s="467"/>
      <c r="C11" s="467">
        <v>4</v>
      </c>
      <c r="D11" s="442" t="s">
        <v>534</v>
      </c>
      <c r="E11" s="468">
        <f>SUM(G13:G17)</f>
        <v>16748692.745062379</v>
      </c>
      <c r="F11" s="469"/>
      <c r="G11" s="470"/>
      <c r="H11" s="442"/>
      <c r="I11" s="461"/>
      <c r="J11" s="465"/>
      <c r="K11" s="447"/>
      <c r="L11" s="447"/>
      <c r="M11" s="447"/>
      <c r="N11" s="460"/>
    </row>
    <row r="12" spans="1:15" s="314" customFormat="1">
      <c r="A12" s="448" t="s">
        <v>795</v>
      </c>
      <c r="B12" s="449" t="s">
        <v>782</v>
      </c>
      <c r="C12" s="449" t="s">
        <v>783</v>
      </c>
      <c r="D12" s="442" t="s">
        <v>784</v>
      </c>
      <c r="E12" s="471" t="s">
        <v>796</v>
      </c>
      <c r="F12" s="472" t="s">
        <v>797</v>
      </c>
      <c r="G12" s="472" t="s">
        <v>534</v>
      </c>
      <c r="H12" s="442"/>
      <c r="I12" s="461"/>
      <c r="J12" s="465"/>
      <c r="K12" s="447"/>
      <c r="L12" s="447"/>
      <c r="M12" s="447"/>
      <c r="N12" s="460"/>
    </row>
    <row r="13" spans="1:15" s="314" customFormat="1">
      <c r="A13" s="442" t="s">
        <v>790</v>
      </c>
      <c r="B13" s="453">
        <v>5</v>
      </c>
      <c r="C13" s="454" t="s">
        <v>783</v>
      </c>
      <c r="D13" s="455" t="s">
        <v>798</v>
      </c>
      <c r="E13" s="457">
        <f>SUMIFS(Port!AE:AE,Port!$F:$F,"C",Port!$H:$H,1)+SUMIFS(Port!AE:AE,Port!$F:$F,"F",Port!$H:$H,1)+SUMIFS(Port!AE:AE,Port!$F:$F,"O",Port!$H:$H,1)</f>
        <v>2844680903.5679998</v>
      </c>
      <c r="F13" s="457">
        <f>SUMIFS(Port!AE:AE,Port!$F:$F,"C",Port!$H:$H,1)+SUMIFS(Port!AE:AE,Port!$F:$F,"F",Port!$H:$H,1)+SUMIFS(Port!AD:AD,Port!$F:$F,"O",Port!$H:$H,1)</f>
        <v>4965466136.4792671</v>
      </c>
      <c r="G13" s="457">
        <f>SUMIFS(Port!AI:AI,Port!$H:$H,1)+SUMIFS(Port!AH:AH,Port!$F:$F,"O",Port!$H:$H,1)</f>
        <v>16748692.745062379</v>
      </c>
      <c r="H13" s="473"/>
      <c r="I13" s="461"/>
      <c r="J13" s="465"/>
      <c r="K13" s="447"/>
      <c r="L13" s="447"/>
      <c r="M13" s="447"/>
      <c r="N13" s="460"/>
    </row>
    <row r="14" spans="1:15" s="314" customFormat="1">
      <c r="A14" s="442" t="s">
        <v>790</v>
      </c>
      <c r="B14" s="453">
        <v>5</v>
      </c>
      <c r="C14" s="454" t="s">
        <v>783</v>
      </c>
      <c r="D14" s="455" t="s">
        <v>799</v>
      </c>
      <c r="E14" s="457">
        <f>SUMIFS(Port!AE:AE,Port!$F:$F,"C",Port!$H:$H,2)+SUMIFS(Port!AE:AE,Port!$F:$F,"F",Port!$H:$H,2)+SUMIFS(Port!AE:AE,Port!$F:$F,"O",Port!$H:$H,2)</f>
        <v>0</v>
      </c>
      <c r="F14" s="457">
        <f>SUMIFS(Port!AE:AE,Port!$F:$F,"C",Port!$H:$H,2)+SUMIFS(Port!AE:AE,Port!$F:$F,"F",Port!$H:$H,2)+SUMIFS(Port!AD:AD,Port!$F:$F,"O",Port!$H:$H,2)</f>
        <v>0</v>
      </c>
      <c r="G14" s="457">
        <f>SUMIFS(Port!AI:AI,Port!$H:$H,2)+SUMIFS(Port!AH:AH,Port!$F:$F,"O",Port!$H:$H,2)</f>
        <v>0</v>
      </c>
      <c r="H14" s="473"/>
      <c r="I14" s="461"/>
      <c r="J14" s="465"/>
      <c r="K14" s="447"/>
      <c r="L14" s="447"/>
      <c r="M14" s="447"/>
      <c r="N14" s="460"/>
    </row>
    <row r="15" spans="1:15" s="314" customFormat="1">
      <c r="A15" s="442" t="s">
        <v>790</v>
      </c>
      <c r="B15" s="453">
        <v>5</v>
      </c>
      <c r="C15" s="454" t="s">
        <v>783</v>
      </c>
      <c r="D15" s="455" t="s">
        <v>800</v>
      </c>
      <c r="E15" s="457">
        <f>SUMIFS(Port!AE:AE,Port!$F:$F,"C",Port!$H:$H,3)+SUMIFS(Port!AE:AE,Port!$F:$F,"F",Port!$H:$H,3)+SUMIFS(Port!AE:AE,Port!$F:$F,"O",Port!$H:$H,3)</f>
        <v>0</v>
      </c>
      <c r="F15" s="457">
        <f>SUMIFS(Port!AE:AE,Port!$F:$F,"C",Port!$H:$H,3)+SUMIFS(Port!AE:AE,Port!$F:$F,"F",Port!$H:$H,3)+SUMIFS(Port!AD:AD,Port!$F:$F,"O",Port!$H:$H,3)</f>
        <v>0</v>
      </c>
      <c r="G15" s="457">
        <f>SUMIFS(Port!AI:AI,Port!$H:$H,3)+SUMIFS(Port!AH:AH,Port!$F:$F,"O",Port!$H:$H,3)</f>
        <v>0</v>
      </c>
      <c r="H15" s="473"/>
      <c r="I15" s="461"/>
      <c r="J15" s="465"/>
      <c r="K15" s="447"/>
      <c r="L15" s="447"/>
      <c r="M15" s="447"/>
      <c r="N15" s="460"/>
    </row>
    <row r="16" spans="1:15" s="314" customFormat="1">
      <c r="A16" s="442" t="s">
        <v>790</v>
      </c>
      <c r="B16" s="453">
        <v>5</v>
      </c>
      <c r="C16" s="454" t="s">
        <v>783</v>
      </c>
      <c r="D16" s="455" t="s">
        <v>801</v>
      </c>
      <c r="E16" s="457">
        <v>0</v>
      </c>
      <c r="F16" s="474">
        <v>0</v>
      </c>
      <c r="G16" s="457">
        <v>0</v>
      </c>
      <c r="H16" s="473"/>
      <c r="I16" s="461"/>
      <c r="J16" s="465"/>
      <c r="K16" s="447"/>
      <c r="L16" s="447"/>
      <c r="M16" s="447"/>
      <c r="N16" s="460"/>
    </row>
    <row r="17" spans="1:14" s="314" customFormat="1">
      <c r="A17" s="442"/>
      <c r="B17" s="475"/>
      <c r="C17" s="454"/>
      <c r="D17" s="455"/>
      <c r="E17" s="476"/>
      <c r="F17" s="474"/>
      <c r="G17" s="457"/>
      <c r="H17" s="473"/>
      <c r="I17" s="461"/>
      <c r="J17" s="465"/>
      <c r="K17" s="447"/>
      <c r="L17" s="447"/>
      <c r="M17" s="447"/>
      <c r="N17" s="460"/>
    </row>
    <row r="18" spans="1:14" s="314" customFormat="1">
      <c r="A18" s="447"/>
      <c r="B18" s="461"/>
      <c r="C18" s="461"/>
      <c r="D18" s="465"/>
      <c r="E18" s="463"/>
      <c r="F18" s="464"/>
      <c r="G18" s="464"/>
      <c r="H18" s="464"/>
      <c r="I18" s="461"/>
      <c r="J18" s="465"/>
      <c r="K18" s="447"/>
      <c r="L18" s="447"/>
      <c r="M18" s="447"/>
      <c r="N18" s="460"/>
    </row>
    <row r="19" spans="1:14" s="314" customFormat="1">
      <c r="A19" s="447"/>
      <c r="B19" s="464"/>
      <c r="C19" s="464"/>
      <c r="D19" s="463"/>
      <c r="E19" s="463"/>
      <c r="F19" s="464"/>
      <c r="G19" s="464"/>
      <c r="H19" s="464"/>
      <c r="I19" s="464"/>
      <c r="J19" s="463"/>
      <c r="K19" s="447"/>
      <c r="L19" s="447"/>
      <c r="M19" s="447"/>
      <c r="N19" s="460"/>
    </row>
    <row r="20" spans="1:14" s="314" customFormat="1">
      <c r="A20" s="460" t="s">
        <v>802</v>
      </c>
      <c r="B20" s="467">
        <v>0</v>
      </c>
      <c r="C20" s="467">
        <v>4</v>
      </c>
      <c r="D20" s="460" t="s">
        <v>534</v>
      </c>
      <c r="E20" s="477">
        <f>SUM(E22:E24)</f>
        <v>16748692.745062379</v>
      </c>
      <c r="F20" s="478"/>
      <c r="G20" s="478"/>
      <c r="H20" s="478"/>
      <c r="I20" s="478"/>
      <c r="J20" s="479"/>
      <c r="K20" s="460"/>
      <c r="L20" s="460"/>
      <c r="M20" s="460"/>
      <c r="N20" s="460"/>
    </row>
    <row r="21" spans="1:14" s="314" customFormat="1">
      <c r="A21" s="448" t="s">
        <v>781</v>
      </c>
      <c r="B21" s="449" t="s">
        <v>782</v>
      </c>
      <c r="C21" s="449" t="s">
        <v>783</v>
      </c>
      <c r="D21" s="460" t="s">
        <v>784</v>
      </c>
      <c r="E21" s="471" t="s">
        <v>534</v>
      </c>
      <c r="F21" s="478"/>
      <c r="G21" s="478"/>
      <c r="H21" s="478"/>
      <c r="I21" s="478"/>
      <c r="J21" s="479"/>
      <c r="K21" s="460"/>
      <c r="L21" s="460"/>
      <c r="M21" s="460"/>
      <c r="N21" s="460"/>
    </row>
    <row r="22" spans="1:14" s="314" customFormat="1">
      <c r="A22" s="460" t="s">
        <v>790</v>
      </c>
      <c r="B22" s="480">
        <v>5</v>
      </c>
      <c r="C22" s="481" t="s">
        <v>783</v>
      </c>
      <c r="D22" s="482" t="s">
        <v>803</v>
      </c>
      <c r="E22" s="457">
        <f>G13</f>
        <v>16748692.745062379</v>
      </c>
      <c r="F22" s="478"/>
      <c r="G22" s="478" t="s">
        <v>804</v>
      </c>
      <c r="H22" s="478"/>
      <c r="I22" s="478"/>
      <c r="J22" s="479"/>
      <c r="K22" s="460"/>
      <c r="L22" s="460"/>
      <c r="M22" s="460"/>
      <c r="N22" s="460"/>
    </row>
    <row r="23" spans="1:14" s="314" customFormat="1">
      <c r="A23" s="460" t="s">
        <v>790</v>
      </c>
      <c r="B23" s="480">
        <v>5</v>
      </c>
      <c r="C23" s="481" t="s">
        <v>783</v>
      </c>
      <c r="D23" s="482" t="s">
        <v>805</v>
      </c>
      <c r="E23" s="483">
        <v>0</v>
      </c>
      <c r="F23" s="478"/>
      <c r="G23" s="478"/>
      <c r="H23" s="478"/>
      <c r="I23" s="478"/>
      <c r="J23" s="479"/>
      <c r="K23" s="460"/>
      <c r="L23" s="460"/>
      <c r="M23" s="460"/>
      <c r="N23" s="460"/>
    </row>
    <row r="24" spans="1:14" s="314" customFormat="1">
      <c r="A24" s="460" t="s">
        <v>790</v>
      </c>
      <c r="B24" s="480">
        <v>5</v>
      </c>
      <c r="C24" s="481" t="s">
        <v>783</v>
      </c>
      <c r="D24" s="482" t="s">
        <v>806</v>
      </c>
      <c r="E24" s="483">
        <v>0</v>
      </c>
      <c r="F24" s="478"/>
      <c r="G24" s="478"/>
      <c r="H24" s="478"/>
      <c r="I24" s="478"/>
      <c r="J24" s="479"/>
      <c r="K24" s="460"/>
      <c r="L24" s="460"/>
      <c r="M24" s="460"/>
      <c r="N24" s="460"/>
    </row>
    <row r="25" spans="1:14" s="314" customFormat="1">
      <c r="A25" s="460"/>
      <c r="B25" s="484"/>
      <c r="C25" s="481"/>
      <c r="D25" s="482"/>
      <c r="E25" s="458"/>
      <c r="F25" s="478"/>
      <c r="G25" s="478"/>
      <c r="H25" s="478"/>
      <c r="I25" s="478"/>
      <c r="J25" s="479"/>
      <c r="K25" s="460"/>
      <c r="L25" s="460"/>
      <c r="M25" s="460"/>
      <c r="N25" s="460"/>
    </row>
    <row r="26" spans="1:14" s="314" customFormat="1">
      <c r="A26" s="460"/>
      <c r="B26" s="484"/>
      <c r="C26" s="481"/>
      <c r="D26" s="482"/>
      <c r="E26" s="483"/>
      <c r="F26" s="478"/>
      <c r="G26" s="478"/>
      <c r="H26" s="478"/>
      <c r="I26" s="478"/>
      <c r="J26" s="479"/>
      <c r="K26" s="460"/>
      <c r="L26" s="460"/>
      <c r="M26" s="460"/>
      <c r="N26" s="460"/>
    </row>
    <row r="27" spans="1:14" s="314" customFormat="1">
      <c r="A27" s="460"/>
      <c r="B27" s="478"/>
      <c r="C27" s="478"/>
      <c r="D27" s="479"/>
      <c r="E27" s="479"/>
      <c r="F27" s="478"/>
      <c r="G27" s="478"/>
      <c r="H27" s="478"/>
      <c r="I27" s="478"/>
      <c r="J27" s="479"/>
      <c r="K27" s="460"/>
      <c r="L27" s="460"/>
      <c r="M27" s="460"/>
      <c r="N27" s="460"/>
    </row>
    <row r="28" spans="1:14" s="314" customFormat="1">
      <c r="A28" s="460"/>
      <c r="B28" s="478"/>
      <c r="C28" s="478"/>
      <c r="D28" s="479"/>
      <c r="E28" s="479"/>
      <c r="F28" s="485"/>
      <c r="G28" s="486"/>
      <c r="H28" s="478"/>
      <c r="I28" s="478"/>
      <c r="J28" s="479"/>
      <c r="K28" s="460"/>
      <c r="L28" s="460"/>
      <c r="M28" s="460"/>
      <c r="N28" s="460"/>
    </row>
    <row r="29" spans="1:14" s="314" customFormat="1">
      <c r="A29" s="460" t="s">
        <v>807</v>
      </c>
      <c r="B29" s="467">
        <v>0</v>
      </c>
      <c r="C29" s="467">
        <v>56</v>
      </c>
      <c r="D29" s="460" t="s">
        <v>808</v>
      </c>
      <c r="E29" s="487">
        <f>SUM(F31:F86)</f>
        <v>1471201953.8455603</v>
      </c>
      <c r="F29" s="469"/>
      <c r="G29" s="470"/>
      <c r="H29" s="446"/>
      <c r="I29" s="446"/>
      <c r="J29" s="460"/>
      <c r="K29" s="460"/>
      <c r="L29" s="460"/>
      <c r="M29" s="460"/>
      <c r="N29" s="460"/>
    </row>
    <row r="30" spans="1:14" s="314" customFormat="1" ht="14.5" customHeight="1">
      <c r="A30" s="448" t="s">
        <v>781</v>
      </c>
      <c r="B30" s="449" t="s">
        <v>782</v>
      </c>
      <c r="C30" s="449" t="s">
        <v>783</v>
      </c>
      <c r="D30" s="460" t="s">
        <v>809</v>
      </c>
      <c r="E30" s="460" t="s">
        <v>784</v>
      </c>
      <c r="F30" s="472" t="s">
        <v>808</v>
      </c>
      <c r="G30" s="472" t="s">
        <v>810</v>
      </c>
      <c r="H30" s="471" t="s">
        <v>811</v>
      </c>
      <c r="I30" s="471" t="s">
        <v>591</v>
      </c>
      <c r="J30" s="460" t="s">
        <v>812</v>
      </c>
      <c r="K30" s="460"/>
      <c r="L30" s="460"/>
      <c r="M30" s="460"/>
      <c r="N30" s="460"/>
    </row>
    <row r="31" spans="1:14" s="314" customFormat="1" ht="15" customHeight="1">
      <c r="A31" s="460" t="s">
        <v>790</v>
      </c>
      <c r="B31" s="480">
        <v>5</v>
      </c>
      <c r="C31" s="481" t="s">
        <v>783</v>
      </c>
      <c r="D31" s="460" t="s">
        <v>813</v>
      </c>
      <c r="E31" s="488" t="s">
        <v>814</v>
      </c>
      <c r="F31" s="489">
        <f>SUMIFS(Compare!AA:AA,Compare!$F:$F,"F")</f>
        <v>165832306.94880325</v>
      </c>
      <c r="G31" s="490">
        <v>0</v>
      </c>
      <c r="H31" s="490">
        <v>0</v>
      </c>
      <c r="I31" s="490">
        <v>0</v>
      </c>
      <c r="J31" s="490">
        <f>SUM(F31:I31)</f>
        <v>165832306.94880325</v>
      </c>
      <c r="K31" s="460"/>
      <c r="L31" s="460"/>
      <c r="M31" s="460"/>
      <c r="N31" s="460"/>
    </row>
    <row r="32" spans="1:14" s="314" customFormat="1">
      <c r="A32" s="460" t="s">
        <v>790</v>
      </c>
      <c r="B32" s="480">
        <v>5</v>
      </c>
      <c r="C32" s="481" t="s">
        <v>783</v>
      </c>
      <c r="D32" s="460" t="s">
        <v>813</v>
      </c>
      <c r="E32" s="488" t="s">
        <v>815</v>
      </c>
      <c r="F32" s="489">
        <v>0</v>
      </c>
      <c r="G32" s="490">
        <v>0</v>
      </c>
      <c r="H32" s="490">
        <v>0</v>
      </c>
      <c r="I32" s="490">
        <v>0</v>
      </c>
      <c r="J32" s="490">
        <f t="shared" ref="J32:J86" si="0">SUM(F32:I32)</f>
        <v>0</v>
      </c>
      <c r="K32" s="460"/>
      <c r="L32" s="460"/>
      <c r="M32" s="460"/>
      <c r="N32" s="460"/>
    </row>
    <row r="33" spans="1:14" s="314" customFormat="1">
      <c r="A33" s="460" t="s">
        <v>790</v>
      </c>
      <c r="B33" s="480">
        <v>5</v>
      </c>
      <c r="C33" s="481" t="s">
        <v>783</v>
      </c>
      <c r="D33" s="460" t="s">
        <v>813</v>
      </c>
      <c r="E33" s="488" t="s">
        <v>816</v>
      </c>
      <c r="F33" s="489">
        <v>0</v>
      </c>
      <c r="G33" s="490">
        <v>0</v>
      </c>
      <c r="H33" s="490">
        <v>0</v>
      </c>
      <c r="I33" s="490">
        <v>0</v>
      </c>
      <c r="J33" s="490">
        <f t="shared" si="0"/>
        <v>0</v>
      </c>
      <c r="K33" s="460"/>
      <c r="L33" s="460"/>
      <c r="M33" s="460"/>
      <c r="N33" s="460"/>
    </row>
    <row r="34" spans="1:14" s="314" customFormat="1">
      <c r="A34" s="460" t="s">
        <v>790</v>
      </c>
      <c r="B34" s="480">
        <v>5</v>
      </c>
      <c r="C34" s="481" t="s">
        <v>783</v>
      </c>
      <c r="D34" s="460" t="s">
        <v>813</v>
      </c>
      <c r="E34" s="488" t="s">
        <v>817</v>
      </c>
      <c r="F34" s="489">
        <v>0</v>
      </c>
      <c r="G34" s="490">
        <v>0</v>
      </c>
      <c r="H34" s="490">
        <v>0</v>
      </c>
      <c r="I34" s="490">
        <v>0</v>
      </c>
      <c r="J34" s="490">
        <f t="shared" si="0"/>
        <v>0</v>
      </c>
      <c r="K34" s="460"/>
      <c r="L34" s="460"/>
      <c r="M34" s="460"/>
      <c r="N34" s="460"/>
    </row>
    <row r="35" spans="1:14" s="314" customFormat="1">
      <c r="A35" s="460" t="s">
        <v>790</v>
      </c>
      <c r="B35" s="480">
        <v>5</v>
      </c>
      <c r="C35" s="481" t="s">
        <v>783</v>
      </c>
      <c r="D35" s="460" t="s">
        <v>813</v>
      </c>
      <c r="E35" s="488" t="s">
        <v>818</v>
      </c>
      <c r="F35" s="489">
        <v>0</v>
      </c>
      <c r="G35" s="490">
        <v>0</v>
      </c>
      <c r="H35" s="490">
        <v>0</v>
      </c>
      <c r="I35" s="490">
        <v>0</v>
      </c>
      <c r="J35" s="490">
        <f t="shared" si="0"/>
        <v>0</v>
      </c>
      <c r="K35" s="460"/>
      <c r="L35" s="460"/>
      <c r="M35" s="460"/>
      <c r="N35" s="460"/>
    </row>
    <row r="36" spans="1:14" s="314" customFormat="1">
      <c r="A36" s="460" t="s">
        <v>790</v>
      </c>
      <c r="B36" s="480">
        <v>5</v>
      </c>
      <c r="C36" s="481" t="s">
        <v>783</v>
      </c>
      <c r="D36" s="460" t="s">
        <v>813</v>
      </c>
      <c r="E36" s="488" t="s">
        <v>819</v>
      </c>
      <c r="F36" s="489">
        <f>SUMIFS(Compare!AF:AF,Compare!$F:$F,"F")</f>
        <v>219588.61000000002</v>
      </c>
      <c r="G36" s="490">
        <v>0</v>
      </c>
      <c r="H36" s="490">
        <v>0</v>
      </c>
      <c r="I36" s="490">
        <v>0</v>
      </c>
      <c r="J36" s="490">
        <f t="shared" si="0"/>
        <v>219588.61000000002</v>
      </c>
      <c r="K36" s="460"/>
      <c r="L36" s="460"/>
      <c r="M36" s="460"/>
      <c r="N36" s="460"/>
    </row>
    <row r="37" spans="1:14" s="314" customFormat="1">
      <c r="A37" s="460" t="s">
        <v>790</v>
      </c>
      <c r="B37" s="480">
        <v>5</v>
      </c>
      <c r="C37" s="481" t="s">
        <v>783</v>
      </c>
      <c r="D37" s="460" t="s">
        <v>813</v>
      </c>
      <c r="E37" s="488" t="s">
        <v>820</v>
      </c>
      <c r="F37" s="489">
        <f>SUMIFS(Compare!AG:AG,Compare!$F:$F,"F")</f>
        <v>-1450046.8499999996</v>
      </c>
      <c r="G37" s="490">
        <v>0</v>
      </c>
      <c r="H37" s="490">
        <v>0</v>
      </c>
      <c r="I37" s="490">
        <v>0</v>
      </c>
      <c r="J37" s="490">
        <f t="shared" si="0"/>
        <v>-1450046.8499999996</v>
      </c>
      <c r="K37" s="460"/>
      <c r="L37" s="460"/>
      <c r="M37" s="460"/>
      <c r="N37" s="460"/>
    </row>
    <row r="38" spans="1:14" s="314" customFormat="1">
      <c r="A38" s="460" t="s">
        <v>790</v>
      </c>
      <c r="B38" s="480">
        <v>5</v>
      </c>
      <c r="C38" s="481" t="s">
        <v>783</v>
      </c>
      <c r="D38" s="460" t="s">
        <v>813</v>
      </c>
      <c r="E38" s="488" t="s">
        <v>821</v>
      </c>
      <c r="F38" s="489">
        <v>0</v>
      </c>
      <c r="G38" s="490">
        <v>0</v>
      </c>
      <c r="H38" s="490">
        <v>0</v>
      </c>
      <c r="I38" s="490">
        <v>0</v>
      </c>
      <c r="J38" s="490">
        <f t="shared" si="0"/>
        <v>0</v>
      </c>
      <c r="K38" s="460"/>
      <c r="L38" s="460"/>
      <c r="M38" s="460"/>
      <c r="N38" s="460"/>
    </row>
    <row r="39" spans="1:14" s="314" customFormat="1">
      <c r="A39" s="460" t="s">
        <v>790</v>
      </c>
      <c r="B39" s="480">
        <v>5</v>
      </c>
      <c r="C39" s="481" t="s">
        <v>783</v>
      </c>
      <c r="D39" s="460" t="s">
        <v>813</v>
      </c>
      <c r="E39" s="488" t="s">
        <v>822</v>
      </c>
      <c r="F39" s="489">
        <v>0</v>
      </c>
      <c r="G39" s="490">
        <v>0</v>
      </c>
      <c r="H39" s="490">
        <v>0</v>
      </c>
      <c r="I39" s="490">
        <v>0</v>
      </c>
      <c r="J39" s="490">
        <f t="shared" si="0"/>
        <v>0</v>
      </c>
      <c r="K39" s="460"/>
      <c r="L39" s="460"/>
      <c r="M39" s="460"/>
      <c r="N39" s="460"/>
    </row>
    <row r="40" spans="1:14" s="314" customFormat="1">
      <c r="A40" s="460" t="s">
        <v>790</v>
      </c>
      <c r="B40" s="480">
        <v>5</v>
      </c>
      <c r="C40" s="481" t="s">
        <v>783</v>
      </c>
      <c r="D40" s="460" t="s">
        <v>813</v>
      </c>
      <c r="E40" s="488" t="s">
        <v>823</v>
      </c>
      <c r="F40" s="489">
        <v>0</v>
      </c>
      <c r="G40" s="490">
        <v>0</v>
      </c>
      <c r="H40" s="490">
        <v>0</v>
      </c>
      <c r="I40" s="490">
        <v>0</v>
      </c>
      <c r="J40" s="490">
        <f t="shared" si="0"/>
        <v>0</v>
      </c>
      <c r="K40" s="460"/>
      <c r="L40" s="460"/>
      <c r="M40" s="460"/>
      <c r="N40" s="460"/>
    </row>
    <row r="41" spans="1:14" s="314" customFormat="1">
      <c r="A41" s="460" t="s">
        <v>790</v>
      </c>
      <c r="B41" s="480">
        <v>5</v>
      </c>
      <c r="C41" s="481" t="s">
        <v>783</v>
      </c>
      <c r="D41" s="460" t="s">
        <v>813</v>
      </c>
      <c r="E41" s="488" t="s">
        <v>824</v>
      </c>
      <c r="F41" s="489">
        <f>SUMIFS(Compare!AE:AE,Compare!$F:$F,"F")</f>
        <v>4623.7300000000005</v>
      </c>
      <c r="G41" s="490">
        <v>0</v>
      </c>
      <c r="H41" s="490">
        <v>0</v>
      </c>
      <c r="I41" s="490">
        <v>0</v>
      </c>
      <c r="J41" s="490">
        <f t="shared" si="0"/>
        <v>4623.7300000000005</v>
      </c>
      <c r="K41" s="460"/>
      <c r="L41" s="460"/>
      <c r="M41" s="460"/>
      <c r="N41" s="460"/>
    </row>
    <row r="42" spans="1:14" s="314" customFormat="1">
      <c r="A42" s="460" t="s">
        <v>790</v>
      </c>
      <c r="B42" s="480">
        <v>5</v>
      </c>
      <c r="C42" s="481" t="s">
        <v>783</v>
      </c>
      <c r="D42" s="460" t="s">
        <v>813</v>
      </c>
      <c r="E42" s="488" t="s">
        <v>806</v>
      </c>
      <c r="F42" s="489">
        <v>0</v>
      </c>
      <c r="G42" s="490">
        <v>0</v>
      </c>
      <c r="H42" s="490">
        <v>0</v>
      </c>
      <c r="I42" s="490">
        <v>0</v>
      </c>
      <c r="J42" s="490">
        <f t="shared" si="0"/>
        <v>0</v>
      </c>
      <c r="K42" s="460"/>
      <c r="L42" s="460"/>
      <c r="M42" s="460"/>
      <c r="N42" s="460"/>
    </row>
    <row r="43" spans="1:14" s="314" customFormat="1">
      <c r="A43" s="460" t="s">
        <v>790</v>
      </c>
      <c r="B43" s="480">
        <v>5</v>
      </c>
      <c r="C43" s="481" t="s">
        <v>783</v>
      </c>
      <c r="D43" s="460" t="s">
        <v>813</v>
      </c>
      <c r="E43" s="488" t="s">
        <v>825</v>
      </c>
      <c r="F43" s="489">
        <f>SUMIFS(Compare!AC:AC,Compare!$F:$F,"F")</f>
        <v>-1225834.5099999998</v>
      </c>
      <c r="G43" s="490">
        <v>0</v>
      </c>
      <c r="H43" s="490">
        <v>0</v>
      </c>
      <c r="I43" s="490">
        <v>0</v>
      </c>
      <c r="J43" s="490">
        <f t="shared" si="0"/>
        <v>-1225834.5099999998</v>
      </c>
      <c r="K43" s="443">
        <v>0</v>
      </c>
      <c r="L43" s="460"/>
      <c r="M43" s="460"/>
      <c r="N43" s="460"/>
    </row>
    <row r="44" spans="1:14" s="314" customFormat="1">
      <c r="A44" s="460" t="s">
        <v>790</v>
      </c>
      <c r="B44" s="480">
        <v>5</v>
      </c>
      <c r="C44" s="481" t="s">
        <v>783</v>
      </c>
      <c r="D44" s="460" t="s">
        <v>813</v>
      </c>
      <c r="E44" s="488" t="s">
        <v>826</v>
      </c>
      <c r="F44" s="489">
        <f>SUMIFS(Compare!Z:Z,Compare!$F:$F,"F")</f>
        <v>204818867.33462039</v>
      </c>
      <c r="G44" s="490">
        <v>0</v>
      </c>
      <c r="H44" s="490">
        <v>0</v>
      </c>
      <c r="I44" s="490">
        <v>0</v>
      </c>
      <c r="J44" s="490">
        <f t="shared" si="0"/>
        <v>204818867.33462039</v>
      </c>
      <c r="K44" s="460"/>
      <c r="L44" s="460"/>
      <c r="M44" s="460"/>
      <c r="N44" s="460"/>
    </row>
    <row r="45" spans="1:14" s="314" customFormat="1">
      <c r="A45" s="460" t="s">
        <v>790</v>
      </c>
      <c r="B45" s="480">
        <v>5</v>
      </c>
      <c r="C45" s="481" t="s">
        <v>783</v>
      </c>
      <c r="D45" s="460" t="s">
        <v>827</v>
      </c>
      <c r="E45" s="491" t="s">
        <v>814</v>
      </c>
      <c r="F45" s="492">
        <f>SUMIFS(Compare!AA:AA,Compare!$F:$F,"I")</f>
        <v>24688568.241364777</v>
      </c>
      <c r="G45" s="493">
        <v>0</v>
      </c>
      <c r="H45" s="493">
        <v>0</v>
      </c>
      <c r="I45" s="493">
        <v>0</v>
      </c>
      <c r="J45" s="493">
        <f t="shared" si="0"/>
        <v>24688568.241364777</v>
      </c>
      <c r="K45" s="460"/>
      <c r="L45" s="460"/>
      <c r="M45" s="460"/>
      <c r="N45" s="460"/>
    </row>
    <row r="46" spans="1:14" s="314" customFormat="1">
      <c r="A46" s="460" t="s">
        <v>790</v>
      </c>
      <c r="B46" s="480">
        <v>5</v>
      </c>
      <c r="C46" s="481" t="s">
        <v>783</v>
      </c>
      <c r="D46" s="460" t="s">
        <v>827</v>
      </c>
      <c r="E46" s="491" t="s">
        <v>815</v>
      </c>
      <c r="F46" s="492">
        <v>0</v>
      </c>
      <c r="G46" s="493">
        <v>0</v>
      </c>
      <c r="H46" s="493">
        <v>0</v>
      </c>
      <c r="I46" s="493">
        <v>0</v>
      </c>
      <c r="J46" s="493">
        <f t="shared" si="0"/>
        <v>0</v>
      </c>
      <c r="K46" s="443"/>
      <c r="L46" s="460"/>
      <c r="M46" s="460"/>
      <c r="N46" s="460"/>
    </row>
    <row r="47" spans="1:14" s="314" customFormat="1">
      <c r="A47" s="460" t="s">
        <v>790</v>
      </c>
      <c r="B47" s="480">
        <v>5</v>
      </c>
      <c r="C47" s="481" t="s">
        <v>783</v>
      </c>
      <c r="D47" s="460" t="s">
        <v>827</v>
      </c>
      <c r="E47" s="491" t="s">
        <v>816</v>
      </c>
      <c r="F47" s="492">
        <v>0</v>
      </c>
      <c r="G47" s="493">
        <v>0</v>
      </c>
      <c r="H47" s="493">
        <v>0</v>
      </c>
      <c r="I47" s="493">
        <v>0</v>
      </c>
      <c r="J47" s="493">
        <f t="shared" si="0"/>
        <v>0</v>
      </c>
      <c r="K47" s="443"/>
      <c r="L47" s="460"/>
      <c r="M47" s="460"/>
      <c r="N47" s="460"/>
    </row>
    <row r="48" spans="1:14" s="314" customFormat="1">
      <c r="A48" s="460" t="s">
        <v>790</v>
      </c>
      <c r="B48" s="480">
        <v>5</v>
      </c>
      <c r="C48" s="481" t="s">
        <v>783</v>
      </c>
      <c r="D48" s="460" t="s">
        <v>827</v>
      </c>
      <c r="E48" s="491" t="s">
        <v>817</v>
      </c>
      <c r="F48" s="492">
        <v>0</v>
      </c>
      <c r="G48" s="493">
        <v>0</v>
      </c>
      <c r="H48" s="493">
        <v>0</v>
      </c>
      <c r="I48" s="493">
        <v>0</v>
      </c>
      <c r="J48" s="493">
        <f t="shared" si="0"/>
        <v>0</v>
      </c>
      <c r="K48" s="460"/>
      <c r="L48" s="460"/>
      <c r="M48" s="460"/>
      <c r="N48" s="460"/>
    </row>
    <row r="49" spans="1:14" s="314" customFormat="1">
      <c r="A49" s="460" t="s">
        <v>790</v>
      </c>
      <c r="B49" s="480">
        <v>5</v>
      </c>
      <c r="C49" s="481" t="s">
        <v>783</v>
      </c>
      <c r="D49" s="460" t="s">
        <v>827</v>
      </c>
      <c r="E49" s="491" t="s">
        <v>818</v>
      </c>
      <c r="F49" s="492">
        <v>0</v>
      </c>
      <c r="G49" s="493">
        <v>0</v>
      </c>
      <c r="H49" s="493">
        <v>0</v>
      </c>
      <c r="I49" s="493">
        <v>0</v>
      </c>
      <c r="J49" s="493">
        <f t="shared" si="0"/>
        <v>0</v>
      </c>
      <c r="K49" s="460"/>
      <c r="L49" s="460"/>
      <c r="M49" s="460"/>
      <c r="N49" s="460"/>
    </row>
    <row r="50" spans="1:14" s="314" customFormat="1">
      <c r="A50" s="460" t="s">
        <v>790</v>
      </c>
      <c r="B50" s="480">
        <v>5</v>
      </c>
      <c r="C50" s="481" t="s">
        <v>783</v>
      </c>
      <c r="D50" s="460" t="s">
        <v>827</v>
      </c>
      <c r="E50" s="491" t="s">
        <v>819</v>
      </c>
      <c r="F50" s="492">
        <f>SUMIFS(Compare!AF:AF,Compare!$F:$F,"I")</f>
        <v>94665.51</v>
      </c>
      <c r="G50" s="493">
        <v>0</v>
      </c>
      <c r="H50" s="493">
        <v>0</v>
      </c>
      <c r="I50" s="493">
        <v>0</v>
      </c>
      <c r="J50" s="493">
        <f t="shared" si="0"/>
        <v>94665.51</v>
      </c>
      <c r="K50" s="460"/>
      <c r="L50" s="460"/>
      <c r="M50" s="460"/>
      <c r="N50" s="460"/>
    </row>
    <row r="51" spans="1:14" s="314" customFormat="1">
      <c r="A51" s="460" t="s">
        <v>790</v>
      </c>
      <c r="B51" s="480">
        <v>5</v>
      </c>
      <c r="C51" s="481" t="s">
        <v>783</v>
      </c>
      <c r="D51" s="460" t="s">
        <v>827</v>
      </c>
      <c r="E51" s="491" t="s">
        <v>820</v>
      </c>
      <c r="F51" s="492">
        <f>SUMIFS(Compare!AG:AG,Compare!$F:$F,"I")</f>
        <v>-554375.53</v>
      </c>
      <c r="G51" s="493">
        <v>0</v>
      </c>
      <c r="H51" s="493">
        <v>0</v>
      </c>
      <c r="I51" s="493">
        <v>0</v>
      </c>
      <c r="J51" s="493">
        <f t="shared" si="0"/>
        <v>-554375.53</v>
      </c>
      <c r="K51" s="460"/>
      <c r="L51" s="460"/>
      <c r="M51" s="460"/>
      <c r="N51" s="460"/>
    </row>
    <row r="52" spans="1:14" s="314" customFormat="1">
      <c r="A52" s="460" t="s">
        <v>790</v>
      </c>
      <c r="B52" s="480">
        <v>5</v>
      </c>
      <c r="C52" s="481" t="s">
        <v>783</v>
      </c>
      <c r="D52" s="460" t="s">
        <v>827</v>
      </c>
      <c r="E52" s="491" t="s">
        <v>821</v>
      </c>
      <c r="F52" s="492">
        <v>0</v>
      </c>
      <c r="G52" s="493">
        <v>0</v>
      </c>
      <c r="H52" s="493">
        <v>0</v>
      </c>
      <c r="I52" s="493">
        <v>0</v>
      </c>
      <c r="J52" s="493">
        <f t="shared" si="0"/>
        <v>0</v>
      </c>
      <c r="K52" s="460"/>
      <c r="L52" s="460"/>
      <c r="M52" s="460"/>
      <c r="N52" s="460"/>
    </row>
    <row r="53" spans="1:14" s="314" customFormat="1">
      <c r="A53" s="460" t="s">
        <v>790</v>
      </c>
      <c r="B53" s="480">
        <v>5</v>
      </c>
      <c r="C53" s="481" t="s">
        <v>783</v>
      </c>
      <c r="D53" s="460" t="s">
        <v>827</v>
      </c>
      <c r="E53" s="491" t="s">
        <v>822</v>
      </c>
      <c r="F53" s="492">
        <v>0</v>
      </c>
      <c r="G53" s="493">
        <v>0</v>
      </c>
      <c r="H53" s="493">
        <v>0</v>
      </c>
      <c r="I53" s="493">
        <v>0</v>
      </c>
      <c r="J53" s="493">
        <f t="shared" si="0"/>
        <v>0</v>
      </c>
      <c r="K53" s="460"/>
      <c r="L53" s="460"/>
      <c r="M53" s="460"/>
      <c r="N53" s="460"/>
    </row>
    <row r="54" spans="1:14" s="314" customFormat="1">
      <c r="A54" s="460" t="s">
        <v>790</v>
      </c>
      <c r="B54" s="480">
        <v>5</v>
      </c>
      <c r="C54" s="481" t="s">
        <v>783</v>
      </c>
      <c r="D54" s="460" t="s">
        <v>827</v>
      </c>
      <c r="E54" s="491" t="s">
        <v>823</v>
      </c>
      <c r="F54" s="492">
        <v>0</v>
      </c>
      <c r="G54" s="493">
        <v>0</v>
      </c>
      <c r="H54" s="493">
        <v>0</v>
      </c>
      <c r="I54" s="493">
        <v>0</v>
      </c>
      <c r="J54" s="493">
        <f t="shared" si="0"/>
        <v>0</v>
      </c>
      <c r="K54" s="460"/>
      <c r="L54" s="460"/>
      <c r="M54" s="460"/>
      <c r="N54" s="460"/>
    </row>
    <row r="55" spans="1:14" s="314" customFormat="1">
      <c r="A55" s="460" t="s">
        <v>790</v>
      </c>
      <c r="B55" s="480">
        <v>5</v>
      </c>
      <c r="C55" s="481" t="s">
        <v>783</v>
      </c>
      <c r="D55" s="460" t="s">
        <v>827</v>
      </c>
      <c r="E55" s="491" t="s">
        <v>824</v>
      </c>
      <c r="F55" s="492">
        <f>SUMIFS(Compare!AE:AE,Compare!$F:$F,"I")</f>
        <v>0</v>
      </c>
      <c r="G55" s="493">
        <v>0</v>
      </c>
      <c r="H55" s="493">
        <v>0</v>
      </c>
      <c r="I55" s="493">
        <v>0</v>
      </c>
      <c r="J55" s="493">
        <f t="shared" si="0"/>
        <v>0</v>
      </c>
      <c r="K55" s="460"/>
      <c r="L55" s="460"/>
      <c r="M55" s="460"/>
      <c r="N55" s="460"/>
    </row>
    <row r="56" spans="1:14" s="314" customFormat="1">
      <c r="A56" s="460" t="s">
        <v>790</v>
      </c>
      <c r="B56" s="480">
        <v>5</v>
      </c>
      <c r="C56" s="481" t="s">
        <v>783</v>
      </c>
      <c r="D56" s="460" t="s">
        <v>827</v>
      </c>
      <c r="E56" s="491" t="s">
        <v>806</v>
      </c>
      <c r="F56" s="492">
        <v>0</v>
      </c>
      <c r="G56" s="493">
        <v>0</v>
      </c>
      <c r="H56" s="493">
        <v>0</v>
      </c>
      <c r="I56" s="493">
        <v>0</v>
      </c>
      <c r="J56" s="493">
        <f t="shared" si="0"/>
        <v>0</v>
      </c>
      <c r="K56" s="460"/>
      <c r="L56" s="460"/>
      <c r="M56" s="460"/>
      <c r="N56" s="460"/>
    </row>
    <row r="57" spans="1:14" s="314" customFormat="1">
      <c r="A57" s="460" t="s">
        <v>790</v>
      </c>
      <c r="B57" s="480">
        <v>5</v>
      </c>
      <c r="C57" s="481" t="s">
        <v>783</v>
      </c>
      <c r="D57" s="460" t="s">
        <v>827</v>
      </c>
      <c r="E57" s="491" t="s">
        <v>825</v>
      </c>
      <c r="F57" s="492">
        <f>SUMIFS(Compare!AC:AC,Compare!$F:$F,"I")</f>
        <v>-459710.02</v>
      </c>
      <c r="G57" s="493">
        <v>0</v>
      </c>
      <c r="H57" s="493">
        <v>0</v>
      </c>
      <c r="I57" s="493">
        <v>0</v>
      </c>
      <c r="J57" s="493">
        <f t="shared" si="0"/>
        <v>-459710.02</v>
      </c>
      <c r="K57" s="460"/>
      <c r="L57" s="460"/>
      <c r="M57" s="460"/>
      <c r="N57" s="460"/>
    </row>
    <row r="58" spans="1:14" s="314" customFormat="1">
      <c r="A58" s="460" t="s">
        <v>790</v>
      </c>
      <c r="B58" s="480">
        <v>5</v>
      </c>
      <c r="C58" s="481" t="s">
        <v>783</v>
      </c>
      <c r="D58" s="460" t="s">
        <v>827</v>
      </c>
      <c r="E58" s="491" t="s">
        <v>826</v>
      </c>
      <c r="F58" s="492">
        <f>SUMIFS(Compare!Z:Z,Compare!$F:$F,"I")</f>
        <v>25342289.874811307</v>
      </c>
      <c r="G58" s="493">
        <v>0</v>
      </c>
      <c r="H58" s="493">
        <v>0</v>
      </c>
      <c r="I58" s="493">
        <v>0</v>
      </c>
      <c r="J58" s="493">
        <f t="shared" si="0"/>
        <v>25342289.874811307</v>
      </c>
      <c r="K58" s="443">
        <v>0</v>
      </c>
      <c r="L58" s="460"/>
      <c r="M58" s="460"/>
      <c r="N58" s="460"/>
    </row>
    <row r="59" spans="1:14" s="314" customFormat="1">
      <c r="A59" s="460" t="s">
        <v>790</v>
      </c>
      <c r="B59" s="480">
        <v>5</v>
      </c>
      <c r="C59" s="481" t="s">
        <v>783</v>
      </c>
      <c r="D59" s="460" t="s">
        <v>828</v>
      </c>
      <c r="E59" s="494" t="s">
        <v>814</v>
      </c>
      <c r="F59" s="495">
        <f>SUMIFS(Compare!AA:AA,Compare!$F:$F,"C")</f>
        <v>476941588.91610533</v>
      </c>
      <c r="G59" s="496">
        <f>SUMIFS(Compare!AA:AA,Compare!$F:$F,"C",Compare!$Q:$Q,"Y")</f>
        <v>3213896.2195256706</v>
      </c>
      <c r="H59" s="496">
        <v>0</v>
      </c>
      <c r="I59" s="496">
        <v>0</v>
      </c>
      <c r="J59" s="496">
        <f t="shared" si="0"/>
        <v>480155485.13563102</v>
      </c>
      <c r="K59" s="443"/>
      <c r="L59" s="460"/>
      <c r="M59" s="460"/>
      <c r="N59" s="460"/>
    </row>
    <row r="60" spans="1:14" s="314" customFormat="1">
      <c r="A60" s="460" t="s">
        <v>790</v>
      </c>
      <c r="B60" s="480">
        <v>5</v>
      </c>
      <c r="C60" s="481" t="s">
        <v>783</v>
      </c>
      <c r="D60" s="460" t="s">
        <v>828</v>
      </c>
      <c r="E60" s="494" t="s">
        <v>815</v>
      </c>
      <c r="F60" s="495">
        <f>SUMIFS(Compare!Z:Z,Compare!$F:$F,"C",Compare!$Q:$Q,"Y",Compare!$I:$I,"&lt;&gt;Y")</f>
        <v>0</v>
      </c>
      <c r="G60" s="496">
        <f>-F60</f>
        <v>0</v>
      </c>
      <c r="H60" s="496">
        <v>0</v>
      </c>
      <c r="I60" s="496">
        <v>0</v>
      </c>
      <c r="J60" s="496">
        <f t="shared" si="0"/>
        <v>0</v>
      </c>
      <c r="K60" s="443"/>
      <c r="L60" s="460"/>
      <c r="M60" s="460"/>
      <c r="N60" s="460"/>
    </row>
    <row r="61" spans="1:14" s="314" customFormat="1">
      <c r="A61" s="460" t="s">
        <v>790</v>
      </c>
      <c r="B61" s="480">
        <v>5</v>
      </c>
      <c r="C61" s="481" t="s">
        <v>783</v>
      </c>
      <c r="D61" s="460" t="s">
        <v>828</v>
      </c>
      <c r="E61" s="494" t="s">
        <v>816</v>
      </c>
      <c r="F61" s="495">
        <v>0</v>
      </c>
      <c r="G61" s="496">
        <v>0</v>
      </c>
      <c r="H61" s="496">
        <v>0</v>
      </c>
      <c r="I61" s="496">
        <v>0</v>
      </c>
      <c r="J61" s="496">
        <f t="shared" si="0"/>
        <v>0</v>
      </c>
      <c r="K61" s="443"/>
      <c r="L61" s="460"/>
      <c r="M61" s="460"/>
      <c r="N61" s="460"/>
    </row>
    <row r="62" spans="1:14" s="314" customFormat="1">
      <c r="A62" s="460" t="s">
        <v>790</v>
      </c>
      <c r="B62" s="480">
        <v>5</v>
      </c>
      <c r="C62" s="481" t="s">
        <v>783</v>
      </c>
      <c r="D62" s="460" t="s">
        <v>828</v>
      </c>
      <c r="E62" s="494" t="s">
        <v>817</v>
      </c>
      <c r="F62" s="495">
        <v>0</v>
      </c>
      <c r="G62" s="496">
        <v>0</v>
      </c>
      <c r="H62" s="496">
        <v>0</v>
      </c>
      <c r="I62" s="496">
        <v>0</v>
      </c>
      <c r="J62" s="496">
        <f t="shared" si="0"/>
        <v>0</v>
      </c>
      <c r="K62" s="460"/>
      <c r="L62" s="460"/>
      <c r="M62" s="460"/>
      <c r="N62" s="460"/>
    </row>
    <row r="63" spans="1:14" s="314" customFormat="1">
      <c r="A63" s="460" t="s">
        <v>790</v>
      </c>
      <c r="B63" s="480">
        <v>5</v>
      </c>
      <c r="C63" s="481" t="s">
        <v>783</v>
      </c>
      <c r="D63" s="460" t="s">
        <v>828</v>
      </c>
      <c r="E63" s="494" t="s">
        <v>818</v>
      </c>
      <c r="F63" s="495">
        <v>0</v>
      </c>
      <c r="G63" s="496">
        <v>0</v>
      </c>
      <c r="H63" s="496">
        <v>0</v>
      </c>
      <c r="I63" s="496">
        <v>0</v>
      </c>
      <c r="J63" s="496">
        <f t="shared" si="0"/>
        <v>0</v>
      </c>
      <c r="K63" s="460"/>
      <c r="L63" s="460"/>
      <c r="M63" s="460"/>
      <c r="N63" s="460"/>
    </row>
    <row r="64" spans="1:14" s="314" customFormat="1">
      <c r="A64" s="460" t="s">
        <v>790</v>
      </c>
      <c r="B64" s="480">
        <v>5</v>
      </c>
      <c r="C64" s="481" t="s">
        <v>783</v>
      </c>
      <c r="D64" s="460" t="s">
        <v>828</v>
      </c>
      <c r="E64" s="494" t="s">
        <v>819</v>
      </c>
      <c r="F64" s="495">
        <f>SUMIFS(Compare!AF:AF,Compare!$F:$F,"C")-G64</f>
        <v>4773508.68</v>
      </c>
      <c r="G64" s="496">
        <f>SUMIFS(Compare!AF:AF,Compare!$F:$F,"C",Compare!$Q:$Q,"Y",Compare!$I:$I,"Y")</f>
        <v>215842.44999999998</v>
      </c>
      <c r="H64" s="496">
        <v>0</v>
      </c>
      <c r="I64" s="496">
        <v>0</v>
      </c>
      <c r="J64" s="496">
        <f t="shared" si="0"/>
        <v>4989351.13</v>
      </c>
      <c r="K64" s="443"/>
      <c r="L64" s="460"/>
      <c r="M64" s="460"/>
      <c r="N64" s="460"/>
    </row>
    <row r="65" spans="1:14" s="314" customFormat="1">
      <c r="A65" s="460" t="s">
        <v>790</v>
      </c>
      <c r="B65" s="480">
        <v>5</v>
      </c>
      <c r="C65" s="481" t="s">
        <v>783</v>
      </c>
      <c r="D65" s="460" t="s">
        <v>828</v>
      </c>
      <c r="E65" s="494" t="s">
        <v>820</v>
      </c>
      <c r="F65" s="495">
        <f>SUMIFS(Compare!AG:AG,Compare!$F:$F,"C")-G65</f>
        <v>-19911598.230000004</v>
      </c>
      <c r="G65" s="496">
        <f>SUMIFS(Compare!AG:AG,Compare!$F:$F,"C",Compare!$Q:$Q,"Y",Compare!$I:$I,"Y")</f>
        <v>-346467.38</v>
      </c>
      <c r="H65" s="496">
        <v>0</v>
      </c>
      <c r="I65" s="496">
        <v>0</v>
      </c>
      <c r="J65" s="496">
        <f t="shared" si="0"/>
        <v>-20258065.610000003</v>
      </c>
      <c r="K65" s="443"/>
      <c r="L65" s="460"/>
      <c r="M65" s="460"/>
      <c r="N65" s="460"/>
    </row>
    <row r="66" spans="1:14" s="314" customFormat="1">
      <c r="A66" s="460" t="s">
        <v>790</v>
      </c>
      <c r="B66" s="480">
        <v>5</v>
      </c>
      <c r="C66" s="481" t="s">
        <v>783</v>
      </c>
      <c r="D66" s="460" t="s">
        <v>828</v>
      </c>
      <c r="E66" s="494" t="s">
        <v>821</v>
      </c>
      <c r="F66" s="495">
        <v>0</v>
      </c>
      <c r="G66" s="496">
        <v>0</v>
      </c>
      <c r="H66" s="496">
        <v>0</v>
      </c>
      <c r="I66" s="496">
        <v>0</v>
      </c>
      <c r="J66" s="496">
        <f t="shared" si="0"/>
        <v>0</v>
      </c>
      <c r="K66" s="460"/>
      <c r="L66" s="460"/>
      <c r="M66" s="460"/>
      <c r="N66" s="460"/>
    </row>
    <row r="67" spans="1:14" s="314" customFormat="1">
      <c r="A67" s="460" t="s">
        <v>790</v>
      </c>
      <c r="B67" s="480">
        <v>5</v>
      </c>
      <c r="C67" s="481" t="s">
        <v>783</v>
      </c>
      <c r="D67" s="460" t="s">
        <v>828</v>
      </c>
      <c r="E67" s="494" t="s">
        <v>822</v>
      </c>
      <c r="F67" s="495">
        <v>0</v>
      </c>
      <c r="G67" s="496">
        <v>0</v>
      </c>
      <c r="H67" s="496">
        <v>0</v>
      </c>
      <c r="I67" s="496">
        <v>0</v>
      </c>
      <c r="J67" s="496">
        <f t="shared" si="0"/>
        <v>0</v>
      </c>
      <c r="K67" s="460"/>
      <c r="L67" s="460"/>
      <c r="M67" s="460"/>
      <c r="N67" s="460"/>
    </row>
    <row r="68" spans="1:14" s="314" customFormat="1">
      <c r="A68" s="460" t="s">
        <v>790</v>
      </c>
      <c r="B68" s="480">
        <v>5</v>
      </c>
      <c r="C68" s="481" t="s">
        <v>783</v>
      </c>
      <c r="D68" s="460" t="s">
        <v>828</v>
      </c>
      <c r="E68" s="494" t="s">
        <v>823</v>
      </c>
      <c r="F68" s="495">
        <v>0</v>
      </c>
      <c r="G68" s="496">
        <v>0</v>
      </c>
      <c r="H68" s="496">
        <v>0</v>
      </c>
      <c r="I68" s="496">
        <v>0</v>
      </c>
      <c r="J68" s="496">
        <f t="shared" si="0"/>
        <v>0</v>
      </c>
      <c r="K68" s="460"/>
      <c r="L68" s="460"/>
      <c r="M68" s="460"/>
      <c r="N68" s="460"/>
    </row>
    <row r="69" spans="1:14" s="314" customFormat="1">
      <c r="A69" s="460" t="s">
        <v>790</v>
      </c>
      <c r="B69" s="480">
        <v>5</v>
      </c>
      <c r="C69" s="481" t="s">
        <v>783</v>
      </c>
      <c r="D69" s="460" t="s">
        <v>828</v>
      </c>
      <c r="E69" s="494" t="s">
        <v>824</v>
      </c>
      <c r="F69" s="495">
        <f>SUMIFS(Compare!AE:AE,Compare!$F:$F,"C")-G69</f>
        <v>-1321311.1700000002</v>
      </c>
      <c r="G69" s="496">
        <f>SUMIFS(Compare!AE:AE,Compare!$F:$F,"C",Compare!$Q:$Q,"Y",Compare!$I:$I,"Y")</f>
        <v>-18204.400000000001</v>
      </c>
      <c r="H69" s="496">
        <v>0</v>
      </c>
      <c r="I69" s="496">
        <v>0</v>
      </c>
      <c r="J69" s="496">
        <f t="shared" si="0"/>
        <v>-1339515.57</v>
      </c>
      <c r="K69" s="460"/>
      <c r="L69" s="460"/>
      <c r="M69" s="460"/>
      <c r="N69" s="460"/>
    </row>
    <row r="70" spans="1:14" s="314" customFormat="1">
      <c r="A70" s="460" t="s">
        <v>790</v>
      </c>
      <c r="B70" s="480">
        <v>5</v>
      </c>
      <c r="C70" s="481" t="s">
        <v>783</v>
      </c>
      <c r="D70" s="460" t="s">
        <v>828</v>
      </c>
      <c r="E70" s="494" t="s">
        <v>806</v>
      </c>
      <c r="F70" s="495">
        <v>0</v>
      </c>
      <c r="G70" s="496">
        <v>0</v>
      </c>
      <c r="H70" s="496">
        <v>0</v>
      </c>
      <c r="I70" s="496">
        <v>0</v>
      </c>
      <c r="J70" s="496">
        <f t="shared" si="0"/>
        <v>0</v>
      </c>
      <c r="K70" s="460"/>
      <c r="L70" s="460"/>
      <c r="M70" s="460"/>
      <c r="N70" s="460"/>
    </row>
    <row r="71" spans="1:14" s="314" customFormat="1">
      <c r="A71" s="460" t="s">
        <v>790</v>
      </c>
      <c r="B71" s="480">
        <v>5</v>
      </c>
      <c r="C71" s="481" t="s">
        <v>783</v>
      </c>
      <c r="D71" s="460" t="s">
        <v>828</v>
      </c>
      <c r="E71" s="494" t="s">
        <v>825</v>
      </c>
      <c r="F71" s="495">
        <f>SUMIFS(Compare!AC:AC,Compare!$F:$F,"C")-G71</f>
        <v>-16459400.720000001</v>
      </c>
      <c r="G71" s="496">
        <f>SUM(G60:G70)</f>
        <v>-148829.33000000002</v>
      </c>
      <c r="H71" s="496">
        <v>0</v>
      </c>
      <c r="I71" s="496">
        <v>0</v>
      </c>
      <c r="J71" s="496">
        <f t="shared" si="0"/>
        <v>-16608230.050000001</v>
      </c>
      <c r="K71" s="460"/>
      <c r="L71" s="460"/>
      <c r="M71" s="460"/>
      <c r="N71" s="460"/>
    </row>
    <row r="72" spans="1:14" s="314" customFormat="1">
      <c r="A72" s="460" t="s">
        <v>790</v>
      </c>
      <c r="B72" s="480">
        <v>5</v>
      </c>
      <c r="C72" s="481" t="s">
        <v>783</v>
      </c>
      <c r="D72" s="460" t="s">
        <v>828</v>
      </c>
      <c r="E72" s="494" t="s">
        <v>826</v>
      </c>
      <c r="F72" s="495">
        <f>SUMIFS(Compare!Z:Z,Compare!$F:$F,"C")-G72</f>
        <v>579487274.78038466</v>
      </c>
      <c r="G72" s="496">
        <f>SUMIFS(Compare!Z:Z,Compare!$F:$F,"C",Compare!$I:$I,"Y")</f>
        <v>3065066.9048650591</v>
      </c>
      <c r="H72" s="496">
        <v>0</v>
      </c>
      <c r="I72" s="496">
        <v>0</v>
      </c>
      <c r="J72" s="496">
        <f t="shared" si="0"/>
        <v>582552341.68524969</v>
      </c>
      <c r="K72" s="443">
        <v>0</v>
      </c>
      <c r="L72" s="460"/>
      <c r="M72" s="460"/>
      <c r="N72" s="460"/>
    </row>
    <row r="73" spans="1:14" s="314" customFormat="1" ht="15" customHeight="1">
      <c r="A73" s="460" t="s">
        <v>790</v>
      </c>
      <c r="B73" s="480">
        <v>5</v>
      </c>
      <c r="C73" s="481" t="s">
        <v>783</v>
      </c>
      <c r="D73" s="460" t="s">
        <v>829</v>
      </c>
      <c r="E73" s="488" t="s">
        <v>814</v>
      </c>
      <c r="F73" s="501">
        <f>SUMIFS(Compare!AA:AA,Compare!$F:$F,"O")+SUM(Compare!AI:AI)-G73</f>
        <v>19189248.904408287</v>
      </c>
      <c r="G73" s="502">
        <f>SUMIFS(Compare!AA:AA,Compare!$F:$F,"O",Compare!$Q:$Q,"Y")+SUMIFS(Compare!AI:AI,Compare!$Q:$Q,"Y")</f>
        <v>0</v>
      </c>
      <c r="H73" s="490">
        <v>0</v>
      </c>
      <c r="I73" s="490">
        <v>0</v>
      </c>
      <c r="J73" s="490">
        <f t="shared" si="0"/>
        <v>19189248.904408287</v>
      </c>
      <c r="K73" s="443"/>
      <c r="L73" s="460"/>
      <c r="M73" s="460"/>
      <c r="N73" s="460"/>
    </row>
    <row r="74" spans="1:14" s="314" customFormat="1">
      <c r="A74" s="460" t="s">
        <v>790</v>
      </c>
      <c r="B74" s="480">
        <v>5</v>
      </c>
      <c r="C74" s="481" t="s">
        <v>783</v>
      </c>
      <c r="D74" s="460" t="s">
        <v>829</v>
      </c>
      <c r="E74" s="488" t="s">
        <v>815</v>
      </c>
      <c r="F74" s="501">
        <f>SUMIFS(Compare!Z:Z,Compare!$F:$F,"O",Compare!$Q:$Q,"Y",Compare!$I:$I,"&lt;&gt;Y")+SUMIFS(Compare!AH:AH,Compare!$F:$F,"O",Compare!$Q:$Q,"Y",Compare!$I:$I,"&lt;&gt;Y")</f>
        <v>0</v>
      </c>
      <c r="G74" s="502">
        <f>-F74</f>
        <v>0</v>
      </c>
      <c r="H74" s="490">
        <v>0</v>
      </c>
      <c r="I74" s="490">
        <v>0</v>
      </c>
      <c r="J74" s="490">
        <f t="shared" si="0"/>
        <v>0</v>
      </c>
      <c r="K74" s="460"/>
      <c r="L74" s="460"/>
      <c r="M74" s="460"/>
      <c r="N74" s="460"/>
    </row>
    <row r="75" spans="1:14" s="314" customFormat="1">
      <c r="A75" s="460" t="s">
        <v>790</v>
      </c>
      <c r="B75" s="480">
        <v>5</v>
      </c>
      <c r="C75" s="481" t="s">
        <v>783</v>
      </c>
      <c r="D75" s="460" t="s">
        <v>829</v>
      </c>
      <c r="E75" s="488" t="s">
        <v>816</v>
      </c>
      <c r="F75" s="501">
        <v>0</v>
      </c>
      <c r="G75" s="502">
        <v>0</v>
      </c>
      <c r="H75" s="490">
        <v>0</v>
      </c>
      <c r="I75" s="490">
        <v>0</v>
      </c>
      <c r="J75" s="490">
        <f t="shared" si="0"/>
        <v>0</v>
      </c>
      <c r="K75" s="460"/>
      <c r="L75" s="460"/>
      <c r="M75" s="460"/>
      <c r="N75" s="460"/>
    </row>
    <row r="76" spans="1:14" s="314" customFormat="1">
      <c r="A76" s="460" t="s">
        <v>790</v>
      </c>
      <c r="B76" s="480">
        <v>5</v>
      </c>
      <c r="C76" s="481" t="s">
        <v>783</v>
      </c>
      <c r="D76" s="460" t="s">
        <v>829</v>
      </c>
      <c r="E76" s="488" t="s">
        <v>817</v>
      </c>
      <c r="F76" s="501">
        <v>0</v>
      </c>
      <c r="G76" s="502">
        <v>0</v>
      </c>
      <c r="H76" s="490">
        <v>0</v>
      </c>
      <c r="I76" s="490">
        <v>0</v>
      </c>
      <c r="J76" s="490">
        <f t="shared" si="0"/>
        <v>0</v>
      </c>
      <c r="K76" s="460"/>
      <c r="L76" s="460"/>
      <c r="M76" s="460"/>
      <c r="N76" s="460"/>
    </row>
    <row r="77" spans="1:14" s="314" customFormat="1">
      <c r="A77" s="460" t="s">
        <v>790</v>
      </c>
      <c r="B77" s="480">
        <v>5</v>
      </c>
      <c r="C77" s="481" t="s">
        <v>783</v>
      </c>
      <c r="D77" s="460" t="s">
        <v>829</v>
      </c>
      <c r="E77" s="488" t="s">
        <v>818</v>
      </c>
      <c r="F77" s="501">
        <v>0</v>
      </c>
      <c r="G77" s="502">
        <v>0</v>
      </c>
      <c r="H77" s="490">
        <v>0</v>
      </c>
      <c r="I77" s="490">
        <v>0</v>
      </c>
      <c r="J77" s="490">
        <f t="shared" si="0"/>
        <v>0</v>
      </c>
      <c r="K77" s="497"/>
      <c r="L77" s="460"/>
      <c r="M77" s="460"/>
      <c r="N77" s="460"/>
    </row>
    <row r="78" spans="1:14" s="314" customFormat="1">
      <c r="A78" s="460" t="s">
        <v>790</v>
      </c>
      <c r="B78" s="480">
        <v>5</v>
      </c>
      <c r="C78" s="481" t="s">
        <v>783</v>
      </c>
      <c r="D78" s="460" t="s">
        <v>829</v>
      </c>
      <c r="E78" s="488" t="s">
        <v>819</v>
      </c>
      <c r="F78" s="501">
        <f>SUMIFS(Compare!AF:AF,Compare!$F:$F,"O")+SUM(Compare!AN:AN)-G78</f>
        <v>6001971.4599999972</v>
      </c>
      <c r="G78" s="502">
        <f>SUMIFS(Compare!AF:AF,Compare!$F:$F,"O",Compare!$Q:$Q,"Y",Compare!$I:$I,"Y")+SUMIFS(Compare!AN:AN,Compare!$F:$F,"O",Compare!$Q:$Q,"Y",Compare!$I:$I,"Y")</f>
        <v>0</v>
      </c>
      <c r="H78" s="490">
        <v>0</v>
      </c>
      <c r="I78" s="490">
        <v>0</v>
      </c>
      <c r="J78" s="490">
        <f t="shared" si="0"/>
        <v>6001971.4599999972</v>
      </c>
      <c r="K78" s="460"/>
      <c r="L78" s="460"/>
      <c r="M78" s="460"/>
      <c r="N78" s="460"/>
    </row>
    <row r="79" spans="1:14" s="314" customFormat="1">
      <c r="A79" s="460" t="s">
        <v>790</v>
      </c>
      <c r="B79" s="480">
        <v>5</v>
      </c>
      <c r="C79" s="481" t="s">
        <v>783</v>
      </c>
      <c r="D79" s="460" t="s">
        <v>829</v>
      </c>
      <c r="E79" s="488" t="s">
        <v>820</v>
      </c>
      <c r="F79" s="503">
        <f>SUMIFS(Compare!AG:AG,Compare!$F:$F,"O")+SUM(Compare!AO:AO)-G79</f>
        <v>-8784611.7300000004</v>
      </c>
      <c r="G79" s="502">
        <f>SUMIFS(Compare!AG:AG,Compare!$F:$F,"O",Compare!$Q:$Q,"Y",Compare!$I:$I,"Y")+SUMIFS(Compare!AO:AO,Compare!$F:$F,"O",Compare!$Q:$Q,"Y",Compare!$I:$I,"Y")</f>
        <v>0</v>
      </c>
      <c r="H79" s="490">
        <v>0</v>
      </c>
      <c r="I79" s="490">
        <v>0</v>
      </c>
      <c r="J79" s="490">
        <f t="shared" si="0"/>
        <v>-8784611.7300000004</v>
      </c>
      <c r="K79" s="460"/>
      <c r="L79" s="460"/>
      <c r="M79" s="460"/>
      <c r="N79" s="460"/>
    </row>
    <row r="80" spans="1:14" s="314" customFormat="1">
      <c r="A80" s="460" t="s">
        <v>790</v>
      </c>
      <c r="B80" s="480">
        <v>5</v>
      </c>
      <c r="C80" s="481" t="s">
        <v>783</v>
      </c>
      <c r="D80" s="460" t="s">
        <v>829</v>
      </c>
      <c r="E80" s="488" t="s">
        <v>821</v>
      </c>
      <c r="F80" s="501">
        <v>0</v>
      </c>
      <c r="G80" s="502">
        <v>0</v>
      </c>
      <c r="H80" s="490">
        <v>0</v>
      </c>
      <c r="I80" s="490">
        <v>0</v>
      </c>
      <c r="J80" s="490">
        <f t="shared" si="0"/>
        <v>0</v>
      </c>
      <c r="K80" s="443"/>
      <c r="L80" s="460"/>
      <c r="M80" s="460"/>
      <c r="N80" s="460"/>
    </row>
    <row r="81" spans="1:14" s="314" customFormat="1">
      <c r="A81" s="460" t="s">
        <v>790</v>
      </c>
      <c r="B81" s="480">
        <v>5</v>
      </c>
      <c r="C81" s="481" t="s">
        <v>783</v>
      </c>
      <c r="D81" s="460" t="s">
        <v>829</v>
      </c>
      <c r="E81" s="488" t="s">
        <v>822</v>
      </c>
      <c r="F81" s="501">
        <v>0</v>
      </c>
      <c r="G81" s="502">
        <v>0</v>
      </c>
      <c r="H81" s="490">
        <v>0</v>
      </c>
      <c r="I81" s="490">
        <v>0</v>
      </c>
      <c r="J81" s="490">
        <f t="shared" si="0"/>
        <v>0</v>
      </c>
      <c r="K81" s="460"/>
      <c r="L81" s="460"/>
      <c r="M81" s="460"/>
      <c r="N81" s="460"/>
    </row>
    <row r="82" spans="1:14" s="314" customFormat="1">
      <c r="A82" s="460" t="s">
        <v>790</v>
      </c>
      <c r="B82" s="480">
        <v>5</v>
      </c>
      <c r="C82" s="481" t="s">
        <v>783</v>
      </c>
      <c r="D82" s="460" t="s">
        <v>829</v>
      </c>
      <c r="E82" s="488" t="s">
        <v>823</v>
      </c>
      <c r="F82" s="501">
        <v>0</v>
      </c>
      <c r="G82" s="502">
        <v>0</v>
      </c>
      <c r="H82" s="490">
        <v>0</v>
      </c>
      <c r="I82" s="490">
        <v>0</v>
      </c>
      <c r="J82" s="490">
        <f t="shared" si="0"/>
        <v>0</v>
      </c>
      <c r="K82" s="460"/>
      <c r="L82" s="460"/>
      <c r="M82" s="460"/>
      <c r="N82" s="460"/>
    </row>
    <row r="83" spans="1:14" s="314" customFormat="1">
      <c r="A83" s="460" t="s">
        <v>790</v>
      </c>
      <c r="B83" s="480">
        <v>5</v>
      </c>
      <c r="C83" s="481" t="s">
        <v>783</v>
      </c>
      <c r="D83" s="460" t="s">
        <v>829</v>
      </c>
      <c r="E83" s="488" t="s">
        <v>824</v>
      </c>
      <c r="F83" s="501">
        <f>SUMIFS(Compare!AE:AE,Compare!$F:$F,"O")+SUM(Compare!AM:AM)-G83</f>
        <v>4143.5700000000006</v>
      </c>
      <c r="G83" s="502">
        <f>SUMIFS(Compare!AE:AE,Compare!$F:$F,"O",Compare!$Q:$Q,"Y",Compare!$I:$I,"Y")+SUMIFS(Compare!AM:AM,Compare!$F:$F,"O",Compare!$Q:$Q,"Y",Compare!$I:$I,"Y")</f>
        <v>0</v>
      </c>
      <c r="H83" s="490">
        <v>0</v>
      </c>
      <c r="I83" s="490">
        <v>0</v>
      </c>
      <c r="J83" s="490">
        <f t="shared" si="0"/>
        <v>4143.5700000000006</v>
      </c>
      <c r="K83" s="460"/>
      <c r="L83" s="460"/>
      <c r="M83" s="460"/>
      <c r="N83" s="460"/>
    </row>
    <row r="84" spans="1:14" s="314" customFormat="1">
      <c r="A84" s="460" t="s">
        <v>790</v>
      </c>
      <c r="B84" s="480">
        <v>5</v>
      </c>
      <c r="C84" s="481" t="s">
        <v>783</v>
      </c>
      <c r="D84" s="460" t="s">
        <v>829</v>
      </c>
      <c r="E84" s="488" t="s">
        <v>806</v>
      </c>
      <c r="F84" s="501">
        <v>0</v>
      </c>
      <c r="G84" s="502">
        <v>0</v>
      </c>
      <c r="H84" s="490">
        <v>0</v>
      </c>
      <c r="I84" s="490">
        <v>0</v>
      </c>
      <c r="J84" s="490">
        <f t="shared" si="0"/>
        <v>0</v>
      </c>
      <c r="K84" s="460"/>
      <c r="L84" s="460"/>
      <c r="M84" s="460"/>
      <c r="N84" s="460"/>
    </row>
    <row r="85" spans="1:14" s="314" customFormat="1">
      <c r="A85" s="460" t="s">
        <v>790</v>
      </c>
      <c r="B85" s="480">
        <v>5</v>
      </c>
      <c r="C85" s="481" t="s">
        <v>783</v>
      </c>
      <c r="D85" s="460" t="s">
        <v>829</v>
      </c>
      <c r="E85" s="488" t="s">
        <v>825</v>
      </c>
      <c r="F85" s="489">
        <f>SUM(F74:F84)</f>
        <v>-2778496.7000000034</v>
      </c>
      <c r="G85" s="502">
        <f>SUM(G74:G84)</f>
        <v>0</v>
      </c>
      <c r="H85" s="489">
        <v>0</v>
      </c>
      <c r="I85" s="489">
        <v>0</v>
      </c>
      <c r="J85" s="489">
        <f t="shared" si="0"/>
        <v>-2778496.7000000034</v>
      </c>
      <c r="K85" s="460"/>
      <c r="L85" s="460"/>
      <c r="M85" s="460"/>
      <c r="N85" s="460"/>
    </row>
    <row r="86" spans="1:14" s="314" customFormat="1">
      <c r="A86" s="460" t="s">
        <v>790</v>
      </c>
      <c r="B86" s="480">
        <v>5</v>
      </c>
      <c r="C86" s="481" t="s">
        <v>783</v>
      </c>
      <c r="D86" s="460" t="s">
        <v>829</v>
      </c>
      <c r="E86" s="488" t="s">
        <v>826</v>
      </c>
      <c r="F86" s="501">
        <f>SUMIFS(Compare!Z:Z,Compare!$F:$F,"O")+SUM(Compare!AH:AH)-G86</f>
        <v>16748692.745062375</v>
      </c>
      <c r="G86" s="502">
        <f>SUMIFS(Compare!Z:Z,Compare!$F:$F,"O",Compare!$I:$I,"Y")+SUMIFS(Compare!AH:AH,Compare!$I:$I,"Y")</f>
        <v>0</v>
      </c>
      <c r="H86" s="490">
        <v>0</v>
      </c>
      <c r="I86" s="490">
        <v>0</v>
      </c>
      <c r="J86" s="490">
        <f t="shared" si="0"/>
        <v>16748692.745062375</v>
      </c>
      <c r="K86" s="443">
        <v>0</v>
      </c>
      <c r="L86" s="460"/>
      <c r="M86" s="460"/>
      <c r="N86" s="460"/>
    </row>
  </sheetData>
  <phoneticPr fontId="6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8"/>
    <pageSetUpPr fitToPage="1"/>
  </sheetPr>
  <dimension ref="A2:AI300"/>
  <sheetViews>
    <sheetView showGridLines="0" view="pageBreakPreview" zoomScale="80" zoomScaleNormal="40" zoomScaleSheetLayoutView="80" workbookViewId="0">
      <selection activeCell="L54" sqref="L54"/>
    </sheetView>
  </sheetViews>
  <sheetFormatPr defaultColWidth="10.26953125" defaultRowHeight="13" outlineLevelRow="1"/>
  <cols>
    <col min="1" max="1" width="5.08984375" style="5" customWidth="1"/>
    <col min="2" max="2" width="21.7265625" style="5" customWidth="1"/>
    <col min="3" max="3" width="19.08984375" style="5" customWidth="1"/>
    <col min="4" max="4" width="43.08984375" style="5" customWidth="1"/>
    <col min="5" max="5" width="20.90625" style="5" customWidth="1"/>
    <col min="6" max="6" width="28.90625" style="6" customWidth="1"/>
    <col min="7" max="7" width="32.453125" style="5" customWidth="1"/>
    <col min="8" max="9" width="11.90625" style="4" customWidth="1"/>
    <col min="10" max="10" width="23.7265625" style="7" customWidth="1"/>
    <col min="11" max="11" width="38.7265625" style="7" customWidth="1"/>
    <col min="12" max="12" width="32.26953125" style="8" customWidth="1"/>
    <col min="13" max="13" width="22.7265625" style="5" customWidth="1"/>
    <col min="14" max="14" width="41.26953125" style="5" customWidth="1"/>
    <col min="15" max="16" width="11.90625" style="4" customWidth="1"/>
    <col min="17" max="17" width="23.7265625" style="7" customWidth="1"/>
    <col min="18" max="18" width="20.08984375" style="8" customWidth="1"/>
    <col min="19" max="20" width="11.90625" style="4" customWidth="1"/>
    <col min="21" max="21" width="23.7265625" style="7" customWidth="1"/>
    <col min="22" max="22" width="20.08984375" style="8" customWidth="1"/>
    <col min="23" max="24" width="11.90625" style="4" customWidth="1"/>
    <col min="25" max="25" width="23.7265625" style="7" customWidth="1"/>
    <col min="26" max="26" width="20.08984375" style="8" customWidth="1"/>
    <col min="27" max="28" width="11.90625" style="4" customWidth="1"/>
    <col min="29" max="29" width="23.7265625" style="7" customWidth="1"/>
    <col min="30" max="30" width="20.08984375" style="8" customWidth="1"/>
    <col min="31" max="32" width="11.90625" style="4" customWidth="1"/>
    <col min="33" max="33" width="23.7265625" style="7" customWidth="1"/>
    <col min="34" max="34" width="20.08984375" style="8" customWidth="1"/>
    <col min="35" max="35" width="45.453125" style="5" customWidth="1"/>
    <col min="36" max="36" width="24.90625" style="9" customWidth="1"/>
    <col min="37" max="16384" width="10.26953125" style="9"/>
  </cols>
  <sheetData>
    <row r="2" spans="2:35" ht="13.5">
      <c r="B2" s="4" t="s">
        <v>558</v>
      </c>
    </row>
    <row r="3" spans="2:35" ht="13.5">
      <c r="B3" s="10" t="s">
        <v>559</v>
      </c>
      <c r="C3" s="11"/>
    </row>
    <row r="4" spans="2:35" ht="13.5">
      <c r="B4" s="12" t="s">
        <v>560</v>
      </c>
      <c r="C4" s="13"/>
    </row>
    <row r="5" spans="2:35" ht="13.5">
      <c r="B5" s="12" t="s">
        <v>561</v>
      </c>
      <c r="C5" s="11"/>
    </row>
    <row r="6" spans="2:35" ht="13.5">
      <c r="B6" s="4" t="s">
        <v>562</v>
      </c>
      <c r="C6" s="4" t="s">
        <v>563</v>
      </c>
      <c r="H6" s="523"/>
      <c r="I6" s="523"/>
      <c r="J6" s="523"/>
      <c r="K6" s="523"/>
      <c r="L6" s="523"/>
      <c r="O6" s="523"/>
      <c r="P6" s="523"/>
      <c r="Q6" s="523"/>
      <c r="R6" s="523"/>
      <c r="S6" s="523"/>
      <c r="T6" s="523"/>
      <c r="U6" s="523"/>
      <c r="V6" s="523"/>
      <c r="W6" s="523"/>
      <c r="X6" s="523"/>
      <c r="Y6" s="523"/>
      <c r="Z6" s="523"/>
      <c r="AA6" s="523"/>
      <c r="AB6" s="523"/>
      <c r="AC6" s="523"/>
      <c r="AD6" s="523"/>
      <c r="AE6" s="523"/>
      <c r="AF6" s="523"/>
      <c r="AG6" s="523"/>
      <c r="AH6" s="523"/>
    </row>
    <row r="7" spans="2:35" ht="13.5" thickBot="1">
      <c r="H7" s="524"/>
      <c r="I7" s="524"/>
      <c r="J7" s="524"/>
      <c r="K7" s="524"/>
      <c r="L7" s="524"/>
      <c r="M7" s="14"/>
      <c r="N7" s="14"/>
      <c r="O7" s="524"/>
      <c r="P7" s="524"/>
      <c r="Q7" s="524"/>
      <c r="R7" s="524"/>
      <c r="S7" s="524"/>
      <c r="T7" s="524"/>
      <c r="U7" s="524"/>
      <c r="V7" s="524"/>
      <c r="W7" s="524"/>
      <c r="X7" s="524"/>
      <c r="Y7" s="524"/>
      <c r="Z7" s="524"/>
      <c r="AA7" s="524"/>
      <c r="AB7" s="524"/>
      <c r="AC7" s="524"/>
      <c r="AD7" s="524"/>
      <c r="AE7" s="524"/>
      <c r="AF7" s="524"/>
      <c r="AG7" s="524"/>
      <c r="AH7" s="524"/>
    </row>
    <row r="8" spans="2:35" ht="23.25" customHeight="1" thickBot="1">
      <c r="B8" s="525" t="s">
        <v>564</v>
      </c>
      <c r="C8" s="525" t="s">
        <v>565</v>
      </c>
      <c r="D8" s="525" t="s">
        <v>16</v>
      </c>
      <c r="E8" s="527" t="s">
        <v>566</v>
      </c>
      <c r="F8" s="528" t="s">
        <v>567</v>
      </c>
      <c r="G8" s="527" t="s">
        <v>568</v>
      </c>
      <c r="H8" s="535" t="s">
        <v>569</v>
      </c>
      <c r="I8" s="535"/>
      <c r="J8" s="535"/>
      <c r="K8" s="535"/>
      <c r="L8" s="535"/>
      <c r="M8" s="527" t="s">
        <v>570</v>
      </c>
      <c r="N8" s="537" t="s">
        <v>571</v>
      </c>
      <c r="O8" s="539" t="s">
        <v>572</v>
      </c>
      <c r="P8" s="540"/>
      <c r="Q8" s="540"/>
      <c r="R8" s="541"/>
      <c r="S8" s="539" t="s">
        <v>573</v>
      </c>
      <c r="T8" s="540"/>
      <c r="U8" s="540"/>
      <c r="V8" s="541"/>
      <c r="W8" s="539" t="s">
        <v>574</v>
      </c>
      <c r="X8" s="540"/>
      <c r="Y8" s="540"/>
      <c r="Z8" s="541"/>
      <c r="AA8" s="539" t="s">
        <v>575</v>
      </c>
      <c r="AB8" s="540"/>
      <c r="AC8" s="540"/>
      <c r="AD8" s="541"/>
      <c r="AE8" s="539" t="s">
        <v>576</v>
      </c>
      <c r="AF8" s="540"/>
      <c r="AG8" s="540"/>
      <c r="AH8" s="541"/>
      <c r="AI8" s="542" t="s">
        <v>577</v>
      </c>
    </row>
    <row r="9" spans="2:35" ht="36.75" customHeight="1" thickBot="1">
      <c r="B9" s="526"/>
      <c r="C9" s="526"/>
      <c r="D9" s="526"/>
      <c r="E9" s="526"/>
      <c r="F9" s="529"/>
      <c r="G9" s="526"/>
      <c r="H9" s="15" t="s">
        <v>578</v>
      </c>
      <c r="I9" s="16" t="s">
        <v>579</v>
      </c>
      <c r="J9" s="17" t="s">
        <v>580</v>
      </c>
      <c r="K9" s="18" t="s">
        <v>581</v>
      </c>
      <c r="L9" s="19" t="s">
        <v>582</v>
      </c>
      <c r="M9" s="536"/>
      <c r="N9" s="538"/>
      <c r="O9" s="20" t="s">
        <v>583</v>
      </c>
      <c r="P9" s="21" t="s">
        <v>584</v>
      </c>
      <c r="Q9" s="22" t="s">
        <v>585</v>
      </c>
      <c r="R9" s="23" t="s">
        <v>586</v>
      </c>
      <c r="S9" s="20" t="s">
        <v>583</v>
      </c>
      <c r="T9" s="21" t="s">
        <v>584</v>
      </c>
      <c r="U9" s="22" t="s">
        <v>585</v>
      </c>
      <c r="V9" s="23" t="s">
        <v>586</v>
      </c>
      <c r="W9" s="20" t="s">
        <v>583</v>
      </c>
      <c r="X9" s="21" t="s">
        <v>584</v>
      </c>
      <c r="Y9" s="22" t="s">
        <v>585</v>
      </c>
      <c r="Z9" s="23" t="s">
        <v>586</v>
      </c>
      <c r="AA9" s="20" t="s">
        <v>583</v>
      </c>
      <c r="AB9" s="21" t="s">
        <v>584</v>
      </c>
      <c r="AC9" s="22" t="s">
        <v>585</v>
      </c>
      <c r="AD9" s="23" t="s">
        <v>586</v>
      </c>
      <c r="AE9" s="20" t="s">
        <v>583</v>
      </c>
      <c r="AF9" s="21" t="s">
        <v>584</v>
      </c>
      <c r="AG9" s="22" t="s">
        <v>585</v>
      </c>
      <c r="AH9" s="23" t="s">
        <v>586</v>
      </c>
      <c r="AI9" s="543"/>
    </row>
    <row r="10" spans="2:35" ht="21.75" customHeight="1" thickBot="1">
      <c r="B10" s="24" t="s">
        <v>587</v>
      </c>
      <c r="C10" s="25"/>
      <c r="D10" s="25"/>
      <c r="E10" s="25"/>
      <c r="F10" s="26"/>
      <c r="G10" s="26"/>
      <c r="H10" s="25"/>
      <c r="I10" s="25"/>
      <c r="J10" s="27"/>
      <c r="K10" s="27"/>
      <c r="L10" s="27"/>
      <c r="M10" s="28"/>
      <c r="N10" s="29"/>
      <c r="O10" s="24"/>
      <c r="P10" s="25"/>
      <c r="Q10" s="27"/>
      <c r="R10" s="30"/>
      <c r="S10" s="24"/>
      <c r="T10" s="25"/>
      <c r="U10" s="27"/>
      <c r="V10" s="30"/>
      <c r="W10" s="24"/>
      <c r="X10" s="25"/>
      <c r="Y10" s="27"/>
      <c r="Z10" s="30"/>
      <c r="AA10" s="24"/>
      <c r="AB10" s="25"/>
      <c r="AC10" s="27"/>
      <c r="AD10" s="30"/>
      <c r="AE10" s="24"/>
      <c r="AF10" s="25"/>
      <c r="AG10" s="27"/>
      <c r="AH10" s="30"/>
      <c r="AI10" s="29"/>
    </row>
    <row r="11" spans="2:35" ht="13.15" customHeight="1">
      <c r="B11" s="31" t="s">
        <v>280</v>
      </c>
      <c r="C11" s="544"/>
      <c r="D11" s="32" t="s">
        <v>588</v>
      </c>
      <c r="E11" s="33"/>
      <c r="F11" s="34">
        <f>SUMIFS(Port!AP:AP,Port!E:E,"1. Sovereign and Central Bank",Port!H:H,1)/1000000</f>
        <v>18128.995877286761</v>
      </c>
      <c r="G11" s="34"/>
      <c r="H11" s="35">
        <f>(SUMIFS(Port!AL:AL,Port!E:E,"1. Sovereign and Central Bank",Port!H:H,1)+SUMIFS(Port!AM:AM,Port!E:E,"1. Sovereign and Central Bank",Port!H:H,1)) / (SUMIFS(Port!AF:AF,Port!E:E,"1. Sovereign and Central Bank",Port!H:H,1)+SUMIFS(Port!AG:AG,Port!E:E,"1. Sovereign and Central Bank",Port!H:H,1))</f>
        <v>9.0832004774658718E-4</v>
      </c>
      <c r="I11" s="36">
        <f>(SUMIFS(Port!AN:AN,Port!E:E,"1. Sovereign and Central Bank",Port!H:H,1)+SUMIFS(Port!AO:AO,Port!E:E,"1. Sovereign and Central Bank",Port!H:H,1)) / (SUMIFS(Port!AF:AF,Port!E:E,"1. Sovereign and Central Bank",Port!H:H,1)+SUMIFS(Port!AG:AG,Port!E:E,"1. Sovereign and Central Bank",Port!H:H,1))</f>
        <v>0.90000000000000036</v>
      </c>
      <c r="J11" s="37">
        <f>(SUMIFS(Port!AF:AF,Port!E:E,"1. Sovereign and Central Bank",Port!H:H,1)+SUMIFS(Port!AG:AG,Port!E:E,"1. Sovereign and Central Bank",Port!H:H,1))/1000000</f>
        <v>18128.995877286754</v>
      </c>
      <c r="K11" s="38">
        <f>(SUMIFS(Port!AJ:AJ,Port!E:E,"1. Sovereign and Central Bank",Port!H:H,1)+SUMIFS(Port!AK:AK,Port!E:E,"1. Sovereign and Central Bank",Port!H:H,1))/1000000</f>
        <v>14.820237360769303</v>
      </c>
      <c r="L11" s="39"/>
      <c r="M11" s="40"/>
      <c r="N11" s="532"/>
      <c r="O11" s="41"/>
      <c r="P11" s="36"/>
      <c r="Q11" s="37"/>
      <c r="R11" s="42"/>
      <c r="S11" s="41"/>
      <c r="T11" s="36"/>
      <c r="U11" s="37"/>
      <c r="V11" s="42"/>
      <c r="W11" s="41"/>
      <c r="X11" s="36"/>
      <c r="Y11" s="37"/>
      <c r="Z11" s="42"/>
      <c r="AA11" s="41"/>
      <c r="AB11" s="36"/>
      <c r="AC11" s="37"/>
      <c r="AD11" s="42"/>
      <c r="AE11" s="41"/>
      <c r="AF11" s="36"/>
      <c r="AG11" s="37"/>
      <c r="AH11" s="42"/>
      <c r="AI11" s="43"/>
    </row>
    <row r="12" spans="2:35" ht="13.5" customHeight="1">
      <c r="B12" s="44"/>
      <c r="C12" s="545"/>
      <c r="D12" s="45" t="s">
        <v>589</v>
      </c>
      <c r="E12" s="46"/>
      <c r="F12" s="34">
        <f>SUMIFS(Port!AP:AP,Port!E:E,"1. Sovereign and Central Bank",Port!H:H,2)/1000000</f>
        <v>0</v>
      </c>
      <c r="G12" s="34"/>
      <c r="H12" s="47"/>
      <c r="I12" s="48"/>
      <c r="J12" s="49"/>
      <c r="K12" s="50"/>
      <c r="L12" s="51"/>
      <c r="M12" s="52"/>
      <c r="N12" s="533"/>
      <c r="O12" s="53"/>
      <c r="P12" s="48"/>
      <c r="Q12" s="49"/>
      <c r="R12" s="54"/>
      <c r="S12" s="53"/>
      <c r="T12" s="48"/>
      <c r="U12" s="49"/>
      <c r="V12" s="54"/>
      <c r="W12" s="53"/>
      <c r="X12" s="48"/>
      <c r="Y12" s="49"/>
      <c r="Z12" s="54"/>
      <c r="AA12" s="53"/>
      <c r="AB12" s="48"/>
      <c r="AC12" s="49"/>
      <c r="AD12" s="54"/>
      <c r="AE12" s="53"/>
      <c r="AF12" s="48"/>
      <c r="AG12" s="49"/>
      <c r="AH12" s="54"/>
      <c r="AI12" s="55"/>
    </row>
    <row r="13" spans="2:35" ht="13.5" customHeight="1">
      <c r="B13" s="44"/>
      <c r="C13" s="545"/>
      <c r="D13" s="45" t="s">
        <v>590</v>
      </c>
      <c r="E13" s="46"/>
      <c r="F13" s="34">
        <f>SUMIFS(Port!AP:AP,Port!E:E,"1. Sovereign and Central Bank",Port!H:H,3)/1000000</f>
        <v>0</v>
      </c>
      <c r="G13" s="34"/>
      <c r="H13" s="47"/>
      <c r="I13" s="48"/>
      <c r="J13" s="49"/>
      <c r="K13" s="50"/>
      <c r="L13" s="51"/>
      <c r="M13" s="56"/>
      <c r="N13" s="533"/>
      <c r="O13" s="53"/>
      <c r="P13" s="48"/>
      <c r="Q13" s="49"/>
      <c r="R13" s="54"/>
      <c r="S13" s="53"/>
      <c r="T13" s="48"/>
      <c r="U13" s="49"/>
      <c r="V13" s="54"/>
      <c r="W13" s="53"/>
      <c r="X13" s="48"/>
      <c r="Y13" s="49"/>
      <c r="Z13" s="54"/>
      <c r="AA13" s="53"/>
      <c r="AB13" s="48"/>
      <c r="AC13" s="49"/>
      <c r="AD13" s="54"/>
      <c r="AE13" s="53"/>
      <c r="AF13" s="48"/>
      <c r="AG13" s="49"/>
      <c r="AH13" s="54"/>
      <c r="AI13" s="57"/>
    </row>
    <row r="14" spans="2:35" ht="13.5" customHeight="1" thickBot="1">
      <c r="B14" s="44"/>
      <c r="C14" s="545"/>
      <c r="D14" s="58" t="s">
        <v>591</v>
      </c>
      <c r="E14" s="59"/>
      <c r="F14" s="60"/>
      <c r="G14" s="60"/>
      <c r="H14" s="61"/>
      <c r="I14" s="62"/>
      <c r="J14" s="63"/>
      <c r="K14" s="64"/>
      <c r="L14" s="51"/>
      <c r="M14" s="56"/>
      <c r="N14" s="533"/>
      <c r="O14" s="65"/>
      <c r="P14" s="62"/>
      <c r="Q14" s="63"/>
      <c r="R14" s="66"/>
      <c r="S14" s="65"/>
      <c r="T14" s="62"/>
      <c r="U14" s="63"/>
      <c r="V14" s="66"/>
      <c r="W14" s="65"/>
      <c r="X14" s="62"/>
      <c r="Y14" s="63"/>
      <c r="Z14" s="66"/>
      <c r="AA14" s="65"/>
      <c r="AB14" s="62"/>
      <c r="AC14" s="63"/>
      <c r="AD14" s="66"/>
      <c r="AE14" s="65"/>
      <c r="AF14" s="62"/>
      <c r="AG14" s="63"/>
      <c r="AH14" s="66"/>
      <c r="AI14" s="67"/>
    </row>
    <row r="15" spans="2:35" ht="13.5" customHeight="1">
      <c r="B15" s="44"/>
      <c r="C15" s="545"/>
      <c r="D15" s="68" t="s">
        <v>592</v>
      </c>
      <c r="E15" s="69"/>
      <c r="F15" s="70">
        <f>SUM(F11:F14)</f>
        <v>18128.995877286761</v>
      </c>
      <c r="G15" s="70">
        <f>SUM(G11:G14)</f>
        <v>0</v>
      </c>
      <c r="H15" s="71">
        <f>SUMPRODUCT($J11:$J14,H11:H14)/SUM($J11:$J14)</f>
        <v>9.0832004774658707E-4</v>
      </c>
      <c r="I15" s="72">
        <f>SUMPRODUCT($J11:$J14,I11:I14)/SUM($J11:$J14)</f>
        <v>0.90000000000000036</v>
      </c>
      <c r="J15" s="73">
        <f>SUM(J11:J14)</f>
        <v>18128.995877286754</v>
      </c>
      <c r="K15" s="74">
        <f>SUM(K11:K14)</f>
        <v>14.820237360769303</v>
      </c>
      <c r="L15" s="75"/>
      <c r="M15" s="52">
        <f>SUM(M11:M14)</f>
        <v>0</v>
      </c>
      <c r="N15" s="534"/>
      <c r="O15" s="76" t="e">
        <f>SUMPRODUCT(Q11:Q14,O11:O14)/SUM(Q11:Q14)</f>
        <v>#DIV/0!</v>
      </c>
      <c r="P15" s="76" t="e">
        <f>SUMPRODUCT(Q11:Q14,P11:P14)/SUM(Q11:Q14)</f>
        <v>#DIV/0!</v>
      </c>
      <c r="Q15" s="73">
        <f>SUM(Q11:Q14)</f>
        <v>0</v>
      </c>
      <c r="R15" s="77">
        <f>SUM(R11:R14)</f>
        <v>0</v>
      </c>
      <c r="S15" s="76" t="e">
        <f>SUMPRODUCT(U11:U14,S11:S14)/SUM(U11:U14)</f>
        <v>#DIV/0!</v>
      </c>
      <c r="T15" s="76" t="e">
        <f>SUMPRODUCT(U11:U14,T11:T14)/SUM(U11:U14)</f>
        <v>#DIV/0!</v>
      </c>
      <c r="U15" s="73">
        <f>SUM(U11:U14)</f>
        <v>0</v>
      </c>
      <c r="V15" s="77">
        <f>SUM(V11:V14)</f>
        <v>0</v>
      </c>
      <c r="W15" s="76" t="e">
        <f>SUMPRODUCT(Y11:Y14,W11:W14)/SUM(Y11:Y14)</f>
        <v>#DIV/0!</v>
      </c>
      <c r="X15" s="76" t="e">
        <f>SUMPRODUCT(Y11:Y14,X11:X14)/SUM(Y11:Y14)</f>
        <v>#DIV/0!</v>
      </c>
      <c r="Y15" s="73">
        <f>SUM(Y11:Y14)</f>
        <v>0</v>
      </c>
      <c r="Z15" s="77">
        <f>SUM(Z11:Z14)</f>
        <v>0</v>
      </c>
      <c r="AA15" s="76" t="e">
        <f>SUMPRODUCT(AC11:AC14,AA11:AA14)/SUM(AC11:AC14)</f>
        <v>#DIV/0!</v>
      </c>
      <c r="AB15" s="76" t="e">
        <f>SUMPRODUCT(AC11:AC14,AB11:AB14)/SUM(AC11:AC14)</f>
        <v>#DIV/0!</v>
      </c>
      <c r="AC15" s="73">
        <f>SUM(AC11:AC14)</f>
        <v>0</v>
      </c>
      <c r="AD15" s="77">
        <f>SUM(AD11:AD14)</f>
        <v>0</v>
      </c>
      <c r="AE15" s="76" t="e">
        <f>SUMPRODUCT(AG11:AG14,AE11:AE14)/SUM(AG11:AG14)</f>
        <v>#DIV/0!</v>
      </c>
      <c r="AF15" s="76" t="e">
        <f>SUMPRODUCT(AG11:AG14,AF11:AF14)/SUM(AG11:AG14)</f>
        <v>#DIV/0!</v>
      </c>
      <c r="AG15" s="73">
        <f>SUM(AG11:AG14)</f>
        <v>0</v>
      </c>
      <c r="AH15" s="77">
        <f>SUM(AH11:AH14)</f>
        <v>0</v>
      </c>
      <c r="AI15" s="78"/>
    </row>
    <row r="16" spans="2:35" ht="13.5" customHeight="1">
      <c r="B16" s="44"/>
      <c r="C16" s="545"/>
      <c r="D16" s="79" t="s">
        <v>593</v>
      </c>
      <c r="E16" s="46"/>
      <c r="F16" s="80"/>
      <c r="G16" s="80"/>
      <c r="H16" s="81"/>
      <c r="I16" s="82"/>
      <c r="J16" s="83"/>
      <c r="K16" s="84"/>
      <c r="L16" s="51"/>
      <c r="M16" s="51"/>
      <c r="N16" s="85"/>
      <c r="O16" s="86"/>
      <c r="P16" s="82"/>
      <c r="Q16" s="83"/>
      <c r="R16" s="87"/>
      <c r="S16" s="86"/>
      <c r="T16" s="82"/>
      <c r="U16" s="83"/>
      <c r="V16" s="87"/>
      <c r="W16" s="86"/>
      <c r="X16" s="82"/>
      <c r="Y16" s="83"/>
      <c r="Z16" s="87"/>
      <c r="AA16" s="86"/>
      <c r="AB16" s="82"/>
      <c r="AC16" s="83"/>
      <c r="AD16" s="87"/>
      <c r="AE16" s="86"/>
      <c r="AF16" s="82"/>
      <c r="AG16" s="83"/>
      <c r="AH16" s="87"/>
      <c r="AI16" s="57"/>
    </row>
    <row r="17" spans="2:35" ht="15.5" thickBot="1">
      <c r="B17" s="88"/>
      <c r="C17" s="546"/>
      <c r="D17" s="89" t="s">
        <v>594</v>
      </c>
      <c r="E17" s="90"/>
      <c r="F17" s="80"/>
      <c r="G17" s="80"/>
      <c r="H17" s="91"/>
      <c r="I17" s="92"/>
      <c r="J17" s="93"/>
      <c r="K17" s="94"/>
      <c r="L17" s="51"/>
      <c r="M17" s="51"/>
      <c r="N17" s="85"/>
      <c r="O17" s="95"/>
      <c r="P17" s="92"/>
      <c r="Q17" s="93"/>
      <c r="R17" s="96"/>
      <c r="S17" s="95"/>
      <c r="T17" s="92"/>
      <c r="U17" s="93"/>
      <c r="V17" s="96"/>
      <c r="W17" s="95"/>
      <c r="X17" s="92"/>
      <c r="Y17" s="93"/>
      <c r="Z17" s="96"/>
      <c r="AA17" s="95"/>
      <c r="AB17" s="92"/>
      <c r="AC17" s="93"/>
      <c r="AD17" s="96"/>
      <c r="AE17" s="95"/>
      <c r="AF17" s="92"/>
      <c r="AG17" s="93"/>
      <c r="AH17" s="96"/>
      <c r="AI17" s="57"/>
    </row>
    <row r="18" spans="2:35" ht="13.5" customHeight="1">
      <c r="B18" s="31" t="s">
        <v>1334</v>
      </c>
      <c r="C18" s="530"/>
      <c r="D18" s="32" t="s">
        <v>588</v>
      </c>
      <c r="E18" s="33"/>
      <c r="F18" s="34">
        <f>SUMIFS(Port!AP:AP,Port!E:E,"2. Private Enterprises",Port!H:H,1)/1000000</f>
        <v>911.85359545785877</v>
      </c>
      <c r="G18" s="34"/>
      <c r="H18" s="97"/>
      <c r="I18" s="36"/>
      <c r="J18" s="37"/>
      <c r="K18" s="38"/>
      <c r="L18" s="51"/>
      <c r="M18" s="52"/>
      <c r="N18" s="532"/>
      <c r="O18" s="41"/>
      <c r="P18" s="36"/>
      <c r="Q18" s="37"/>
      <c r="R18" s="42"/>
      <c r="S18" s="41"/>
      <c r="T18" s="36"/>
      <c r="U18" s="37"/>
      <c r="V18" s="42"/>
      <c r="W18" s="41"/>
      <c r="X18" s="36"/>
      <c r="Y18" s="37"/>
      <c r="Z18" s="42"/>
      <c r="AA18" s="41"/>
      <c r="AB18" s="36"/>
      <c r="AC18" s="37"/>
      <c r="AD18" s="42"/>
      <c r="AE18" s="41"/>
      <c r="AF18" s="36"/>
      <c r="AG18" s="37"/>
      <c r="AH18" s="42"/>
      <c r="AI18" s="43"/>
    </row>
    <row r="19" spans="2:35" ht="13.5" customHeight="1">
      <c r="B19" s="44"/>
      <c r="C19" s="531"/>
      <c r="D19" s="45" t="s">
        <v>589</v>
      </c>
      <c r="E19" s="46"/>
      <c r="F19" s="34">
        <f>SUMIFS(Port!AP:AP,Port!E:E,"2. Private Enterprises",Port!H:H,2)/1000000</f>
        <v>0</v>
      </c>
      <c r="G19" s="34"/>
      <c r="H19" s="98"/>
      <c r="I19" s="48"/>
      <c r="J19" s="49"/>
      <c r="K19" s="50"/>
      <c r="L19" s="51"/>
      <c r="M19" s="52"/>
      <c r="N19" s="533"/>
      <c r="O19" s="53"/>
      <c r="P19" s="48"/>
      <c r="Q19" s="49"/>
      <c r="R19" s="54"/>
      <c r="S19" s="53"/>
      <c r="T19" s="48"/>
      <c r="U19" s="49"/>
      <c r="V19" s="54"/>
      <c r="W19" s="53"/>
      <c r="X19" s="48"/>
      <c r="Y19" s="49"/>
      <c r="Z19" s="54"/>
      <c r="AA19" s="53"/>
      <c r="AB19" s="48"/>
      <c r="AC19" s="49"/>
      <c r="AD19" s="54"/>
      <c r="AE19" s="53"/>
      <c r="AF19" s="48"/>
      <c r="AG19" s="49"/>
      <c r="AH19" s="54"/>
      <c r="AI19" s="55"/>
    </row>
    <row r="20" spans="2:35" ht="13.5" customHeight="1">
      <c r="B20" s="44"/>
      <c r="C20" s="531"/>
      <c r="D20" s="45" t="s">
        <v>590</v>
      </c>
      <c r="E20" s="46"/>
      <c r="F20" s="34">
        <f>SUMIFS(Port!AP:AP,Port!E:E,"2. Private Enterprises",Port!H:H,3)/1000000</f>
        <v>0</v>
      </c>
      <c r="G20" s="34"/>
      <c r="H20" s="98"/>
      <c r="I20" s="48"/>
      <c r="J20" s="49"/>
      <c r="K20" s="50"/>
      <c r="L20" s="51"/>
      <c r="M20" s="56"/>
      <c r="N20" s="533"/>
      <c r="O20" s="53"/>
      <c r="P20" s="48"/>
      <c r="Q20" s="49"/>
      <c r="R20" s="54"/>
      <c r="S20" s="53"/>
      <c r="T20" s="48"/>
      <c r="U20" s="49"/>
      <c r="V20" s="54"/>
      <c r="W20" s="53"/>
      <c r="X20" s="48"/>
      <c r="Y20" s="49"/>
      <c r="Z20" s="54"/>
      <c r="AA20" s="53"/>
      <c r="AB20" s="48"/>
      <c r="AC20" s="49"/>
      <c r="AD20" s="54"/>
      <c r="AE20" s="53"/>
      <c r="AF20" s="48"/>
      <c r="AG20" s="49"/>
      <c r="AH20" s="54"/>
      <c r="AI20" s="57"/>
    </row>
    <row r="21" spans="2:35" ht="13.5" customHeight="1" thickBot="1">
      <c r="B21" s="44"/>
      <c r="C21" s="531"/>
      <c r="D21" s="58" t="s">
        <v>591</v>
      </c>
      <c r="E21" s="59"/>
      <c r="F21" s="60"/>
      <c r="G21" s="60"/>
      <c r="H21" s="62"/>
      <c r="I21" s="62"/>
      <c r="J21" s="63"/>
      <c r="K21" s="64"/>
      <c r="L21" s="51"/>
      <c r="M21" s="56"/>
      <c r="N21" s="533"/>
      <c r="O21" s="65"/>
      <c r="P21" s="62"/>
      <c r="Q21" s="63"/>
      <c r="R21" s="66"/>
      <c r="S21" s="65"/>
      <c r="T21" s="62"/>
      <c r="U21" s="63"/>
      <c r="V21" s="66"/>
      <c r="W21" s="65"/>
      <c r="X21" s="62"/>
      <c r="Y21" s="63"/>
      <c r="Z21" s="66"/>
      <c r="AA21" s="65"/>
      <c r="AB21" s="62"/>
      <c r="AC21" s="63"/>
      <c r="AD21" s="66"/>
      <c r="AE21" s="65"/>
      <c r="AF21" s="62"/>
      <c r="AG21" s="63"/>
      <c r="AH21" s="66"/>
      <c r="AI21" s="67"/>
    </row>
    <row r="22" spans="2:35" ht="13.5" customHeight="1">
      <c r="B22" s="44"/>
      <c r="C22" s="531"/>
      <c r="D22" s="68" t="s">
        <v>592</v>
      </c>
      <c r="E22" s="69"/>
      <c r="F22" s="70">
        <f>SUM(F18:F21)</f>
        <v>911.85359545785877</v>
      </c>
      <c r="G22" s="70">
        <f>SUM(G18:G21)</f>
        <v>0</v>
      </c>
      <c r="H22" s="99" t="e">
        <f>SUMPRODUCT($J18:$J21,H18:H21)/SUM($J18:$J21)</f>
        <v>#DIV/0!</v>
      </c>
      <c r="I22" s="76" t="e">
        <f>SUMPRODUCT($J18:$J21,I18:I21)/SUM($J18:$J21)</f>
        <v>#DIV/0!</v>
      </c>
      <c r="J22" s="73">
        <f>SUM(J18:J21)</f>
        <v>0</v>
      </c>
      <c r="K22" s="74">
        <f>SUM(K18:K21)</f>
        <v>0</v>
      </c>
      <c r="L22" s="75"/>
      <c r="M22" s="52">
        <f>SUM(M18:M21)</f>
        <v>0</v>
      </c>
      <c r="N22" s="534"/>
      <c r="O22" s="76" t="e">
        <f>SUMPRODUCT(Q18:Q21,O18:O21)/SUM(Q18:Q21)</f>
        <v>#DIV/0!</v>
      </c>
      <c r="P22" s="76" t="e">
        <f>SUMPRODUCT(Q18:Q21,P18:P21)/SUM(Q18:Q21)</f>
        <v>#DIV/0!</v>
      </c>
      <c r="Q22" s="73">
        <f>SUM(Q18:Q21)</f>
        <v>0</v>
      </c>
      <c r="R22" s="77">
        <f>SUM(R18:R21)</f>
        <v>0</v>
      </c>
      <c r="S22" s="76" t="e">
        <f>SUMPRODUCT(U18:U21,S18:S21)/SUM(U18:U21)</f>
        <v>#DIV/0!</v>
      </c>
      <c r="T22" s="76" t="e">
        <f>SUMPRODUCT(U18:U21,T18:T21)/SUM(U18:U21)</f>
        <v>#DIV/0!</v>
      </c>
      <c r="U22" s="73">
        <f>SUM(U18:U21)</f>
        <v>0</v>
      </c>
      <c r="V22" s="77">
        <f>SUM(V18:V21)</f>
        <v>0</v>
      </c>
      <c r="W22" s="76" t="e">
        <f>SUMPRODUCT(Y18:Y21,W18:W21)/SUM(Y18:Y21)</f>
        <v>#DIV/0!</v>
      </c>
      <c r="X22" s="76" t="e">
        <f>SUMPRODUCT(Y18:Y21,X18:X21)/SUM(Y18:Y21)</f>
        <v>#DIV/0!</v>
      </c>
      <c r="Y22" s="73">
        <f>SUM(Y18:Y21)</f>
        <v>0</v>
      </c>
      <c r="Z22" s="77">
        <f>SUM(Z18:Z21)</f>
        <v>0</v>
      </c>
      <c r="AA22" s="76" t="e">
        <f>SUMPRODUCT(AC18:AC21,AA18:AA21)/SUM(AC18:AC21)</f>
        <v>#DIV/0!</v>
      </c>
      <c r="AB22" s="76" t="e">
        <f>SUMPRODUCT(AC18:AC21,AB18:AB21)/SUM(AC18:AC21)</f>
        <v>#DIV/0!</v>
      </c>
      <c r="AC22" s="73">
        <f>SUM(AC18:AC21)</f>
        <v>0</v>
      </c>
      <c r="AD22" s="77">
        <f>SUM(AD18:AD21)</f>
        <v>0</v>
      </c>
      <c r="AE22" s="76" t="e">
        <f>SUMPRODUCT(AG18:AG21,AE18:AE21)/SUM(AG18:AG21)</f>
        <v>#DIV/0!</v>
      </c>
      <c r="AF22" s="76" t="e">
        <f>SUMPRODUCT(AG18:AG21,AF18:AF21)/SUM(AG18:AG21)</f>
        <v>#DIV/0!</v>
      </c>
      <c r="AG22" s="73">
        <f>SUM(AG18:AG21)</f>
        <v>0</v>
      </c>
      <c r="AH22" s="77">
        <f>SUM(AH18:AH21)</f>
        <v>0</v>
      </c>
      <c r="AI22" s="78"/>
    </row>
    <row r="23" spans="2:35" ht="13.5" customHeight="1">
      <c r="B23" s="44"/>
      <c r="C23" s="531"/>
      <c r="D23" s="79" t="s">
        <v>593</v>
      </c>
      <c r="E23" s="46"/>
      <c r="F23" s="80"/>
      <c r="G23" s="80"/>
      <c r="H23" s="81"/>
      <c r="I23" s="82"/>
      <c r="J23" s="83"/>
      <c r="K23" s="84"/>
      <c r="L23" s="51"/>
      <c r="M23" s="51"/>
      <c r="N23" s="85"/>
      <c r="O23" s="86"/>
      <c r="P23" s="82"/>
      <c r="Q23" s="83"/>
      <c r="R23" s="87"/>
      <c r="S23" s="86"/>
      <c r="T23" s="82"/>
      <c r="U23" s="83"/>
      <c r="V23" s="87"/>
      <c r="W23" s="86"/>
      <c r="X23" s="82"/>
      <c r="Y23" s="83"/>
      <c r="Z23" s="87"/>
      <c r="AA23" s="86"/>
      <c r="AB23" s="82"/>
      <c r="AC23" s="83"/>
      <c r="AD23" s="87"/>
      <c r="AE23" s="86"/>
      <c r="AF23" s="82"/>
      <c r="AG23" s="83"/>
      <c r="AH23" s="87"/>
      <c r="AI23" s="57"/>
    </row>
    <row r="24" spans="2:35" ht="13.5" customHeight="1" thickBot="1">
      <c r="B24" s="100"/>
      <c r="C24" s="531"/>
      <c r="D24" s="89" t="s">
        <v>594</v>
      </c>
      <c r="E24" s="90"/>
      <c r="F24" s="80"/>
      <c r="G24" s="80"/>
      <c r="H24" s="91"/>
      <c r="I24" s="92"/>
      <c r="J24" s="93"/>
      <c r="K24" s="94"/>
      <c r="L24" s="51"/>
      <c r="M24" s="51"/>
      <c r="N24" s="85"/>
      <c r="O24" s="95"/>
      <c r="P24" s="92"/>
      <c r="Q24" s="93"/>
      <c r="R24" s="96"/>
      <c r="S24" s="95"/>
      <c r="T24" s="92"/>
      <c r="U24" s="93"/>
      <c r="V24" s="96"/>
      <c r="W24" s="95"/>
      <c r="X24" s="92"/>
      <c r="Y24" s="93"/>
      <c r="Z24" s="96"/>
      <c r="AA24" s="95"/>
      <c r="AB24" s="92"/>
      <c r="AC24" s="93"/>
      <c r="AD24" s="96"/>
      <c r="AE24" s="95"/>
      <c r="AF24" s="92"/>
      <c r="AG24" s="93"/>
      <c r="AH24" s="96"/>
      <c r="AI24" s="57"/>
    </row>
    <row r="25" spans="2:35" ht="24" customHeight="1" thickBot="1">
      <c r="B25" s="101" t="s">
        <v>596</v>
      </c>
      <c r="C25" s="102"/>
      <c r="D25" s="102"/>
      <c r="E25" s="102"/>
      <c r="F25" s="103"/>
      <c r="G25" s="103"/>
      <c r="H25" s="102"/>
      <c r="I25" s="102"/>
      <c r="J25" s="104"/>
      <c r="K25" s="104"/>
      <c r="L25" s="105"/>
      <c r="M25" s="106"/>
      <c r="N25" s="107"/>
      <c r="O25" s="101"/>
      <c r="P25" s="102"/>
      <c r="Q25" s="104"/>
      <c r="R25" s="108"/>
      <c r="S25" s="101"/>
      <c r="T25" s="102"/>
      <c r="U25" s="104"/>
      <c r="V25" s="108"/>
      <c r="W25" s="101"/>
      <c r="X25" s="102"/>
      <c r="Y25" s="104"/>
      <c r="Z25" s="108"/>
      <c r="AA25" s="101"/>
      <c r="AB25" s="102"/>
      <c r="AC25" s="104"/>
      <c r="AD25" s="108"/>
      <c r="AE25" s="101"/>
      <c r="AF25" s="102"/>
      <c r="AG25" s="104"/>
      <c r="AH25" s="108"/>
      <c r="AI25" s="107"/>
    </row>
    <row r="26" spans="2:35" ht="13.5" customHeight="1">
      <c r="B26" s="31" t="s">
        <v>597</v>
      </c>
      <c r="C26" s="530"/>
      <c r="D26" s="32" t="s">
        <v>588</v>
      </c>
      <c r="E26" s="33"/>
      <c r="F26" s="34"/>
      <c r="G26" s="34"/>
      <c r="H26" s="97"/>
      <c r="I26" s="36"/>
      <c r="J26" s="37"/>
      <c r="K26" s="38"/>
      <c r="L26" s="51"/>
      <c r="M26" s="52"/>
      <c r="N26" s="532"/>
      <c r="O26" s="41"/>
      <c r="P26" s="36"/>
      <c r="Q26" s="37"/>
      <c r="R26" s="42"/>
      <c r="S26" s="41"/>
      <c r="T26" s="36"/>
      <c r="U26" s="37"/>
      <c r="V26" s="42"/>
      <c r="W26" s="41"/>
      <c r="X26" s="36"/>
      <c r="Y26" s="37"/>
      <c r="Z26" s="42"/>
      <c r="AA26" s="41"/>
      <c r="AB26" s="36"/>
      <c r="AC26" s="37"/>
      <c r="AD26" s="42"/>
      <c r="AE26" s="41"/>
      <c r="AF26" s="36"/>
      <c r="AG26" s="37"/>
      <c r="AH26" s="42"/>
      <c r="AI26" s="43"/>
    </row>
    <row r="27" spans="2:35" ht="13.5" customHeight="1">
      <c r="B27" s="44"/>
      <c r="C27" s="531"/>
      <c r="D27" s="45" t="s">
        <v>589</v>
      </c>
      <c r="E27" s="46"/>
      <c r="F27" s="109"/>
      <c r="G27" s="109"/>
      <c r="H27" s="98"/>
      <c r="I27" s="48"/>
      <c r="J27" s="49"/>
      <c r="K27" s="50"/>
      <c r="L27" s="51"/>
      <c r="M27" s="52"/>
      <c r="N27" s="533"/>
      <c r="O27" s="53"/>
      <c r="P27" s="48"/>
      <c r="Q27" s="49"/>
      <c r="R27" s="54"/>
      <c r="S27" s="53"/>
      <c r="T27" s="48"/>
      <c r="U27" s="49"/>
      <c r="V27" s="54"/>
      <c r="W27" s="53"/>
      <c r="X27" s="48"/>
      <c r="Y27" s="49"/>
      <c r="Z27" s="54"/>
      <c r="AA27" s="53"/>
      <c r="AB27" s="48"/>
      <c r="AC27" s="49"/>
      <c r="AD27" s="54"/>
      <c r="AE27" s="53"/>
      <c r="AF27" s="48"/>
      <c r="AG27" s="49"/>
      <c r="AH27" s="54"/>
      <c r="AI27" s="55"/>
    </row>
    <row r="28" spans="2:35" ht="13.5" customHeight="1">
      <c r="B28" s="44"/>
      <c r="C28" s="531"/>
      <c r="D28" s="45" t="s">
        <v>590</v>
      </c>
      <c r="E28" s="46"/>
      <c r="F28" s="34"/>
      <c r="G28" s="34"/>
      <c r="H28" s="110">
        <v>1</v>
      </c>
      <c r="I28" s="48"/>
      <c r="J28" s="49"/>
      <c r="K28" s="50"/>
      <c r="L28" s="51"/>
      <c r="M28" s="56"/>
      <c r="N28" s="533"/>
      <c r="O28" s="53"/>
      <c r="P28" s="48"/>
      <c r="Q28" s="49"/>
      <c r="R28" s="54"/>
      <c r="S28" s="53"/>
      <c r="T28" s="48"/>
      <c r="U28" s="49"/>
      <c r="V28" s="54"/>
      <c r="W28" s="53"/>
      <c r="X28" s="48"/>
      <c r="Y28" s="49"/>
      <c r="Z28" s="54"/>
      <c r="AA28" s="53"/>
      <c r="AB28" s="48"/>
      <c r="AC28" s="49"/>
      <c r="AD28" s="54"/>
      <c r="AE28" s="53"/>
      <c r="AF28" s="48"/>
      <c r="AG28" s="49"/>
      <c r="AH28" s="54"/>
      <c r="AI28" s="57"/>
    </row>
    <row r="29" spans="2:35" ht="13.5" customHeight="1" thickBot="1">
      <c r="B29" s="44"/>
      <c r="C29" s="531"/>
      <c r="D29" s="58" t="s">
        <v>591</v>
      </c>
      <c r="E29" s="59"/>
      <c r="F29" s="60"/>
      <c r="G29" s="60"/>
      <c r="H29" s="111">
        <v>1</v>
      </c>
      <c r="I29" s="62"/>
      <c r="J29" s="63"/>
      <c r="K29" s="64"/>
      <c r="L29" s="51"/>
      <c r="M29" s="56"/>
      <c r="N29" s="533"/>
      <c r="O29" s="65"/>
      <c r="P29" s="62"/>
      <c r="Q29" s="63"/>
      <c r="R29" s="66"/>
      <c r="S29" s="65"/>
      <c r="T29" s="62"/>
      <c r="U29" s="63"/>
      <c r="V29" s="66"/>
      <c r="W29" s="65"/>
      <c r="X29" s="62"/>
      <c r="Y29" s="63"/>
      <c r="Z29" s="66"/>
      <c r="AA29" s="65"/>
      <c r="AB29" s="62"/>
      <c r="AC29" s="63"/>
      <c r="AD29" s="66"/>
      <c r="AE29" s="65"/>
      <c r="AF29" s="62"/>
      <c r="AG29" s="63"/>
      <c r="AH29" s="66"/>
      <c r="AI29" s="67"/>
    </row>
    <row r="30" spans="2:35" ht="13.5" customHeight="1">
      <c r="B30" s="44"/>
      <c r="C30" s="531"/>
      <c r="D30" s="68" t="s">
        <v>592</v>
      </c>
      <c r="E30" s="112"/>
      <c r="F30" s="70">
        <f>SUM(F26:F29)</f>
        <v>0</v>
      </c>
      <c r="G30" s="70">
        <f>SUM(G26:G29)</f>
        <v>0</v>
      </c>
      <c r="H30" s="99" t="e">
        <f>SUMPRODUCT($J26:$J29,H26:H29)/SUM($J26:$J29)</f>
        <v>#DIV/0!</v>
      </c>
      <c r="I30" s="76" t="e">
        <f>SUMPRODUCT($J26:$J29,I26:I29)/SUM($J26:$J29)</f>
        <v>#DIV/0!</v>
      </c>
      <c r="J30" s="73">
        <f>SUM(J26:J29)</f>
        <v>0</v>
      </c>
      <c r="K30" s="74">
        <f>SUM(K26:K29)</f>
        <v>0</v>
      </c>
      <c r="L30" s="75"/>
      <c r="M30" s="52">
        <f>SUM(M26:M29)</f>
        <v>0</v>
      </c>
      <c r="N30" s="534"/>
      <c r="O30" s="76" t="e">
        <f>SUMPRODUCT(Q26:Q29,O26:O29)/SUM(Q26:Q29)</f>
        <v>#DIV/0!</v>
      </c>
      <c r="P30" s="76" t="e">
        <f>SUMPRODUCT(Q26:Q29,P26:P29)/SUM(Q26:Q29)</f>
        <v>#DIV/0!</v>
      </c>
      <c r="Q30" s="73">
        <f>SUM(Q26:Q29)</f>
        <v>0</v>
      </c>
      <c r="R30" s="77">
        <f>SUM(R26:R29)</f>
        <v>0</v>
      </c>
      <c r="S30" s="76" t="e">
        <f>SUMPRODUCT(U26:U29,S26:S29)/SUM(U26:U29)</f>
        <v>#DIV/0!</v>
      </c>
      <c r="T30" s="76" t="e">
        <f>SUMPRODUCT(U26:U29,T26:T29)/SUM(U26:U29)</f>
        <v>#DIV/0!</v>
      </c>
      <c r="U30" s="73">
        <f>SUM(U26:U29)</f>
        <v>0</v>
      </c>
      <c r="V30" s="77">
        <f>SUM(V26:V29)</f>
        <v>0</v>
      </c>
      <c r="W30" s="76" t="e">
        <f>SUMPRODUCT(Y26:Y29,W26:W29)/SUM(Y26:Y29)</f>
        <v>#DIV/0!</v>
      </c>
      <c r="X30" s="76" t="e">
        <f>SUMPRODUCT(Y26:Y29,X26:X29)/SUM(Y26:Y29)</f>
        <v>#DIV/0!</v>
      </c>
      <c r="Y30" s="73">
        <f>SUM(Y26:Y29)</f>
        <v>0</v>
      </c>
      <c r="Z30" s="77">
        <f>SUM(Z26:Z29)</f>
        <v>0</v>
      </c>
      <c r="AA30" s="76" t="e">
        <f>SUMPRODUCT(AC26:AC29,AA26:AA29)/SUM(AC26:AC29)</f>
        <v>#DIV/0!</v>
      </c>
      <c r="AB30" s="76" t="e">
        <f>SUMPRODUCT(AC26:AC29,AB26:AB29)/SUM(AC26:AC29)</f>
        <v>#DIV/0!</v>
      </c>
      <c r="AC30" s="73">
        <f>SUM(AC26:AC29)</f>
        <v>0</v>
      </c>
      <c r="AD30" s="77">
        <f>SUM(AD26:AD29)</f>
        <v>0</v>
      </c>
      <c r="AE30" s="76" t="e">
        <f>SUMPRODUCT(AG26:AG29,AE26:AE29)/SUM(AG26:AG29)</f>
        <v>#DIV/0!</v>
      </c>
      <c r="AF30" s="76" t="e">
        <f>SUMPRODUCT(AG26:AG29,AF26:AF29)/SUM(AG26:AG29)</f>
        <v>#DIV/0!</v>
      </c>
      <c r="AG30" s="73">
        <f>SUM(AG26:AG29)</f>
        <v>0</v>
      </c>
      <c r="AH30" s="77">
        <f>SUM(AH26:AH29)</f>
        <v>0</v>
      </c>
      <c r="AI30" s="78"/>
    </row>
    <row r="31" spans="2:35" ht="13.5" customHeight="1">
      <c r="B31" s="44"/>
      <c r="C31" s="531"/>
      <c r="D31" s="79" t="s">
        <v>593</v>
      </c>
      <c r="E31" s="46"/>
      <c r="F31" s="80"/>
      <c r="G31" s="80"/>
      <c r="H31" s="81"/>
      <c r="I31" s="82"/>
      <c r="J31" s="83"/>
      <c r="K31" s="84"/>
      <c r="L31" s="51"/>
      <c r="M31" s="51"/>
      <c r="N31" s="85"/>
      <c r="O31" s="86"/>
      <c r="P31" s="82"/>
      <c r="Q31" s="83"/>
      <c r="R31" s="87"/>
      <c r="S31" s="86"/>
      <c r="T31" s="82"/>
      <c r="U31" s="83"/>
      <c r="V31" s="87"/>
      <c r="W31" s="86"/>
      <c r="X31" s="82"/>
      <c r="Y31" s="83"/>
      <c r="Z31" s="87"/>
      <c r="AA31" s="86"/>
      <c r="AB31" s="82"/>
      <c r="AC31" s="83"/>
      <c r="AD31" s="87"/>
      <c r="AE31" s="86"/>
      <c r="AF31" s="82"/>
      <c r="AG31" s="83"/>
      <c r="AH31" s="87"/>
      <c r="AI31" s="57"/>
    </row>
    <row r="32" spans="2:35" ht="13.5" customHeight="1" thickBot="1">
      <c r="B32" s="88"/>
      <c r="C32" s="547"/>
      <c r="D32" s="89" t="s">
        <v>594</v>
      </c>
      <c r="E32" s="113"/>
      <c r="F32" s="80"/>
      <c r="G32" s="80"/>
      <c r="H32" s="91"/>
      <c r="I32" s="92"/>
      <c r="J32" s="93"/>
      <c r="K32" s="94"/>
      <c r="L32" s="51"/>
      <c r="M32" s="51"/>
      <c r="N32" s="85"/>
      <c r="O32" s="95"/>
      <c r="P32" s="92"/>
      <c r="Q32" s="93"/>
      <c r="R32" s="96"/>
      <c r="S32" s="95"/>
      <c r="T32" s="92"/>
      <c r="U32" s="93"/>
      <c r="V32" s="96"/>
      <c r="W32" s="95"/>
      <c r="X32" s="92"/>
      <c r="Y32" s="93"/>
      <c r="Z32" s="96"/>
      <c r="AA32" s="95"/>
      <c r="AB32" s="92"/>
      <c r="AC32" s="93"/>
      <c r="AD32" s="96"/>
      <c r="AE32" s="95"/>
      <c r="AF32" s="92"/>
      <c r="AG32" s="93"/>
      <c r="AH32" s="96"/>
      <c r="AI32" s="57"/>
    </row>
    <row r="33" spans="1:35" ht="13.5" customHeight="1">
      <c r="B33" s="114" t="s">
        <v>172</v>
      </c>
      <c r="C33" s="531"/>
      <c r="D33" s="32" t="s">
        <v>588</v>
      </c>
      <c r="E33" s="33"/>
      <c r="F33" s="34">
        <f>SUMIFS(Port!AP:AP,Port!C:C,"NBFI",Port!H:H,1)/1000000</f>
        <v>25709.73922313028</v>
      </c>
      <c r="G33" s="34">
        <f>SUMIFS(Port!AE:AE,Port!F:F,"F",Port!H:H,1)/1000000</f>
        <v>33.427507679999998</v>
      </c>
      <c r="H33" s="35">
        <f>(SUMIFS(Port!AL:AL,Port!C:C,"NBFI",Port!H:H,1)+SUMIFS(Port!AM:AM,Port!C:C,"NBFI",Port!H:H,1)) / (SUMIFS(Port!AF:AF,Port!C:C,"NBFI",Port!H:H,1)+SUMIFS(Port!AG:AG,Port!C:C,"NBFI",Port!H:H,1))</f>
        <v>8.6794838893099573E-3</v>
      </c>
      <c r="I33" s="36">
        <f>(SUMIFS(Port!AN:AN,Port!C:C,"NBFI",Port!H:H,1)+SUMIFS(Port!AO:AO,Port!C:C,"NBFI",Port!H:H,1)) / (SUMIFS(Port!AF:AF,Port!C:C,"NBFI",Port!H:H,1)+SUMIFS(Port!AG:AG,Port!C:C,"NBFI",Port!H:H,1))</f>
        <v>0.89906507984113748</v>
      </c>
      <c r="J33" s="37">
        <f>(SUMIFS(Port!AF:AF,Port!C:C,"NBFI",Port!H:H,1)+SUMIFS(Port!AG:AG,Port!C:C,"NBFI",Port!H:H,1))/1000000</f>
        <v>25743.166730810277</v>
      </c>
      <c r="K33" s="38">
        <f>(SUMIFS(Port!AJ:AJ,Port!C:C,"NBFI",Port!H:H,1)+SUMIFS(Port!AK:AK,Port!C:C,"NBFI",Port!H:H,1))/1000000</f>
        <v>201.03790008050623</v>
      </c>
      <c r="L33" s="51"/>
      <c r="M33" s="52"/>
      <c r="N33" s="532"/>
      <c r="O33" s="41"/>
      <c r="P33" s="36"/>
      <c r="Q33" s="37"/>
      <c r="R33" s="42"/>
      <c r="S33" s="41"/>
      <c r="T33" s="36"/>
      <c r="U33" s="37"/>
      <c r="V33" s="42"/>
      <c r="W33" s="41"/>
      <c r="X33" s="36"/>
      <c r="Y33" s="37"/>
      <c r="Z33" s="42"/>
      <c r="AA33" s="41"/>
      <c r="AB33" s="36"/>
      <c r="AC33" s="37"/>
      <c r="AD33" s="42"/>
      <c r="AE33" s="41"/>
      <c r="AF33" s="36"/>
      <c r="AG33" s="37"/>
      <c r="AH33" s="42"/>
      <c r="AI33" s="43"/>
    </row>
    <row r="34" spans="1:35" ht="13.5" customHeight="1">
      <c r="B34" s="44"/>
      <c r="C34" s="531"/>
      <c r="D34" s="45" t="s">
        <v>589</v>
      </c>
      <c r="E34" s="46"/>
      <c r="F34" s="34">
        <f>SUMIFS(Port!AP:AP,Port!C:C,"NBFI",Port!H:H,2)/1000000</f>
        <v>0</v>
      </c>
      <c r="G34" s="34">
        <f>SUMIFS(Port!AE:AE,Port!F:F,"F",Port!H:H,2)/1000000</f>
        <v>0</v>
      </c>
      <c r="H34" s="115">
        <v>0</v>
      </c>
      <c r="I34" s="116">
        <v>0</v>
      </c>
      <c r="J34" s="49"/>
      <c r="K34" s="50"/>
      <c r="L34" s="51"/>
      <c r="M34" s="52"/>
      <c r="N34" s="533"/>
      <c r="O34" s="53"/>
      <c r="P34" s="48"/>
      <c r="Q34" s="49"/>
      <c r="R34" s="54"/>
      <c r="S34" s="53"/>
      <c r="T34" s="48"/>
      <c r="U34" s="49"/>
      <c r="V34" s="54"/>
      <c r="W34" s="53"/>
      <c r="X34" s="48"/>
      <c r="Y34" s="49"/>
      <c r="Z34" s="54"/>
      <c r="AA34" s="53"/>
      <c r="AB34" s="48"/>
      <c r="AC34" s="49"/>
      <c r="AD34" s="54"/>
      <c r="AE34" s="53"/>
      <c r="AF34" s="48"/>
      <c r="AG34" s="49"/>
      <c r="AH34" s="54"/>
      <c r="AI34" s="55"/>
    </row>
    <row r="35" spans="1:35" ht="13.5" customHeight="1">
      <c r="B35" s="44"/>
      <c r="C35" s="531"/>
      <c r="D35" s="45" t="s">
        <v>590</v>
      </c>
      <c r="E35" s="46"/>
      <c r="F35" s="34">
        <f>SUMIFS(Port!AP:AP,Port!C:C,"NBFI",Port!H:H,3)/1000000</f>
        <v>0</v>
      </c>
      <c r="G35" s="34">
        <f>SUMIFS(Port!AE:AE,Port!F:F,"F",Port!H:H,3)/1000000</f>
        <v>0</v>
      </c>
      <c r="H35" s="110">
        <v>1</v>
      </c>
      <c r="I35" s="48"/>
      <c r="J35" s="49"/>
      <c r="K35" s="50"/>
      <c r="L35" s="51"/>
      <c r="M35" s="56"/>
      <c r="N35" s="533"/>
      <c r="O35" s="53"/>
      <c r="P35" s="48"/>
      <c r="Q35" s="49"/>
      <c r="R35" s="54"/>
      <c r="S35" s="53"/>
      <c r="T35" s="48"/>
      <c r="U35" s="49"/>
      <c r="V35" s="54"/>
      <c r="W35" s="53"/>
      <c r="X35" s="48"/>
      <c r="Y35" s="49"/>
      <c r="Z35" s="54"/>
      <c r="AA35" s="53"/>
      <c r="AB35" s="48"/>
      <c r="AC35" s="49"/>
      <c r="AD35" s="54"/>
      <c r="AE35" s="53"/>
      <c r="AF35" s="48"/>
      <c r="AG35" s="49"/>
      <c r="AH35" s="54"/>
      <c r="AI35" s="57"/>
    </row>
    <row r="36" spans="1:35" ht="13.5" customHeight="1" thickBot="1">
      <c r="B36" s="44"/>
      <c r="C36" s="531"/>
      <c r="D36" s="58" t="s">
        <v>591</v>
      </c>
      <c r="E36" s="59"/>
      <c r="F36" s="60"/>
      <c r="G36" s="60"/>
      <c r="H36" s="111">
        <v>1</v>
      </c>
      <c r="I36" s="62"/>
      <c r="J36" s="63"/>
      <c r="K36" s="64"/>
      <c r="L36" s="51"/>
      <c r="M36" s="56"/>
      <c r="N36" s="533"/>
      <c r="O36" s="65"/>
      <c r="P36" s="62"/>
      <c r="Q36" s="63"/>
      <c r="R36" s="66"/>
      <c r="S36" s="65"/>
      <c r="T36" s="62"/>
      <c r="U36" s="63"/>
      <c r="V36" s="66"/>
      <c r="W36" s="65"/>
      <c r="X36" s="62"/>
      <c r="Y36" s="63"/>
      <c r="Z36" s="66"/>
      <c r="AA36" s="65"/>
      <c r="AB36" s="62"/>
      <c r="AC36" s="63"/>
      <c r="AD36" s="66"/>
      <c r="AE36" s="65"/>
      <c r="AF36" s="62"/>
      <c r="AG36" s="63"/>
      <c r="AH36" s="66"/>
      <c r="AI36" s="67"/>
    </row>
    <row r="37" spans="1:35" ht="13.5" customHeight="1">
      <c r="B37" s="44"/>
      <c r="C37" s="531"/>
      <c r="D37" s="68" t="s">
        <v>592</v>
      </c>
      <c r="E37" s="112"/>
      <c r="F37" s="70">
        <f>SUM(F33:F36)</f>
        <v>25709.73922313028</v>
      </c>
      <c r="G37" s="70">
        <f>SUM(G33:G36)</f>
        <v>33.427507679999998</v>
      </c>
      <c r="H37" s="71">
        <f>SUMPRODUCT($J33:$J36,H33:H36)/SUM($J33:$J36)</f>
        <v>8.6794838893099573E-3</v>
      </c>
      <c r="I37" s="72">
        <f>SUMPRODUCT($J33:$J36,I33:I36)/SUM($J33:$J36)</f>
        <v>0.89906507984113748</v>
      </c>
      <c r="J37" s="73">
        <f>SUM(J33:J36)</f>
        <v>25743.166730810277</v>
      </c>
      <c r="K37" s="74">
        <f>SUM(K33:K36)</f>
        <v>201.03790008050623</v>
      </c>
      <c r="L37" s="75"/>
      <c r="M37" s="52">
        <f>SUM(M33:M36)</f>
        <v>0</v>
      </c>
      <c r="N37" s="534"/>
      <c r="O37" s="76" t="e">
        <f>SUMPRODUCT(Q33:Q36,O33:O36)/SUM(Q33:Q36)</f>
        <v>#DIV/0!</v>
      </c>
      <c r="P37" s="76" t="e">
        <f>SUMPRODUCT(Q33:Q36,P33:P36)/SUM(Q33:Q36)</f>
        <v>#DIV/0!</v>
      </c>
      <c r="Q37" s="73">
        <f>SUM(Q33:Q36)</f>
        <v>0</v>
      </c>
      <c r="R37" s="77">
        <f>SUM(R33:R36)</f>
        <v>0</v>
      </c>
      <c r="S37" s="76" t="e">
        <f>SUMPRODUCT(U33:U36,S33:S36)/SUM(U33:U36)</f>
        <v>#DIV/0!</v>
      </c>
      <c r="T37" s="76" t="e">
        <f>SUMPRODUCT(U33:U36,T33:T36)/SUM(U33:U36)</f>
        <v>#DIV/0!</v>
      </c>
      <c r="U37" s="73">
        <f>SUM(U33:U36)</f>
        <v>0</v>
      </c>
      <c r="V37" s="77">
        <f>SUM(V33:V36)</f>
        <v>0</v>
      </c>
      <c r="W37" s="76" t="e">
        <f>SUMPRODUCT(Y33:Y36,W33:W36)/SUM(Y33:Y36)</f>
        <v>#DIV/0!</v>
      </c>
      <c r="X37" s="76" t="e">
        <f>SUMPRODUCT(Y33:Y36,X33:X36)/SUM(Y33:Y36)</f>
        <v>#DIV/0!</v>
      </c>
      <c r="Y37" s="73">
        <f>SUM(Y33:Y36)</f>
        <v>0</v>
      </c>
      <c r="Z37" s="77">
        <f>SUM(Z33:Z36)</f>
        <v>0</v>
      </c>
      <c r="AA37" s="76" t="e">
        <f>SUMPRODUCT(AC33:AC36,AA33:AA36)/SUM(AC33:AC36)</f>
        <v>#DIV/0!</v>
      </c>
      <c r="AB37" s="76" t="e">
        <f>SUMPRODUCT(AC33:AC36,AB33:AB36)/SUM(AC33:AC36)</f>
        <v>#DIV/0!</v>
      </c>
      <c r="AC37" s="73">
        <f>SUM(AC33:AC36)</f>
        <v>0</v>
      </c>
      <c r="AD37" s="77">
        <f>SUM(AD33:AD36)</f>
        <v>0</v>
      </c>
      <c r="AE37" s="76" t="e">
        <f>SUMPRODUCT(AG33:AG36,AE33:AE36)/SUM(AG33:AG36)</f>
        <v>#DIV/0!</v>
      </c>
      <c r="AF37" s="76" t="e">
        <f>SUMPRODUCT(AG33:AG36,AF33:AF36)/SUM(AG33:AG36)</f>
        <v>#DIV/0!</v>
      </c>
      <c r="AG37" s="73">
        <f>SUM(AG33:AG36)</f>
        <v>0</v>
      </c>
      <c r="AH37" s="77">
        <f>SUM(AH33:AH36)</f>
        <v>0</v>
      </c>
      <c r="AI37" s="78"/>
    </row>
    <row r="38" spans="1:35" ht="13.5" customHeight="1">
      <c r="B38" s="44"/>
      <c r="C38" s="531"/>
      <c r="D38" s="79" t="s">
        <v>593</v>
      </c>
      <c r="E38" s="46"/>
      <c r="F38" s="80"/>
      <c r="G38" s="80"/>
      <c r="H38" s="81"/>
      <c r="I38" s="82"/>
      <c r="J38" s="83"/>
      <c r="K38" s="84"/>
      <c r="L38" s="51"/>
      <c r="M38" s="51"/>
      <c r="N38" s="85"/>
      <c r="O38" s="86"/>
      <c r="P38" s="82"/>
      <c r="Q38" s="83"/>
      <c r="R38" s="87"/>
      <c r="S38" s="86"/>
      <c r="T38" s="82"/>
      <c r="U38" s="83"/>
      <c r="V38" s="87"/>
      <c r="W38" s="86"/>
      <c r="X38" s="82"/>
      <c r="Y38" s="83"/>
      <c r="Z38" s="87"/>
      <c r="AA38" s="86"/>
      <c r="AB38" s="82"/>
      <c r="AC38" s="83"/>
      <c r="AD38" s="87"/>
      <c r="AE38" s="86"/>
      <c r="AF38" s="82"/>
      <c r="AG38" s="83"/>
      <c r="AH38" s="87"/>
      <c r="AI38" s="57"/>
    </row>
    <row r="39" spans="1:35" ht="13.5" customHeight="1" thickBot="1">
      <c r="B39" s="44"/>
      <c r="C39" s="531"/>
      <c r="D39" s="89" t="s">
        <v>594</v>
      </c>
      <c r="E39" s="113"/>
      <c r="F39" s="80"/>
      <c r="G39" s="80"/>
      <c r="H39" s="91"/>
      <c r="I39" s="92"/>
      <c r="J39" s="93"/>
      <c r="K39" s="94"/>
      <c r="L39" s="51"/>
      <c r="M39" s="51"/>
      <c r="N39" s="85"/>
      <c r="O39" s="95"/>
      <c r="P39" s="92"/>
      <c r="Q39" s="93"/>
      <c r="R39" s="96"/>
      <c r="S39" s="95"/>
      <c r="T39" s="92"/>
      <c r="U39" s="93"/>
      <c r="V39" s="96"/>
      <c r="W39" s="95"/>
      <c r="X39" s="92"/>
      <c r="Y39" s="93"/>
      <c r="Z39" s="96"/>
      <c r="AA39" s="95"/>
      <c r="AB39" s="92"/>
      <c r="AC39" s="93"/>
      <c r="AD39" s="96"/>
      <c r="AE39" s="95"/>
      <c r="AF39" s="92"/>
      <c r="AG39" s="93"/>
      <c r="AH39" s="96"/>
      <c r="AI39" s="57"/>
    </row>
    <row r="40" spans="1:35" ht="13.5" customHeight="1">
      <c r="B40" s="31" t="s">
        <v>19</v>
      </c>
      <c r="C40" s="544"/>
      <c r="D40" s="32" t="s">
        <v>598</v>
      </c>
      <c r="E40" s="33"/>
      <c r="F40" s="117">
        <f>SUM(F41:F44)</f>
        <v>24563.476061179015</v>
      </c>
      <c r="G40" s="117">
        <f>SUM(G41:G44)</f>
        <v>2811.2533958879999</v>
      </c>
      <c r="H40" s="118">
        <f>SUMPRODUCT(H41:H44,$J41:$J44)/SUM(J41:J44)</f>
        <v>1.7321529745904167E-2</v>
      </c>
      <c r="I40" s="118">
        <f>SUMPRODUCT(J41:J44,$I41:$I44)/SUM(J41:J44)</f>
        <v>0.75453302773241637</v>
      </c>
      <c r="J40" s="120">
        <f>SUM(J41:J44)</f>
        <v>27374.729457066998</v>
      </c>
      <c r="K40" s="121">
        <f>SUM(K41:K44)</f>
        <v>367.21035532842762</v>
      </c>
      <c r="L40" s="122"/>
      <c r="M40" s="123"/>
      <c r="N40" s="532"/>
      <c r="O40" s="124" t="e">
        <f>SUMPRODUCT(O41:O44,Q41:Q44)/SUM(Q41:Q44)</f>
        <v>#DIV/0!</v>
      </c>
      <c r="P40" s="119" t="e">
        <f>SUMPRODUCT(Q41:Q44,$P41:$P44)/SUM(Q41:Q44)</f>
        <v>#DIV/0!</v>
      </c>
      <c r="Q40" s="125">
        <f>SUM(Q41:Q44)</f>
        <v>0</v>
      </c>
      <c r="R40" s="126">
        <f>SUM(R41:R44)</f>
        <v>0</v>
      </c>
      <c r="S40" s="124" t="e">
        <f>SUMPRODUCT(S41:S44,U41:U44)/SUM(U41:U44)</f>
        <v>#DIV/0!</v>
      </c>
      <c r="T40" s="119" t="e">
        <f>SUMPRODUCT(U41:U44,$T41:$T44)/SUM(U41:U44)</f>
        <v>#DIV/0!</v>
      </c>
      <c r="U40" s="125">
        <f>SUM(U41:U44)</f>
        <v>0</v>
      </c>
      <c r="V40" s="126">
        <f>SUM(V41:V44)</f>
        <v>0</v>
      </c>
      <c r="W40" s="124" t="e">
        <f>SUMPRODUCT(W41:W44,Y41:Y44)/SUM(Y41:Y44)</f>
        <v>#DIV/0!</v>
      </c>
      <c r="X40" s="119" t="e">
        <f>SUMPRODUCT(Y41:Y44,$X41:$X44)/SUM(Y41:Y44)</f>
        <v>#DIV/0!</v>
      </c>
      <c r="Y40" s="125">
        <f>SUM(Y41:Y44)</f>
        <v>0</v>
      </c>
      <c r="Z40" s="126">
        <f>SUM(Z41:Z44)</f>
        <v>0</v>
      </c>
      <c r="AA40" s="124" t="e">
        <f>SUMPRODUCT(AA41:AA44,AC41:AC44)/SUM(AC41:AC44)</f>
        <v>#DIV/0!</v>
      </c>
      <c r="AB40" s="119" t="e">
        <f>SUMPRODUCT(AC41:AC44,$AB41:$AB44)/SUM(AC41:AC44)</f>
        <v>#DIV/0!</v>
      </c>
      <c r="AC40" s="125">
        <f>SUM(AC41:AC44)</f>
        <v>0</v>
      </c>
      <c r="AD40" s="126">
        <f>SUM(AD41:AD44)</f>
        <v>0</v>
      </c>
      <c r="AE40" s="124" t="e">
        <f>SUMPRODUCT(AE41:AE44,AG41:AG44)/SUM(AG41:AG44)</f>
        <v>#DIV/0!</v>
      </c>
      <c r="AF40" s="119" t="e">
        <f>SUMPRODUCT(AG41:AG44,$AF41:$AF44)/SUM(AG41:AG44)</f>
        <v>#DIV/0!</v>
      </c>
      <c r="AG40" s="125">
        <f>SUM(AG41:AG44)</f>
        <v>0</v>
      </c>
      <c r="AH40" s="126">
        <f>SUM(AH41:AH44)</f>
        <v>0</v>
      </c>
      <c r="AI40" s="43"/>
    </row>
    <row r="41" spans="1:35" s="141" customFormat="1" ht="12.75" customHeight="1" outlineLevel="1">
      <c r="A41" s="127"/>
      <c r="B41" s="128"/>
      <c r="C41" s="545"/>
      <c r="D41" s="129" t="s">
        <v>599</v>
      </c>
      <c r="E41" s="130"/>
      <c r="F41" s="131"/>
      <c r="G41" s="131"/>
      <c r="H41" s="132"/>
      <c r="I41" s="133"/>
      <c r="J41" s="134"/>
      <c r="K41" s="135"/>
      <c r="L41" s="136"/>
      <c r="M41" s="136"/>
      <c r="N41" s="533"/>
      <c r="O41" s="137"/>
      <c r="P41" s="133"/>
      <c r="Q41" s="138"/>
      <c r="R41" s="139"/>
      <c r="S41" s="137"/>
      <c r="T41" s="133"/>
      <c r="U41" s="138"/>
      <c r="V41" s="139"/>
      <c r="W41" s="137"/>
      <c r="X41" s="133"/>
      <c r="Y41" s="138"/>
      <c r="Z41" s="139"/>
      <c r="AA41" s="137"/>
      <c r="AB41" s="133"/>
      <c r="AC41" s="138"/>
      <c r="AD41" s="139"/>
      <c r="AE41" s="137"/>
      <c r="AF41" s="133"/>
      <c r="AG41" s="138"/>
      <c r="AH41" s="139"/>
      <c r="AI41" s="140"/>
    </row>
    <row r="42" spans="1:35" s="141" customFormat="1" ht="12.75" customHeight="1" outlineLevel="1">
      <c r="A42" s="127"/>
      <c r="B42" s="128"/>
      <c r="C42" s="545"/>
      <c r="D42" s="129" t="s">
        <v>600</v>
      </c>
      <c r="E42" s="130"/>
      <c r="F42" s="131"/>
      <c r="G42" s="131"/>
      <c r="H42" s="132"/>
      <c r="I42" s="133"/>
      <c r="J42" s="134"/>
      <c r="K42" s="135"/>
      <c r="L42" s="136"/>
      <c r="M42" s="136"/>
      <c r="N42" s="533"/>
      <c r="O42" s="137"/>
      <c r="P42" s="133"/>
      <c r="Q42" s="138"/>
      <c r="R42" s="139"/>
      <c r="S42" s="137"/>
      <c r="T42" s="133"/>
      <c r="U42" s="138"/>
      <c r="V42" s="139"/>
      <c r="W42" s="137"/>
      <c r="X42" s="133"/>
      <c r="Y42" s="138"/>
      <c r="Z42" s="139"/>
      <c r="AA42" s="137"/>
      <c r="AB42" s="133"/>
      <c r="AC42" s="138"/>
      <c r="AD42" s="139"/>
      <c r="AE42" s="137"/>
      <c r="AF42" s="133"/>
      <c r="AG42" s="138"/>
      <c r="AH42" s="139"/>
      <c r="AI42" s="140"/>
    </row>
    <row r="43" spans="1:35" s="154" customFormat="1" ht="13.15" customHeight="1" outlineLevel="1">
      <c r="A43" s="142"/>
      <c r="B43" s="143"/>
      <c r="C43" s="545"/>
      <c r="D43" s="129" t="s">
        <v>601</v>
      </c>
      <c r="E43" s="46"/>
      <c r="F43" s="144"/>
      <c r="G43" s="144"/>
      <c r="H43" s="145"/>
      <c r="I43" s="146"/>
      <c r="J43" s="147"/>
      <c r="K43" s="148"/>
      <c r="L43" s="149"/>
      <c r="M43" s="136"/>
      <c r="N43" s="533"/>
      <c r="O43" s="150"/>
      <c r="P43" s="146"/>
      <c r="Q43" s="151"/>
      <c r="R43" s="152"/>
      <c r="S43" s="150"/>
      <c r="T43" s="146"/>
      <c r="U43" s="151"/>
      <c r="V43" s="152"/>
      <c r="W43" s="150"/>
      <c r="X43" s="146"/>
      <c r="Y43" s="151"/>
      <c r="Z43" s="152"/>
      <c r="AA43" s="150"/>
      <c r="AB43" s="146"/>
      <c r="AC43" s="151"/>
      <c r="AD43" s="152"/>
      <c r="AE43" s="150"/>
      <c r="AF43" s="146"/>
      <c r="AG43" s="151"/>
      <c r="AH43" s="152"/>
      <c r="AI43" s="153"/>
    </row>
    <row r="44" spans="1:35" s="154" customFormat="1" ht="13.15" customHeight="1" outlineLevel="1">
      <c r="A44" s="142"/>
      <c r="B44" s="143"/>
      <c r="C44" s="545"/>
      <c r="D44" s="129" t="s">
        <v>602</v>
      </c>
      <c r="E44" s="46"/>
      <c r="F44" s="144">
        <f>SUMIFS(Port!AP:AP,Port!E:E,"3. Corporate",Port!H:H,1)/1000000</f>
        <v>24563.476061179015</v>
      </c>
      <c r="G44" s="144">
        <f>SUMIFS(Port!AE:AE,Port!F:F,"C",Port!H:H,1)/1000000+SUMIFS(Port!AE:AE,Port!F:F,"O",Port!H:H,1)/1000000</f>
        <v>2811.2533958879999</v>
      </c>
      <c r="H44" s="145">
        <f>(SUMIFS(Port!AL:AL,Port!E:E,"3. Corporate",Port!H:H,1)+SUMIFS(Port!AM:AM,Port!E:E,"3. Corporate",Port!H:H,1)) / (SUMIFS(Port!AF:AF,Port!E:E,"3. Corporate",Port!H:H,1)+SUMIFS(Port!AG:AG,Port!E:E,"3. Corporate",Port!H:H,1))</f>
        <v>1.7321529745904167E-2</v>
      </c>
      <c r="I44" s="146">
        <f>(SUMIFS(Port!AN:AN,Port!E:E,"3. Corporate",Port!H:H,1)+SUMIFS(Port!AO:AO,Port!E:E,"3. Corporate",Port!H:H,1)) / (SUMIFS(Port!AF:AF,Port!E:E,"3. Corporate",Port!H:H,1)+SUMIFS(Port!AG:AG,Port!E:E,"3. Corporate",Port!H:H,1))</f>
        <v>0.75453302773241637</v>
      </c>
      <c r="J44" s="147">
        <f>(SUMIFS(Port!AF:AF,Port!E:E,"3. Corporate",Port!H:H,1)+SUMIFS(Port!AG:AG,Port!E:E,"3. Corporate",Port!H:H,1))/1000000</f>
        <v>27374.729457066998</v>
      </c>
      <c r="K44" s="148">
        <f>(SUMIFS(Port!AJ:AJ,Port!E:E,"3. Corporate",Port!H:H,1)+SUMIFS(Port!AK:AK,Port!E:E,"3. Corporate",Port!H:H,1))/1000000</f>
        <v>367.21035532842762</v>
      </c>
      <c r="L44" s="149"/>
      <c r="M44" s="136"/>
      <c r="N44" s="533"/>
      <c r="O44" s="150"/>
      <c r="P44" s="146"/>
      <c r="Q44" s="151"/>
      <c r="R44" s="152"/>
      <c r="S44" s="150"/>
      <c r="T44" s="146"/>
      <c r="U44" s="151"/>
      <c r="V44" s="152"/>
      <c r="W44" s="150"/>
      <c r="X44" s="146"/>
      <c r="Y44" s="151"/>
      <c r="Z44" s="152"/>
      <c r="AA44" s="150"/>
      <c r="AB44" s="146"/>
      <c r="AC44" s="151"/>
      <c r="AD44" s="152"/>
      <c r="AE44" s="150"/>
      <c r="AF44" s="146"/>
      <c r="AG44" s="151"/>
      <c r="AH44" s="152"/>
      <c r="AI44" s="153"/>
    </row>
    <row r="45" spans="1:35" ht="13.5" customHeight="1">
      <c r="B45" s="44"/>
      <c r="C45" s="545"/>
      <c r="D45" s="45" t="s">
        <v>603</v>
      </c>
      <c r="E45" s="46"/>
      <c r="F45" s="155">
        <f>SUM(F46:F50)</f>
        <v>0</v>
      </c>
      <c r="G45" s="155">
        <f>SUM(G46:G50)</f>
        <v>0</v>
      </c>
      <c r="H45" s="156" t="e">
        <f>SUMPRODUCT(H46:H50,$J46:$J50)/SUM(J46:J50)</f>
        <v>#DIV/0!</v>
      </c>
      <c r="I45" s="157" t="e">
        <f>SUMPRODUCT(J46:J50,$I46:$I50)/SUM(J46:J50)</f>
        <v>#DIV/0!</v>
      </c>
      <c r="J45" s="158">
        <f>SUM(J46:J50)</f>
        <v>0</v>
      </c>
      <c r="K45" s="159">
        <f>SUM(K46:K50)</f>
        <v>0</v>
      </c>
      <c r="L45" s="122"/>
      <c r="M45" s="123"/>
      <c r="N45" s="533"/>
      <c r="O45" s="160" t="e">
        <f>SUMPRODUCT(O46:O50,Q46:Q50)/SUM(Q46:Q50)</f>
        <v>#DIV/0!</v>
      </c>
      <c r="P45" s="157" t="e">
        <f>SUMPRODUCT(Q46:Q50,$P46:$P50)/SUM(Q46:Q50)</f>
        <v>#DIV/0!</v>
      </c>
      <c r="Q45" s="161">
        <f>SUM(Q46:Q50)</f>
        <v>0</v>
      </c>
      <c r="R45" s="162">
        <f>SUM(R46:R50)</f>
        <v>0</v>
      </c>
      <c r="S45" s="160" t="e">
        <f>SUMPRODUCT(S46:S50,U46:U50)/SUM(U46:U50)</f>
        <v>#DIV/0!</v>
      </c>
      <c r="T45" s="157" t="e">
        <f>SUMPRODUCT(U46:U50,$T46:$T50)/SUM(U46:U50)</f>
        <v>#DIV/0!</v>
      </c>
      <c r="U45" s="161">
        <f>SUM(U46:U50)</f>
        <v>0</v>
      </c>
      <c r="V45" s="162">
        <f>SUM(V46:V50)</f>
        <v>0</v>
      </c>
      <c r="W45" s="160" t="e">
        <f>SUMPRODUCT(W46:W50,Y46:Y50)/SUM(Y46:Y50)</f>
        <v>#DIV/0!</v>
      </c>
      <c r="X45" s="157" t="e">
        <f>SUMPRODUCT(Y46:Y50,$X46:$X50)/SUM(Y46:Y50)</f>
        <v>#DIV/0!</v>
      </c>
      <c r="Y45" s="161">
        <f>SUM(Y46:Y50)</f>
        <v>0</v>
      </c>
      <c r="Z45" s="162">
        <f>SUM(Z46:Z50)</f>
        <v>0</v>
      </c>
      <c r="AA45" s="160" t="e">
        <f>SUMPRODUCT(AA46:AA50,AC46:AC50)/SUM(AC46:AC50)</f>
        <v>#DIV/0!</v>
      </c>
      <c r="AB45" s="157" t="e">
        <f>SUMPRODUCT(AC46:AC50,$AB46:$AB50)/SUM(AC46:AC50)</f>
        <v>#DIV/0!</v>
      </c>
      <c r="AC45" s="161">
        <f>SUM(AC46:AC50)</f>
        <v>0</v>
      </c>
      <c r="AD45" s="162">
        <f>SUM(AD46:AD50)</f>
        <v>0</v>
      </c>
      <c r="AE45" s="160" t="e">
        <f>SUMPRODUCT(AE46:AE50,AG46:AG50)/SUM(AG46:AG50)</f>
        <v>#DIV/0!</v>
      </c>
      <c r="AF45" s="157" t="e">
        <f>SUMPRODUCT(AG46:AG50,$AF46:$AF50)/SUM(AG46:AG50)</f>
        <v>#DIV/0!</v>
      </c>
      <c r="AG45" s="161">
        <f>SUM(AG46:AG50)</f>
        <v>0</v>
      </c>
      <c r="AH45" s="162">
        <f>SUM(AH46:AH50)</f>
        <v>0</v>
      </c>
      <c r="AI45" s="55"/>
    </row>
    <row r="46" spans="1:35" s="141" customFormat="1" ht="13.15" customHeight="1" outlineLevel="1">
      <c r="A46" s="127"/>
      <c r="B46" s="128"/>
      <c r="C46" s="545"/>
      <c r="D46" s="129" t="s">
        <v>604</v>
      </c>
      <c r="E46" s="130"/>
      <c r="F46" s="131">
        <f>SUMIFS(Port!AP:AP,Port!E:E,"3. Corporate",Port!H:H,2)/1000000</f>
        <v>0</v>
      </c>
      <c r="G46" s="131">
        <f>SUMIFS(Port!AE:AE,Port!F:F,"C",Port!H:H,2)/1000000+SUMIFS(Port!AE:AE,Port!F:F,"O",Port!H:H,2)/1000000</f>
        <v>0</v>
      </c>
      <c r="H46" s="132"/>
      <c r="I46" s="133"/>
      <c r="J46" s="134"/>
      <c r="K46" s="135"/>
      <c r="L46" s="136"/>
      <c r="M46" s="136"/>
      <c r="N46" s="533"/>
      <c r="O46" s="137"/>
      <c r="P46" s="133"/>
      <c r="Q46" s="138"/>
      <c r="R46" s="139"/>
      <c r="S46" s="137"/>
      <c r="T46" s="133"/>
      <c r="U46" s="138"/>
      <c r="V46" s="139"/>
      <c r="W46" s="137"/>
      <c r="X46" s="133"/>
      <c r="Y46" s="138"/>
      <c r="Z46" s="139"/>
      <c r="AA46" s="137"/>
      <c r="AB46" s="133"/>
      <c r="AC46" s="138"/>
      <c r="AD46" s="139"/>
      <c r="AE46" s="137"/>
      <c r="AF46" s="133"/>
      <c r="AG46" s="138"/>
      <c r="AH46" s="139"/>
      <c r="AI46" s="140"/>
    </row>
    <row r="47" spans="1:35" s="141" customFormat="1" ht="13.15" customHeight="1" outlineLevel="1">
      <c r="A47" s="127"/>
      <c r="B47" s="128"/>
      <c r="C47" s="545"/>
      <c r="D47" s="129" t="s">
        <v>599</v>
      </c>
      <c r="E47" s="130"/>
      <c r="F47" s="131"/>
      <c r="G47" s="131"/>
      <c r="H47" s="132"/>
      <c r="I47" s="133"/>
      <c r="J47" s="134"/>
      <c r="K47" s="135"/>
      <c r="L47" s="136"/>
      <c r="M47" s="136"/>
      <c r="N47" s="533"/>
      <c r="O47" s="137"/>
      <c r="P47" s="133"/>
      <c r="Q47" s="138"/>
      <c r="R47" s="139"/>
      <c r="S47" s="137"/>
      <c r="T47" s="133"/>
      <c r="U47" s="138"/>
      <c r="V47" s="139"/>
      <c r="W47" s="137"/>
      <c r="X47" s="133"/>
      <c r="Y47" s="138"/>
      <c r="Z47" s="139"/>
      <c r="AA47" s="137"/>
      <c r="AB47" s="133"/>
      <c r="AC47" s="138"/>
      <c r="AD47" s="139"/>
      <c r="AE47" s="137"/>
      <c r="AF47" s="133"/>
      <c r="AG47" s="138"/>
      <c r="AH47" s="139"/>
      <c r="AI47" s="140"/>
    </row>
    <row r="48" spans="1:35" s="154" customFormat="1" ht="13.15" customHeight="1" outlineLevel="1">
      <c r="A48" s="142"/>
      <c r="B48" s="143"/>
      <c r="C48" s="545"/>
      <c r="D48" s="129" t="s">
        <v>600</v>
      </c>
      <c r="E48" s="46"/>
      <c r="F48" s="144"/>
      <c r="G48" s="144"/>
      <c r="H48" s="145"/>
      <c r="I48" s="146"/>
      <c r="J48" s="147"/>
      <c r="K48" s="148"/>
      <c r="L48" s="149"/>
      <c r="M48" s="136"/>
      <c r="N48" s="533"/>
      <c r="O48" s="150"/>
      <c r="P48" s="146"/>
      <c r="Q48" s="151"/>
      <c r="R48" s="152"/>
      <c r="S48" s="150"/>
      <c r="T48" s="146"/>
      <c r="U48" s="151"/>
      <c r="V48" s="152"/>
      <c r="W48" s="150"/>
      <c r="X48" s="146"/>
      <c r="Y48" s="151"/>
      <c r="Z48" s="152"/>
      <c r="AA48" s="150"/>
      <c r="AB48" s="146"/>
      <c r="AC48" s="151"/>
      <c r="AD48" s="152"/>
      <c r="AE48" s="150"/>
      <c r="AF48" s="146"/>
      <c r="AG48" s="151"/>
      <c r="AH48" s="152"/>
      <c r="AI48" s="153"/>
    </row>
    <row r="49" spans="1:35" s="154" customFormat="1" ht="13.15" customHeight="1" outlineLevel="1">
      <c r="A49" s="142"/>
      <c r="B49" s="143"/>
      <c r="C49" s="545"/>
      <c r="D49" s="129" t="s">
        <v>601</v>
      </c>
      <c r="E49" s="46"/>
      <c r="F49" s="144"/>
      <c r="G49" s="144"/>
      <c r="H49" s="145"/>
      <c r="I49" s="146"/>
      <c r="J49" s="147"/>
      <c r="K49" s="148"/>
      <c r="L49" s="149"/>
      <c r="M49" s="136"/>
      <c r="N49" s="533"/>
      <c r="O49" s="150"/>
      <c r="P49" s="146"/>
      <c r="Q49" s="151"/>
      <c r="R49" s="152"/>
      <c r="S49" s="150"/>
      <c r="T49" s="146"/>
      <c r="U49" s="151"/>
      <c r="V49" s="152"/>
      <c r="W49" s="150"/>
      <c r="X49" s="146"/>
      <c r="Y49" s="151"/>
      <c r="Z49" s="152"/>
      <c r="AA49" s="150"/>
      <c r="AB49" s="146"/>
      <c r="AC49" s="151"/>
      <c r="AD49" s="152"/>
      <c r="AE49" s="150"/>
      <c r="AF49" s="146"/>
      <c r="AG49" s="151"/>
      <c r="AH49" s="152"/>
      <c r="AI49" s="153"/>
    </row>
    <row r="50" spans="1:35" s="154" customFormat="1" ht="13.15" customHeight="1" outlineLevel="1">
      <c r="A50" s="142"/>
      <c r="B50" s="143"/>
      <c r="C50" s="545"/>
      <c r="D50" s="129" t="s">
        <v>602</v>
      </c>
      <c r="E50" s="46"/>
      <c r="F50" s="144"/>
      <c r="G50" s="144"/>
      <c r="H50" s="145"/>
      <c r="I50" s="146"/>
      <c r="J50" s="147"/>
      <c r="K50" s="148"/>
      <c r="L50" s="149"/>
      <c r="M50" s="136"/>
      <c r="N50" s="533"/>
      <c r="O50" s="150"/>
      <c r="P50" s="146"/>
      <c r="Q50" s="151"/>
      <c r="R50" s="152"/>
      <c r="S50" s="150"/>
      <c r="T50" s="146"/>
      <c r="U50" s="151"/>
      <c r="V50" s="152"/>
      <c r="W50" s="150"/>
      <c r="X50" s="146"/>
      <c r="Y50" s="151"/>
      <c r="Z50" s="152"/>
      <c r="AA50" s="150"/>
      <c r="AB50" s="146"/>
      <c r="AC50" s="151"/>
      <c r="AD50" s="152"/>
      <c r="AE50" s="150"/>
      <c r="AF50" s="146"/>
      <c r="AG50" s="151"/>
      <c r="AH50" s="152"/>
      <c r="AI50" s="153"/>
    </row>
    <row r="51" spans="1:35" ht="13.5" customHeight="1">
      <c r="B51" s="44"/>
      <c r="C51" s="545"/>
      <c r="D51" s="45" t="s">
        <v>590</v>
      </c>
      <c r="E51" s="46"/>
      <c r="F51" s="163">
        <f>SUMIFS(Port!AP:AP,Port!E:E,"3. Corporate",Port!H:H,3)/1000000</f>
        <v>0</v>
      </c>
      <c r="G51" s="163">
        <f>SUMIFS(Port!AE:AE,Port!F:F,"C",Port!H:H,3)/1000000+SUMIFS(Port!AE:AE,Port!F:F,"O",Port!H:H,3)/1000000</f>
        <v>0</v>
      </c>
      <c r="H51" s="98">
        <v>1</v>
      </c>
      <c r="I51" s="48"/>
      <c r="J51" s="164"/>
      <c r="K51" s="165"/>
      <c r="L51" s="122"/>
      <c r="M51" s="136"/>
      <c r="N51" s="533"/>
      <c r="O51" s="53">
        <v>1</v>
      </c>
      <c r="P51" s="48"/>
      <c r="Q51" s="166"/>
      <c r="R51" s="167"/>
      <c r="S51" s="53">
        <v>1</v>
      </c>
      <c r="T51" s="48"/>
      <c r="U51" s="166"/>
      <c r="V51" s="167"/>
      <c r="W51" s="53">
        <v>1</v>
      </c>
      <c r="X51" s="48"/>
      <c r="Y51" s="166"/>
      <c r="Z51" s="167"/>
      <c r="AA51" s="53">
        <v>1</v>
      </c>
      <c r="AB51" s="48"/>
      <c r="AC51" s="166"/>
      <c r="AD51" s="167"/>
      <c r="AE51" s="53">
        <v>1</v>
      </c>
      <c r="AF51" s="48"/>
      <c r="AG51" s="166"/>
      <c r="AH51" s="167"/>
      <c r="AI51" s="57"/>
    </row>
    <row r="52" spans="1:35" ht="13.5" customHeight="1" thickBot="1">
      <c r="B52" s="44"/>
      <c r="C52" s="545"/>
      <c r="D52" s="58" t="s">
        <v>591</v>
      </c>
      <c r="E52" s="59"/>
      <c r="F52" s="168"/>
      <c r="G52" s="168"/>
      <c r="H52" s="62">
        <v>1</v>
      </c>
      <c r="I52" s="62"/>
      <c r="J52" s="169"/>
      <c r="K52" s="170"/>
      <c r="L52" s="122"/>
      <c r="M52" s="171"/>
      <c r="N52" s="533"/>
      <c r="O52" s="65">
        <v>1</v>
      </c>
      <c r="P52" s="62"/>
      <c r="Q52" s="172"/>
      <c r="R52" s="173"/>
      <c r="S52" s="65">
        <v>1</v>
      </c>
      <c r="T52" s="62"/>
      <c r="U52" s="172"/>
      <c r="V52" s="173"/>
      <c r="W52" s="65">
        <v>1</v>
      </c>
      <c r="X52" s="62"/>
      <c r="Y52" s="172"/>
      <c r="Z52" s="173"/>
      <c r="AA52" s="65">
        <v>1</v>
      </c>
      <c r="AB52" s="62"/>
      <c r="AC52" s="172"/>
      <c r="AD52" s="173"/>
      <c r="AE52" s="65">
        <v>1</v>
      </c>
      <c r="AF52" s="62"/>
      <c r="AG52" s="172"/>
      <c r="AH52" s="173"/>
      <c r="AI52" s="67"/>
    </row>
    <row r="53" spans="1:35" ht="13.5" customHeight="1">
      <c r="B53" s="44"/>
      <c r="C53" s="545"/>
      <c r="D53" s="68" t="s">
        <v>592</v>
      </c>
      <c r="E53" s="112"/>
      <c r="F53" s="174">
        <f>SUM(F40,F45,F51,F52)</f>
        <v>24563.476061179015</v>
      </c>
      <c r="G53" s="174">
        <f>SUM(G40,G45,G51,G52)</f>
        <v>2811.2533958879999</v>
      </c>
      <c r="H53" s="175" t="e">
        <f>SUM(H40*$J40,H45*$J45,H51*$J51,H52*$J52)/SUM($J40,$J45,$J51,$J52)</f>
        <v>#DIV/0!</v>
      </c>
      <c r="I53" s="176" t="e">
        <f>SUM(I40*$J40,I45*$J45,I51*$J51,I52*$J52)/SUM($J40,$J45,$J51,$J52)</f>
        <v>#DIV/0!</v>
      </c>
      <c r="J53" s="177">
        <f>SUM(J40,J45,J51,J52)</f>
        <v>27374.729457066998</v>
      </c>
      <c r="K53" s="178">
        <f>SUM(K40,K45,K51,K52)</f>
        <v>367.21035532842762</v>
      </c>
      <c r="L53" s="75">
        <f>L267</f>
        <v>271.91557716916714</v>
      </c>
      <c r="M53" s="179"/>
      <c r="N53" s="534"/>
      <c r="O53" s="180" t="e">
        <f>SUM(O40*Q40,O45*Q45,O51*Q51,O52*Q52)/SUM(Q40,Q45,Q51,Q52)</f>
        <v>#DIV/0!</v>
      </c>
      <c r="P53" s="180" t="e">
        <f>SUM(P40*Q40,P45*Q45,P51*Q51,P52*Q52)/SUM(Q40,Q45,Q51,Q52)</f>
        <v>#DIV/0!</v>
      </c>
      <c r="Q53" s="181">
        <f>SUM(Q40,Q45,Q51,Q52)</f>
        <v>0</v>
      </c>
      <c r="R53" s="182">
        <f>SUM(R40,R45,R51,R52)</f>
        <v>0</v>
      </c>
      <c r="S53" s="180" t="e">
        <f>SUM(S40*U40,S45*U45,S51*U51,S52*U52)/SUM(U40,U45,U51,U52)</f>
        <v>#DIV/0!</v>
      </c>
      <c r="T53" s="180" t="e">
        <f>SUM(T40*U40,T45*U45,T51*U51,T52*U52)/SUM(U40,U45,U51,U52)</f>
        <v>#DIV/0!</v>
      </c>
      <c r="U53" s="181">
        <f>SUM(U40,U45,U51,U52)</f>
        <v>0</v>
      </c>
      <c r="V53" s="182">
        <f>SUM(V40,V45,V51,V52)</f>
        <v>0</v>
      </c>
      <c r="W53" s="180" t="e">
        <f>SUM(W40*Y40,W45*Y45,W51*Y51,W52*Y52)/SUM(Y40,Y45,Y51,Y52)</f>
        <v>#DIV/0!</v>
      </c>
      <c r="X53" s="180" t="e">
        <f>SUM(X40*Y40,X45*Y45,X51*Y51,X52*Y52)/SUM(Y40,Y45,Y51,Y52)</f>
        <v>#DIV/0!</v>
      </c>
      <c r="Y53" s="181">
        <f>SUM(Y40,Y45,Y51,Y52)</f>
        <v>0</v>
      </c>
      <c r="Z53" s="182">
        <f>SUM(Z40,Z45,Z51,Z52)</f>
        <v>0</v>
      </c>
      <c r="AA53" s="180" t="e">
        <f>SUM(AA40*AC40,AA45*AC45,AA51*AC51,AA52*AC52)/SUM(AC40,AC45,AC51,AC52)</f>
        <v>#DIV/0!</v>
      </c>
      <c r="AB53" s="180" t="e">
        <f>SUM(AB40*AC40,AB45*AC45,AB51*AC51,AB52*AC52)/SUM(AC40,AC45,AC51,AC52)</f>
        <v>#DIV/0!</v>
      </c>
      <c r="AC53" s="181">
        <f>SUM(AC40,AC45,AC51,AC52)</f>
        <v>0</v>
      </c>
      <c r="AD53" s="182">
        <f>SUM(AD40,AD45,AD51,AD52)</f>
        <v>0</v>
      </c>
      <c r="AE53" s="180" t="e">
        <f>SUM(AE40*AG40,AE45*AG45,AE51*AG51,AE52*AG52)/SUM(AG40,AG45,AG51,AG52)</f>
        <v>#DIV/0!</v>
      </c>
      <c r="AF53" s="180" t="e">
        <f>SUM(AF40*AG40,AF45*AG45,AF51*AG51,AF52*AG52)/SUM(AG40,AG45,AG51,AG52)</f>
        <v>#DIV/0!</v>
      </c>
      <c r="AG53" s="181">
        <f>SUM(AG40,AG45,AG51,AG52)</f>
        <v>0</v>
      </c>
      <c r="AH53" s="182">
        <f>SUM(AH40,AH45,AH51,AH52)</f>
        <v>0</v>
      </c>
      <c r="AI53" s="78"/>
    </row>
    <row r="54" spans="1:35" ht="13.5" customHeight="1">
      <c r="B54" s="44"/>
      <c r="C54" s="545"/>
      <c r="D54" s="79" t="s">
        <v>593</v>
      </c>
      <c r="E54" s="46"/>
      <c r="F54" s="183"/>
      <c r="G54" s="183"/>
      <c r="H54" s="81"/>
      <c r="I54" s="82"/>
      <c r="J54" s="83"/>
      <c r="K54" s="84"/>
      <c r="L54" s="51"/>
      <c r="M54" s="51"/>
      <c r="N54" s="85"/>
      <c r="O54" s="86"/>
      <c r="P54" s="82"/>
      <c r="Q54" s="83"/>
      <c r="R54" s="184"/>
      <c r="S54" s="86"/>
      <c r="T54" s="82"/>
      <c r="U54" s="83"/>
      <c r="V54" s="184"/>
      <c r="W54" s="86"/>
      <c r="X54" s="82"/>
      <c r="Y54" s="83"/>
      <c r="Z54" s="184"/>
      <c r="AA54" s="86"/>
      <c r="AB54" s="82"/>
      <c r="AC54" s="83"/>
      <c r="AD54" s="184"/>
      <c r="AE54" s="86"/>
      <c r="AF54" s="82"/>
      <c r="AG54" s="83"/>
      <c r="AH54" s="184"/>
      <c r="AI54" s="57"/>
    </row>
    <row r="55" spans="1:35" ht="13.5" customHeight="1" thickBot="1">
      <c r="B55" s="88"/>
      <c r="C55" s="546"/>
      <c r="D55" s="89" t="s">
        <v>594</v>
      </c>
      <c r="E55" s="113"/>
      <c r="F55" s="168"/>
      <c r="G55" s="168"/>
      <c r="H55" s="91"/>
      <c r="I55" s="92"/>
      <c r="J55" s="93"/>
      <c r="K55" s="94"/>
      <c r="L55" s="51"/>
      <c r="M55" s="51"/>
      <c r="N55" s="85"/>
      <c r="O55" s="95"/>
      <c r="P55" s="92"/>
      <c r="Q55" s="93"/>
      <c r="R55" s="185"/>
      <c r="S55" s="95"/>
      <c r="T55" s="92"/>
      <c r="U55" s="93"/>
      <c r="V55" s="185"/>
      <c r="W55" s="95"/>
      <c r="X55" s="92"/>
      <c r="Y55" s="93"/>
      <c r="Z55" s="185"/>
      <c r="AA55" s="95"/>
      <c r="AB55" s="92"/>
      <c r="AC55" s="93"/>
      <c r="AD55" s="185"/>
      <c r="AE55" s="95"/>
      <c r="AF55" s="92"/>
      <c r="AG55" s="93"/>
      <c r="AH55" s="185"/>
      <c r="AI55" s="57"/>
    </row>
    <row r="56" spans="1:35" ht="13.5" customHeight="1">
      <c r="B56" s="31" t="s">
        <v>605</v>
      </c>
      <c r="C56" s="530"/>
      <c r="D56" s="32" t="s">
        <v>598</v>
      </c>
      <c r="E56" s="33"/>
      <c r="F56" s="117">
        <f>SUM(F57:F60)</f>
        <v>0</v>
      </c>
      <c r="G56" s="117">
        <f>SUM(G57:G60)</f>
        <v>0</v>
      </c>
      <c r="H56" s="186" t="e">
        <f>SUMPRODUCT(H57:H60,$J57:$J60)/SUM(J57:J60)</f>
        <v>#DIV/0!</v>
      </c>
      <c r="I56" s="119" t="e">
        <f>SUMPRODUCT(J57:J60,$I57:$I60)/SUM(J57:J60)</f>
        <v>#DIV/0!</v>
      </c>
      <c r="J56" s="120">
        <f>SUM(J57:J60)</f>
        <v>0</v>
      </c>
      <c r="K56" s="121">
        <f>SUM(K57:K60)</f>
        <v>0</v>
      </c>
      <c r="L56" s="122"/>
      <c r="M56" s="123"/>
      <c r="N56" s="532"/>
      <c r="O56" s="124" t="e">
        <f>SUMPRODUCT(O57:O60,Q57:Q60)/SUM(Q57:Q60)</f>
        <v>#DIV/0!</v>
      </c>
      <c r="P56" s="119" t="e">
        <f>SUMPRODUCT(Q57:Q60,$P57:$P60)/SUM(Q57:Q60)</f>
        <v>#DIV/0!</v>
      </c>
      <c r="Q56" s="125">
        <f>SUM(Q57:Q60)</f>
        <v>0</v>
      </c>
      <c r="R56" s="126">
        <f>SUM(R57:R60)</f>
        <v>0</v>
      </c>
      <c r="S56" s="124" t="e">
        <f>SUMPRODUCT(S57:S60,U57:U60)/SUM(U57:U60)</f>
        <v>#DIV/0!</v>
      </c>
      <c r="T56" s="119" t="e">
        <f>SUMPRODUCT(U57:U60,$T57:$T60)/SUM(U57:U60)</f>
        <v>#DIV/0!</v>
      </c>
      <c r="U56" s="125">
        <f>SUM(U57:U60)</f>
        <v>0</v>
      </c>
      <c r="V56" s="126">
        <f>SUM(V57:V60)</f>
        <v>0</v>
      </c>
      <c r="W56" s="124" t="e">
        <f>SUMPRODUCT(W57:W60,Y57:Y60)/SUM(Y57:Y60)</f>
        <v>#DIV/0!</v>
      </c>
      <c r="X56" s="119" t="e">
        <f>SUMPRODUCT(Y57:Y60,$X57:$X60)/SUM(Y57:Y60)</f>
        <v>#DIV/0!</v>
      </c>
      <c r="Y56" s="125">
        <f>SUM(Y57:Y60)</f>
        <v>0</v>
      </c>
      <c r="Z56" s="126">
        <f>SUM(Z57:Z60)</f>
        <v>0</v>
      </c>
      <c r="AA56" s="124" t="e">
        <f>SUMPRODUCT(AA57:AA60,AC57:AC60)/SUM(AC57:AC60)</f>
        <v>#DIV/0!</v>
      </c>
      <c r="AB56" s="119" t="e">
        <f>SUMPRODUCT(AC57:AC60,$AB57:$AB60)/SUM(AC57:AC60)</f>
        <v>#DIV/0!</v>
      </c>
      <c r="AC56" s="125">
        <f>SUM(AC57:AC60)</f>
        <v>0</v>
      </c>
      <c r="AD56" s="126">
        <f>SUM(AD57:AD60)</f>
        <v>0</v>
      </c>
      <c r="AE56" s="124" t="e">
        <f>SUMPRODUCT(AE57:AE60,AG57:AG60)/SUM(AG57:AG60)</f>
        <v>#DIV/0!</v>
      </c>
      <c r="AF56" s="119" t="e">
        <f>SUMPRODUCT(AG57:AG60,$AF57:$AF60)/SUM(AG57:AG60)</f>
        <v>#DIV/0!</v>
      </c>
      <c r="AG56" s="125">
        <f>SUM(AG57:AG60)</f>
        <v>0</v>
      </c>
      <c r="AH56" s="126">
        <f>SUM(AH57:AH60)</f>
        <v>0</v>
      </c>
      <c r="AI56" s="43"/>
    </row>
    <row r="57" spans="1:35" s="154" customFormat="1" ht="13.15" customHeight="1" outlineLevel="1">
      <c r="A57" s="142"/>
      <c r="B57" s="143"/>
      <c r="C57" s="531"/>
      <c r="D57" s="129" t="s">
        <v>599</v>
      </c>
      <c r="E57" s="46"/>
      <c r="F57" s="144"/>
      <c r="G57" s="144"/>
      <c r="H57" s="145"/>
      <c r="I57" s="146"/>
      <c r="J57" s="147"/>
      <c r="K57" s="148"/>
      <c r="L57" s="149"/>
      <c r="M57" s="136"/>
      <c r="N57" s="533"/>
      <c r="O57" s="137"/>
      <c r="P57" s="133"/>
      <c r="Q57" s="138"/>
      <c r="R57" s="139"/>
      <c r="S57" s="137"/>
      <c r="T57" s="133"/>
      <c r="U57" s="138"/>
      <c r="V57" s="139"/>
      <c r="W57" s="137"/>
      <c r="X57" s="133"/>
      <c r="Y57" s="138"/>
      <c r="Z57" s="139"/>
      <c r="AA57" s="137"/>
      <c r="AB57" s="133"/>
      <c r="AC57" s="138"/>
      <c r="AD57" s="139"/>
      <c r="AE57" s="137"/>
      <c r="AF57" s="133"/>
      <c r="AG57" s="138"/>
      <c r="AH57" s="139"/>
      <c r="AI57" s="153"/>
    </row>
    <row r="58" spans="1:35" s="154" customFormat="1" ht="13.15" customHeight="1" outlineLevel="1">
      <c r="A58" s="142"/>
      <c r="B58" s="143"/>
      <c r="C58" s="531"/>
      <c r="D58" s="129" t="s">
        <v>600</v>
      </c>
      <c r="E58" s="46"/>
      <c r="F58" s="144"/>
      <c r="G58" s="144"/>
      <c r="H58" s="145"/>
      <c r="I58" s="146"/>
      <c r="J58" s="147"/>
      <c r="K58" s="148"/>
      <c r="L58" s="149"/>
      <c r="M58" s="136"/>
      <c r="N58" s="533"/>
      <c r="O58" s="137"/>
      <c r="P58" s="133"/>
      <c r="Q58" s="138"/>
      <c r="R58" s="139"/>
      <c r="S58" s="137"/>
      <c r="T58" s="133"/>
      <c r="U58" s="138"/>
      <c r="V58" s="139"/>
      <c r="W58" s="137"/>
      <c r="X58" s="133"/>
      <c r="Y58" s="138"/>
      <c r="Z58" s="139"/>
      <c r="AA58" s="137"/>
      <c r="AB58" s="133"/>
      <c r="AC58" s="138"/>
      <c r="AD58" s="139"/>
      <c r="AE58" s="137"/>
      <c r="AF58" s="133"/>
      <c r="AG58" s="138"/>
      <c r="AH58" s="139"/>
      <c r="AI58" s="153"/>
    </row>
    <row r="59" spans="1:35" s="154" customFormat="1" ht="13.15" customHeight="1" outlineLevel="1">
      <c r="A59" s="142"/>
      <c r="B59" s="143"/>
      <c r="C59" s="531"/>
      <c r="D59" s="129" t="s">
        <v>601</v>
      </c>
      <c r="E59" s="46"/>
      <c r="F59" s="144"/>
      <c r="G59" s="144"/>
      <c r="H59" s="145"/>
      <c r="I59" s="146"/>
      <c r="J59" s="147"/>
      <c r="K59" s="148"/>
      <c r="L59" s="149"/>
      <c r="M59" s="136"/>
      <c r="N59" s="533"/>
      <c r="O59" s="150"/>
      <c r="P59" s="146"/>
      <c r="Q59" s="151"/>
      <c r="R59" s="152"/>
      <c r="S59" s="150"/>
      <c r="T59" s="146"/>
      <c r="U59" s="151"/>
      <c r="V59" s="152"/>
      <c r="W59" s="150"/>
      <c r="X59" s="146"/>
      <c r="Y59" s="151"/>
      <c r="Z59" s="152"/>
      <c r="AA59" s="150"/>
      <c r="AB59" s="146"/>
      <c r="AC59" s="151"/>
      <c r="AD59" s="152"/>
      <c r="AE59" s="150"/>
      <c r="AF59" s="146"/>
      <c r="AG59" s="151"/>
      <c r="AH59" s="152"/>
      <c r="AI59" s="153"/>
    </row>
    <row r="60" spans="1:35" s="154" customFormat="1" ht="13.15" customHeight="1" outlineLevel="1">
      <c r="A60" s="142"/>
      <c r="B60" s="143"/>
      <c r="C60" s="531"/>
      <c r="D60" s="129" t="s">
        <v>602</v>
      </c>
      <c r="E60" s="46"/>
      <c r="F60" s="144"/>
      <c r="G60" s="144"/>
      <c r="H60" s="145"/>
      <c r="I60" s="146"/>
      <c r="J60" s="147"/>
      <c r="K60" s="148"/>
      <c r="L60" s="149"/>
      <c r="M60" s="136"/>
      <c r="N60" s="533"/>
      <c r="O60" s="150"/>
      <c r="P60" s="146"/>
      <c r="Q60" s="151"/>
      <c r="R60" s="152"/>
      <c r="S60" s="150"/>
      <c r="T60" s="146"/>
      <c r="U60" s="151"/>
      <c r="V60" s="152"/>
      <c r="W60" s="150"/>
      <c r="X60" s="146"/>
      <c r="Y60" s="151"/>
      <c r="Z60" s="152"/>
      <c r="AA60" s="150"/>
      <c r="AB60" s="146"/>
      <c r="AC60" s="151"/>
      <c r="AD60" s="152"/>
      <c r="AE60" s="150"/>
      <c r="AF60" s="146"/>
      <c r="AG60" s="151"/>
      <c r="AH60" s="152"/>
      <c r="AI60" s="153"/>
    </row>
    <row r="61" spans="1:35" ht="13.5" customHeight="1">
      <c r="B61" s="44"/>
      <c r="C61" s="531"/>
      <c r="D61" s="45" t="s">
        <v>603</v>
      </c>
      <c r="E61" s="46"/>
      <c r="F61" s="155">
        <f>SUM(F62:F66)</f>
        <v>0</v>
      </c>
      <c r="G61" s="155">
        <f>SUM(G62:G66)</f>
        <v>0</v>
      </c>
      <c r="H61" s="156" t="e">
        <f>SUMPRODUCT(H62:H66,$J62:$J66)/SUM(J62:J66)</f>
        <v>#DIV/0!</v>
      </c>
      <c r="I61" s="157" t="e">
        <f>SUMPRODUCT(J62:J66,$I62:$I66)/SUM(J62:J66)</f>
        <v>#DIV/0!</v>
      </c>
      <c r="J61" s="158">
        <f>SUM(J62:J66)</f>
        <v>0</v>
      </c>
      <c r="K61" s="159">
        <f>SUM(K62:K66)</f>
        <v>0</v>
      </c>
      <c r="L61" s="122"/>
      <c r="M61" s="123"/>
      <c r="N61" s="533"/>
      <c r="O61" s="160" t="e">
        <f>SUMPRODUCT(O62:O66,Q62:Q66)/SUM(Q62:Q66)</f>
        <v>#DIV/0!</v>
      </c>
      <c r="P61" s="157" t="e">
        <f>SUMPRODUCT(Q62:Q66,$P62:$P66)/SUM(Q62:Q66)</f>
        <v>#DIV/0!</v>
      </c>
      <c r="Q61" s="161">
        <f>SUM(Q62:Q66)</f>
        <v>0</v>
      </c>
      <c r="R61" s="162">
        <f>SUM(R62:R66)</f>
        <v>0</v>
      </c>
      <c r="S61" s="160" t="e">
        <f>SUMPRODUCT(S62:S66,U62:U66)/SUM(U62:U66)</f>
        <v>#DIV/0!</v>
      </c>
      <c r="T61" s="157" t="e">
        <f>SUMPRODUCT(U62:U66,$T62:$T66)/SUM(U62:U66)</f>
        <v>#DIV/0!</v>
      </c>
      <c r="U61" s="161">
        <f>SUM(U62:U66)</f>
        <v>0</v>
      </c>
      <c r="V61" s="162">
        <f>SUM(V62:V66)</f>
        <v>0</v>
      </c>
      <c r="W61" s="160" t="e">
        <f>SUMPRODUCT(W62:W66,Y62:Y66)/SUM(Y62:Y66)</f>
        <v>#DIV/0!</v>
      </c>
      <c r="X61" s="157" t="e">
        <f>SUMPRODUCT(Y62:Y66,$X62:$X66)/SUM(Y62:Y66)</f>
        <v>#DIV/0!</v>
      </c>
      <c r="Y61" s="161">
        <f>SUM(Y62:Y66)</f>
        <v>0</v>
      </c>
      <c r="Z61" s="162">
        <f>SUM(Z62:Z66)</f>
        <v>0</v>
      </c>
      <c r="AA61" s="160" t="e">
        <f>SUMPRODUCT(AA62:AA66,AC62:AC66)/SUM(AC62:AC66)</f>
        <v>#DIV/0!</v>
      </c>
      <c r="AB61" s="157" t="e">
        <f>SUMPRODUCT(AC62:AC66,$AB62:$AB66)/SUM(AC62:AC66)</f>
        <v>#DIV/0!</v>
      </c>
      <c r="AC61" s="161">
        <f>SUM(AC62:AC66)</f>
        <v>0</v>
      </c>
      <c r="AD61" s="162">
        <f>SUM(AD62:AD66)</f>
        <v>0</v>
      </c>
      <c r="AE61" s="160" t="e">
        <f>SUMPRODUCT(AE62:AE66,AG62:AG66)/SUM(AG62:AG66)</f>
        <v>#DIV/0!</v>
      </c>
      <c r="AF61" s="157" t="e">
        <f>SUMPRODUCT(AG62:AG66,$AF62:$AF66)/SUM(AG62:AG66)</f>
        <v>#DIV/0!</v>
      </c>
      <c r="AG61" s="161">
        <f>SUM(AG62:AG66)</f>
        <v>0</v>
      </c>
      <c r="AH61" s="162">
        <f>SUM(AH62:AH66)</f>
        <v>0</v>
      </c>
      <c r="AI61" s="55"/>
    </row>
    <row r="62" spans="1:35" s="154" customFormat="1" ht="13.15" customHeight="1" outlineLevel="1">
      <c r="A62" s="142"/>
      <c r="B62" s="143"/>
      <c r="C62" s="531"/>
      <c r="D62" s="129" t="s">
        <v>604</v>
      </c>
      <c r="E62" s="46"/>
      <c r="F62" s="144"/>
      <c r="G62" s="144"/>
      <c r="H62" s="145"/>
      <c r="I62" s="146"/>
      <c r="J62" s="147"/>
      <c r="K62" s="148"/>
      <c r="L62" s="149"/>
      <c r="M62" s="136"/>
      <c r="N62" s="533"/>
      <c r="O62" s="137"/>
      <c r="P62" s="133"/>
      <c r="Q62" s="138"/>
      <c r="R62" s="139"/>
      <c r="S62" s="137"/>
      <c r="T62" s="133"/>
      <c r="U62" s="138"/>
      <c r="V62" s="139"/>
      <c r="W62" s="137"/>
      <c r="X62" s="133"/>
      <c r="Y62" s="138"/>
      <c r="Z62" s="139"/>
      <c r="AA62" s="137"/>
      <c r="AB62" s="133"/>
      <c r="AC62" s="138"/>
      <c r="AD62" s="139"/>
      <c r="AE62" s="137"/>
      <c r="AF62" s="133"/>
      <c r="AG62" s="138"/>
      <c r="AH62" s="139"/>
      <c r="AI62" s="153"/>
    </row>
    <row r="63" spans="1:35" s="154" customFormat="1" ht="13.15" customHeight="1" outlineLevel="1">
      <c r="A63" s="142"/>
      <c r="B63" s="143"/>
      <c r="C63" s="531"/>
      <c r="D63" s="129" t="s">
        <v>599</v>
      </c>
      <c r="E63" s="46"/>
      <c r="F63" s="144"/>
      <c r="G63" s="144"/>
      <c r="H63" s="145"/>
      <c r="I63" s="146"/>
      <c r="J63" s="147"/>
      <c r="K63" s="148"/>
      <c r="L63" s="149"/>
      <c r="M63" s="136"/>
      <c r="N63" s="533"/>
      <c r="O63" s="137"/>
      <c r="P63" s="133"/>
      <c r="Q63" s="138"/>
      <c r="R63" s="139"/>
      <c r="S63" s="137"/>
      <c r="T63" s="133"/>
      <c r="U63" s="138"/>
      <c r="V63" s="139"/>
      <c r="W63" s="137"/>
      <c r="X63" s="133"/>
      <c r="Y63" s="138"/>
      <c r="Z63" s="139"/>
      <c r="AA63" s="137"/>
      <c r="AB63" s="133"/>
      <c r="AC63" s="138"/>
      <c r="AD63" s="139"/>
      <c r="AE63" s="137"/>
      <c r="AF63" s="133"/>
      <c r="AG63" s="138"/>
      <c r="AH63" s="139"/>
      <c r="AI63" s="153"/>
    </row>
    <row r="64" spans="1:35" s="154" customFormat="1" ht="13.15" customHeight="1" outlineLevel="1">
      <c r="A64" s="142"/>
      <c r="B64" s="143"/>
      <c r="C64" s="531"/>
      <c r="D64" s="129" t="s">
        <v>600</v>
      </c>
      <c r="E64" s="46"/>
      <c r="F64" s="144"/>
      <c r="G64" s="144"/>
      <c r="H64" s="145"/>
      <c r="I64" s="146"/>
      <c r="J64" s="147"/>
      <c r="K64" s="148"/>
      <c r="L64" s="149"/>
      <c r="M64" s="136"/>
      <c r="N64" s="533"/>
      <c r="O64" s="150"/>
      <c r="P64" s="146"/>
      <c r="Q64" s="151"/>
      <c r="R64" s="152"/>
      <c r="S64" s="150"/>
      <c r="T64" s="146"/>
      <c r="U64" s="151"/>
      <c r="V64" s="152"/>
      <c r="W64" s="150"/>
      <c r="X64" s="146"/>
      <c r="Y64" s="151"/>
      <c r="Z64" s="152"/>
      <c r="AA64" s="150"/>
      <c r="AB64" s="146"/>
      <c r="AC64" s="151"/>
      <c r="AD64" s="152"/>
      <c r="AE64" s="150"/>
      <c r="AF64" s="146"/>
      <c r="AG64" s="151"/>
      <c r="AH64" s="152"/>
      <c r="AI64" s="153"/>
    </row>
    <row r="65" spans="1:35" s="154" customFormat="1" ht="13.15" customHeight="1" outlineLevel="1">
      <c r="A65" s="142"/>
      <c r="B65" s="143"/>
      <c r="C65" s="531"/>
      <c r="D65" s="129" t="s">
        <v>601</v>
      </c>
      <c r="E65" s="46"/>
      <c r="F65" s="144"/>
      <c r="G65" s="144"/>
      <c r="H65" s="145"/>
      <c r="I65" s="146"/>
      <c r="J65" s="147"/>
      <c r="K65" s="148"/>
      <c r="L65" s="149"/>
      <c r="M65" s="136"/>
      <c r="N65" s="533"/>
      <c r="O65" s="150"/>
      <c r="P65" s="146"/>
      <c r="Q65" s="151"/>
      <c r="R65" s="152"/>
      <c r="S65" s="150"/>
      <c r="T65" s="146"/>
      <c r="U65" s="151"/>
      <c r="V65" s="152"/>
      <c r="W65" s="150"/>
      <c r="X65" s="146"/>
      <c r="Y65" s="151"/>
      <c r="Z65" s="152"/>
      <c r="AA65" s="150"/>
      <c r="AB65" s="146"/>
      <c r="AC65" s="151"/>
      <c r="AD65" s="152"/>
      <c r="AE65" s="150"/>
      <c r="AF65" s="146"/>
      <c r="AG65" s="151"/>
      <c r="AH65" s="152"/>
      <c r="AI65" s="153"/>
    </row>
    <row r="66" spans="1:35" s="154" customFormat="1" ht="13.15" customHeight="1" outlineLevel="1">
      <c r="A66" s="142"/>
      <c r="B66" s="143"/>
      <c r="C66" s="531"/>
      <c r="D66" s="129" t="s">
        <v>602</v>
      </c>
      <c r="E66" s="46"/>
      <c r="F66" s="144"/>
      <c r="G66" s="144"/>
      <c r="H66" s="145"/>
      <c r="I66" s="146"/>
      <c r="J66" s="147"/>
      <c r="K66" s="148"/>
      <c r="L66" s="149"/>
      <c r="M66" s="136"/>
      <c r="N66" s="533"/>
      <c r="O66" s="150"/>
      <c r="P66" s="146"/>
      <c r="Q66" s="151"/>
      <c r="R66" s="152"/>
      <c r="S66" s="150"/>
      <c r="T66" s="146"/>
      <c r="U66" s="151"/>
      <c r="V66" s="152"/>
      <c r="W66" s="150"/>
      <c r="X66" s="146"/>
      <c r="Y66" s="151"/>
      <c r="Z66" s="152"/>
      <c r="AA66" s="150"/>
      <c r="AB66" s="146"/>
      <c r="AC66" s="151"/>
      <c r="AD66" s="152"/>
      <c r="AE66" s="150"/>
      <c r="AF66" s="146"/>
      <c r="AG66" s="151"/>
      <c r="AH66" s="152"/>
      <c r="AI66" s="153"/>
    </row>
    <row r="67" spans="1:35" ht="13.5" customHeight="1">
      <c r="B67" s="44"/>
      <c r="C67" s="531"/>
      <c r="D67" s="45" t="s">
        <v>590</v>
      </c>
      <c r="E67" s="46"/>
      <c r="F67" s="163"/>
      <c r="G67" s="163"/>
      <c r="H67" s="98">
        <v>1</v>
      </c>
      <c r="I67" s="48"/>
      <c r="J67" s="164"/>
      <c r="K67" s="165"/>
      <c r="L67" s="122"/>
      <c r="M67" s="136"/>
      <c r="N67" s="533"/>
      <c r="O67" s="53">
        <v>1</v>
      </c>
      <c r="P67" s="48"/>
      <c r="Q67" s="166"/>
      <c r="R67" s="167"/>
      <c r="S67" s="53">
        <v>1</v>
      </c>
      <c r="T67" s="48"/>
      <c r="U67" s="166"/>
      <c r="V67" s="167"/>
      <c r="W67" s="53">
        <v>1</v>
      </c>
      <c r="X67" s="48"/>
      <c r="Y67" s="166"/>
      <c r="Z67" s="167"/>
      <c r="AA67" s="53">
        <v>1</v>
      </c>
      <c r="AB67" s="48"/>
      <c r="AC67" s="166"/>
      <c r="AD67" s="167"/>
      <c r="AE67" s="53">
        <v>1</v>
      </c>
      <c r="AF67" s="48"/>
      <c r="AG67" s="166"/>
      <c r="AH67" s="167"/>
      <c r="AI67" s="57"/>
    </row>
    <row r="68" spans="1:35" ht="13.5" customHeight="1" thickBot="1">
      <c r="B68" s="44"/>
      <c r="C68" s="531"/>
      <c r="D68" s="58" t="s">
        <v>591</v>
      </c>
      <c r="E68" s="59"/>
      <c r="F68" s="168"/>
      <c r="G68" s="168"/>
      <c r="H68" s="62">
        <v>1</v>
      </c>
      <c r="I68" s="62"/>
      <c r="J68" s="169"/>
      <c r="K68" s="170"/>
      <c r="L68" s="122"/>
      <c r="M68" s="171"/>
      <c r="N68" s="533"/>
      <c r="O68" s="65">
        <v>1</v>
      </c>
      <c r="P68" s="62"/>
      <c r="Q68" s="172"/>
      <c r="R68" s="173"/>
      <c r="S68" s="65">
        <v>1</v>
      </c>
      <c r="T68" s="62"/>
      <c r="U68" s="172"/>
      <c r="V68" s="173"/>
      <c r="W68" s="65">
        <v>1</v>
      </c>
      <c r="X68" s="62"/>
      <c r="Y68" s="172"/>
      <c r="Z68" s="173"/>
      <c r="AA68" s="65">
        <v>1</v>
      </c>
      <c r="AB68" s="62"/>
      <c r="AC68" s="172"/>
      <c r="AD68" s="173"/>
      <c r="AE68" s="65">
        <v>1</v>
      </c>
      <c r="AF68" s="62"/>
      <c r="AG68" s="172"/>
      <c r="AH68" s="173"/>
      <c r="AI68" s="67"/>
    </row>
    <row r="69" spans="1:35" ht="13.5" customHeight="1">
      <c r="B69" s="44"/>
      <c r="C69" s="531"/>
      <c r="D69" s="68" t="s">
        <v>592</v>
      </c>
      <c r="E69" s="112"/>
      <c r="F69" s="174">
        <f>SUM(F56,F61,F67,F68)</f>
        <v>0</v>
      </c>
      <c r="G69" s="174">
        <f>SUM(G56,G61,G67,G68)</f>
        <v>0</v>
      </c>
      <c r="H69" s="175" t="e">
        <f>SUM(H56*$J56,H61*$J61,H67*$J67,H68*$J68)/SUM($J56,$J61,$J67,$J68)</f>
        <v>#DIV/0!</v>
      </c>
      <c r="I69" s="176" t="e">
        <f>SUM(I56*$J56,I61*$J61,I67*$J67,I68*$J68)/SUM($J56,$J61,$J67,$J68)</f>
        <v>#DIV/0!</v>
      </c>
      <c r="J69" s="177">
        <f>SUM(J56,J61,J67,J68)</f>
        <v>0</v>
      </c>
      <c r="K69" s="178">
        <f>SUM(K56,K61,K67,K68)</f>
        <v>0</v>
      </c>
      <c r="L69" s="75"/>
      <c r="M69" s="179"/>
      <c r="N69" s="534"/>
      <c r="O69" s="180" t="e">
        <f>SUM(O56*Q56,O61*Q61,O67*Q67,O68*Q68)/SUM(Q56,Q61,Q67,Q68)</f>
        <v>#DIV/0!</v>
      </c>
      <c r="P69" s="180" t="e">
        <f>SUM(P56*Q56,P61*Q61,P67*Q67,P68*Q68)/SUM(Q56,Q61,Q67,Q68)</f>
        <v>#DIV/0!</v>
      </c>
      <c r="Q69" s="181">
        <f>SUM(Q56,Q61,Q67,Q68)</f>
        <v>0</v>
      </c>
      <c r="R69" s="182">
        <f>SUM(R56,R61,R67,R68)</f>
        <v>0</v>
      </c>
      <c r="S69" s="180" t="e">
        <f>SUM(S56*U56,S61*U61,S67*U67,S68*U68)/SUM(U56,U61,U67,U68)</f>
        <v>#DIV/0!</v>
      </c>
      <c r="T69" s="180" t="e">
        <f>SUM(T56*U56,T61*U61,T67*U67,T68*U68)/SUM(U56,U61,U67,U68)</f>
        <v>#DIV/0!</v>
      </c>
      <c r="U69" s="181">
        <f>SUM(U56,U61,U67,U68)</f>
        <v>0</v>
      </c>
      <c r="V69" s="182">
        <f>SUM(V56,V61,V67,V68)</f>
        <v>0</v>
      </c>
      <c r="W69" s="180" t="e">
        <f>SUM(W56*Y56,W61*Y61,W67*Y67,W68*Y68)/SUM(Y56,Y61,Y67,Y68)</f>
        <v>#DIV/0!</v>
      </c>
      <c r="X69" s="180" t="e">
        <f>SUM(X56*Y56,X61*Y61,X67*Y67,X68*Y68)/SUM(Y56,Y61,Y67,Y68)</f>
        <v>#DIV/0!</v>
      </c>
      <c r="Y69" s="181">
        <f>SUM(Y56,Y61,Y67,Y68)</f>
        <v>0</v>
      </c>
      <c r="Z69" s="182">
        <f>SUM(Z56,Z61,Z67,Z68)</f>
        <v>0</v>
      </c>
      <c r="AA69" s="180" t="e">
        <f>SUM(AA56*AC56,AA61*AC61,AA67*AC67,AA68*AC68)/SUM(AC56,AC61,AC67,AC68)</f>
        <v>#DIV/0!</v>
      </c>
      <c r="AB69" s="180" t="e">
        <f>SUM(AB56*AC56,AB61*AC61,AB67*AC67,AB68*AC68)/SUM(AC56,AC61,AC67,AC68)</f>
        <v>#DIV/0!</v>
      </c>
      <c r="AC69" s="181">
        <f>SUM(AC56,AC61,AC67,AC68)</f>
        <v>0</v>
      </c>
      <c r="AD69" s="182">
        <f>SUM(AD56,AD61,AD67,AD68)</f>
        <v>0</v>
      </c>
      <c r="AE69" s="180" t="e">
        <f>SUM(AE56*AG56,AE61*AG61,AE67*AG67,AE68*AG68)/SUM(AG56,AG61,AG67,AG68)</f>
        <v>#DIV/0!</v>
      </c>
      <c r="AF69" s="180" t="e">
        <f>SUM(AF56*AG56,AF61*AG61,AF67*AG67,AF68*AG68)/SUM(AG56,AG61,AG67,AG68)</f>
        <v>#DIV/0!</v>
      </c>
      <c r="AG69" s="181">
        <f>SUM(AG56,AG61,AG67,AG68)</f>
        <v>0</v>
      </c>
      <c r="AH69" s="182">
        <f>SUM(AH56,AH61,AH67,AH68)</f>
        <v>0</v>
      </c>
      <c r="AI69" s="78"/>
    </row>
    <row r="70" spans="1:35" ht="13.5" customHeight="1">
      <c r="B70" s="44"/>
      <c r="C70" s="531"/>
      <c r="D70" s="79" t="s">
        <v>593</v>
      </c>
      <c r="E70" s="46"/>
      <c r="F70" s="183"/>
      <c r="G70" s="183"/>
      <c r="H70" s="81"/>
      <c r="I70" s="82"/>
      <c r="J70" s="83"/>
      <c r="K70" s="84"/>
      <c r="L70" s="51"/>
      <c r="M70" s="51"/>
      <c r="N70" s="85"/>
      <c r="O70" s="86"/>
      <c r="P70" s="82"/>
      <c r="Q70" s="83"/>
      <c r="R70" s="184"/>
      <c r="S70" s="86"/>
      <c r="T70" s="82"/>
      <c r="U70" s="83"/>
      <c r="V70" s="184"/>
      <c r="W70" s="86"/>
      <c r="X70" s="82"/>
      <c r="Y70" s="83"/>
      <c r="Z70" s="184"/>
      <c r="AA70" s="86"/>
      <c r="AB70" s="82"/>
      <c r="AC70" s="83"/>
      <c r="AD70" s="184"/>
      <c r="AE70" s="86"/>
      <c r="AF70" s="82"/>
      <c r="AG70" s="83"/>
      <c r="AH70" s="184"/>
      <c r="AI70" s="57"/>
    </row>
    <row r="71" spans="1:35" ht="13.5" customHeight="1" thickBot="1">
      <c r="B71" s="44"/>
      <c r="C71" s="531"/>
      <c r="D71" s="89" t="s">
        <v>594</v>
      </c>
      <c r="E71" s="113"/>
      <c r="F71" s="168"/>
      <c r="G71" s="168"/>
      <c r="H71" s="91"/>
      <c r="I71" s="92"/>
      <c r="J71" s="93"/>
      <c r="K71" s="94"/>
      <c r="L71" s="51"/>
      <c r="M71" s="51"/>
      <c r="N71" s="85"/>
      <c r="O71" s="95"/>
      <c r="P71" s="92"/>
      <c r="Q71" s="93"/>
      <c r="R71" s="185"/>
      <c r="S71" s="95"/>
      <c r="T71" s="92"/>
      <c r="U71" s="93"/>
      <c r="V71" s="185"/>
      <c r="W71" s="95"/>
      <c r="X71" s="92"/>
      <c r="Y71" s="93"/>
      <c r="Z71" s="185"/>
      <c r="AA71" s="95"/>
      <c r="AB71" s="92"/>
      <c r="AC71" s="93"/>
      <c r="AD71" s="185"/>
      <c r="AE71" s="95"/>
      <c r="AF71" s="92"/>
      <c r="AG71" s="93"/>
      <c r="AH71" s="185"/>
      <c r="AI71" s="57"/>
    </row>
    <row r="72" spans="1:35" ht="13.5" customHeight="1">
      <c r="B72" s="31" t="s">
        <v>606</v>
      </c>
      <c r="C72" s="530"/>
      <c r="D72" s="32" t="s">
        <v>598</v>
      </c>
      <c r="E72" s="33"/>
      <c r="F72" s="117">
        <f>SUM(F73:F76)</f>
        <v>0</v>
      </c>
      <c r="G72" s="117">
        <f>SUM(G73:G76)</f>
        <v>0</v>
      </c>
      <c r="H72" s="186" t="e">
        <f>SUMPRODUCT(H73:H76,$J73:$J76)/SUM(J73:J76)</f>
        <v>#DIV/0!</v>
      </c>
      <c r="I72" s="119" t="e">
        <f>SUMPRODUCT(J73:J76,$I73:$I76)/SUM(J73:J76)</f>
        <v>#DIV/0!</v>
      </c>
      <c r="J72" s="120">
        <f>SUM(J73:J76)</f>
        <v>0</v>
      </c>
      <c r="K72" s="121">
        <f>SUM(K73:K76)</f>
        <v>0</v>
      </c>
      <c r="L72" s="122"/>
      <c r="M72" s="123"/>
      <c r="N72" s="532"/>
      <c r="O72" s="124" t="e">
        <f>SUMPRODUCT(O73:O76,Q73:Q76)/SUM(Q73:Q76)</f>
        <v>#DIV/0!</v>
      </c>
      <c r="P72" s="119" t="e">
        <f>SUMPRODUCT(Q73:Q76,$P73:$P76)/SUM(Q73:Q76)</f>
        <v>#DIV/0!</v>
      </c>
      <c r="Q72" s="125">
        <f>SUM(Q73:Q76)</f>
        <v>0</v>
      </c>
      <c r="R72" s="126">
        <f>SUM(R73:R76)</f>
        <v>0</v>
      </c>
      <c r="S72" s="124" t="e">
        <f>SUMPRODUCT(S73:S76,U73:U76)/SUM(U73:U76)</f>
        <v>#DIV/0!</v>
      </c>
      <c r="T72" s="119" t="e">
        <f>SUMPRODUCT(U73:U76,$T73:$T76)/SUM(U73:U76)</f>
        <v>#DIV/0!</v>
      </c>
      <c r="U72" s="125">
        <f>SUM(U73:U76)</f>
        <v>0</v>
      </c>
      <c r="V72" s="126">
        <f>SUM(V73:V76)</f>
        <v>0</v>
      </c>
      <c r="W72" s="124" t="e">
        <f>SUMPRODUCT(W73:W76,Y73:Y76)/SUM(Y73:Y76)</f>
        <v>#DIV/0!</v>
      </c>
      <c r="X72" s="119" t="e">
        <f>SUMPRODUCT(Y73:Y76,$X73:$X76)/SUM(Y73:Y76)</f>
        <v>#DIV/0!</v>
      </c>
      <c r="Y72" s="125">
        <f>SUM(Y73:Y76)</f>
        <v>0</v>
      </c>
      <c r="Z72" s="126">
        <f>SUM(Z73:Z76)</f>
        <v>0</v>
      </c>
      <c r="AA72" s="124" t="e">
        <f>SUMPRODUCT(AA73:AA76,AC73:AC76)/SUM(AC73:AC76)</f>
        <v>#DIV/0!</v>
      </c>
      <c r="AB72" s="119" t="e">
        <f>SUMPRODUCT(AC73:AC76,$AB73:$AB76)/SUM(AC73:AC76)</f>
        <v>#DIV/0!</v>
      </c>
      <c r="AC72" s="125">
        <f>SUM(AC73:AC76)</f>
        <v>0</v>
      </c>
      <c r="AD72" s="126">
        <f>SUM(AD73:AD76)</f>
        <v>0</v>
      </c>
      <c r="AE72" s="124" t="e">
        <f>SUMPRODUCT(AE73:AE76,AG73:AG76)/SUM(AG73:AG76)</f>
        <v>#DIV/0!</v>
      </c>
      <c r="AF72" s="119" t="e">
        <f>SUMPRODUCT(AG73:AG76,$AF73:$AF76)/SUM(AG73:AG76)</f>
        <v>#DIV/0!</v>
      </c>
      <c r="AG72" s="125">
        <f>SUM(AG73:AG76)</f>
        <v>0</v>
      </c>
      <c r="AH72" s="126">
        <f>SUM(AH73:AH76)</f>
        <v>0</v>
      </c>
      <c r="AI72" s="43"/>
    </row>
    <row r="73" spans="1:35" s="154" customFormat="1" ht="13.15" customHeight="1" outlineLevel="1">
      <c r="A73" s="142"/>
      <c r="B73" s="143"/>
      <c r="C73" s="531"/>
      <c r="D73" s="129" t="s">
        <v>599</v>
      </c>
      <c r="E73" s="46"/>
      <c r="F73" s="144"/>
      <c r="G73" s="144"/>
      <c r="H73" s="145"/>
      <c r="I73" s="146"/>
      <c r="J73" s="147"/>
      <c r="K73" s="148"/>
      <c r="L73" s="149"/>
      <c r="M73" s="136"/>
      <c r="N73" s="533"/>
      <c r="O73" s="137"/>
      <c r="P73" s="133"/>
      <c r="Q73" s="138"/>
      <c r="R73" s="139"/>
      <c r="S73" s="137"/>
      <c r="T73" s="133"/>
      <c r="U73" s="138"/>
      <c r="V73" s="139"/>
      <c r="W73" s="137"/>
      <c r="X73" s="133"/>
      <c r="Y73" s="138"/>
      <c r="Z73" s="139"/>
      <c r="AA73" s="137"/>
      <c r="AB73" s="133"/>
      <c r="AC73" s="138"/>
      <c r="AD73" s="139"/>
      <c r="AE73" s="137"/>
      <c r="AF73" s="133"/>
      <c r="AG73" s="138"/>
      <c r="AH73" s="139"/>
      <c r="AI73" s="153"/>
    </row>
    <row r="74" spans="1:35" s="154" customFormat="1" ht="13.15" customHeight="1" outlineLevel="1">
      <c r="A74" s="142"/>
      <c r="B74" s="143"/>
      <c r="C74" s="531"/>
      <c r="D74" s="129" t="s">
        <v>600</v>
      </c>
      <c r="E74" s="46"/>
      <c r="F74" s="144"/>
      <c r="G74" s="144"/>
      <c r="H74" s="145"/>
      <c r="I74" s="146"/>
      <c r="J74" s="147"/>
      <c r="K74" s="148"/>
      <c r="L74" s="149"/>
      <c r="M74" s="136"/>
      <c r="N74" s="533"/>
      <c r="O74" s="137"/>
      <c r="P74" s="133"/>
      <c r="Q74" s="138"/>
      <c r="R74" s="139"/>
      <c r="S74" s="137"/>
      <c r="T74" s="133"/>
      <c r="U74" s="138"/>
      <c r="V74" s="139"/>
      <c r="W74" s="137"/>
      <c r="X74" s="133"/>
      <c r="Y74" s="138"/>
      <c r="Z74" s="139"/>
      <c r="AA74" s="137"/>
      <c r="AB74" s="133"/>
      <c r="AC74" s="138"/>
      <c r="AD74" s="139"/>
      <c r="AE74" s="137"/>
      <c r="AF74" s="133"/>
      <c r="AG74" s="138"/>
      <c r="AH74" s="139"/>
      <c r="AI74" s="153"/>
    </row>
    <row r="75" spans="1:35" s="154" customFormat="1" ht="13.15" customHeight="1" outlineLevel="1">
      <c r="A75" s="142"/>
      <c r="B75" s="143"/>
      <c r="C75" s="531"/>
      <c r="D75" s="129" t="s">
        <v>601</v>
      </c>
      <c r="E75" s="46"/>
      <c r="F75" s="144"/>
      <c r="G75" s="144"/>
      <c r="H75" s="145"/>
      <c r="I75" s="146"/>
      <c r="J75" s="147"/>
      <c r="K75" s="148"/>
      <c r="L75" s="149"/>
      <c r="M75" s="136"/>
      <c r="N75" s="533"/>
      <c r="O75" s="150"/>
      <c r="P75" s="146"/>
      <c r="Q75" s="151"/>
      <c r="R75" s="152"/>
      <c r="S75" s="150"/>
      <c r="T75" s="146"/>
      <c r="U75" s="151"/>
      <c r="V75" s="152"/>
      <c r="W75" s="150"/>
      <c r="X75" s="146"/>
      <c r="Y75" s="151"/>
      <c r="Z75" s="152"/>
      <c r="AA75" s="150"/>
      <c r="AB75" s="146"/>
      <c r="AC75" s="151"/>
      <c r="AD75" s="152"/>
      <c r="AE75" s="150"/>
      <c r="AF75" s="146"/>
      <c r="AG75" s="151"/>
      <c r="AH75" s="152"/>
      <c r="AI75" s="153"/>
    </row>
    <row r="76" spans="1:35" s="154" customFormat="1" ht="13.15" customHeight="1" outlineLevel="1">
      <c r="A76" s="142"/>
      <c r="B76" s="143"/>
      <c r="C76" s="531"/>
      <c r="D76" s="129" t="s">
        <v>602</v>
      </c>
      <c r="E76" s="46"/>
      <c r="F76" s="144"/>
      <c r="G76" s="144"/>
      <c r="H76" s="145"/>
      <c r="I76" s="146"/>
      <c r="J76" s="147"/>
      <c r="K76" s="148"/>
      <c r="L76" s="149"/>
      <c r="M76" s="136"/>
      <c r="N76" s="533"/>
      <c r="O76" s="150"/>
      <c r="P76" s="146"/>
      <c r="Q76" s="151"/>
      <c r="R76" s="152"/>
      <c r="S76" s="150"/>
      <c r="T76" s="146"/>
      <c r="U76" s="151"/>
      <c r="V76" s="152"/>
      <c r="W76" s="150"/>
      <c r="X76" s="146"/>
      <c r="Y76" s="151"/>
      <c r="Z76" s="152"/>
      <c r="AA76" s="150"/>
      <c r="AB76" s="146"/>
      <c r="AC76" s="151"/>
      <c r="AD76" s="152"/>
      <c r="AE76" s="150"/>
      <c r="AF76" s="146"/>
      <c r="AG76" s="151"/>
      <c r="AH76" s="152"/>
      <c r="AI76" s="153"/>
    </row>
    <row r="77" spans="1:35" ht="13.5" customHeight="1">
      <c r="B77" s="44"/>
      <c r="C77" s="531"/>
      <c r="D77" s="45" t="s">
        <v>603</v>
      </c>
      <c r="E77" s="46"/>
      <c r="F77" s="155">
        <f>SUM(F78:F82)</f>
        <v>0</v>
      </c>
      <c r="G77" s="155">
        <f>SUM(G78:G82)</f>
        <v>0</v>
      </c>
      <c r="H77" s="156" t="e">
        <f>SUMPRODUCT(H78:H82,$J78:$J82)/SUM(J78:J82)</f>
        <v>#DIV/0!</v>
      </c>
      <c r="I77" s="157" t="e">
        <f>SUMPRODUCT(J78:J82,$I78:$I82)/SUM(J78:J82)</f>
        <v>#DIV/0!</v>
      </c>
      <c r="J77" s="158">
        <f>SUM(J78:J82)</f>
        <v>0</v>
      </c>
      <c r="K77" s="159">
        <f>SUM(K78:K82)</f>
        <v>0</v>
      </c>
      <c r="L77" s="122"/>
      <c r="M77" s="123"/>
      <c r="N77" s="533"/>
      <c r="O77" s="160" t="e">
        <f>SUMPRODUCT(O78:O82,Q78:Q82)/SUM(Q78:Q82)</f>
        <v>#DIV/0!</v>
      </c>
      <c r="P77" s="157" t="e">
        <f>SUMPRODUCT(Q78:Q82,$P78:$P82)/SUM(Q78:Q82)</f>
        <v>#DIV/0!</v>
      </c>
      <c r="Q77" s="161">
        <f>SUM(Q78:Q82)</f>
        <v>0</v>
      </c>
      <c r="R77" s="162">
        <f>SUM(R78:R82)</f>
        <v>0</v>
      </c>
      <c r="S77" s="160" t="e">
        <f>SUMPRODUCT(S78:S82,U78:U82)/SUM(U78:U82)</f>
        <v>#DIV/0!</v>
      </c>
      <c r="T77" s="157" t="e">
        <f>SUMPRODUCT(U78:U82,$T78:$T82)/SUM(U78:U82)</f>
        <v>#DIV/0!</v>
      </c>
      <c r="U77" s="161">
        <f>SUM(U78:U82)</f>
        <v>0</v>
      </c>
      <c r="V77" s="162">
        <f>SUM(V78:V82)</f>
        <v>0</v>
      </c>
      <c r="W77" s="160" t="e">
        <f>SUMPRODUCT(W78:W82,Y78:Y82)/SUM(Y78:Y82)</f>
        <v>#DIV/0!</v>
      </c>
      <c r="X77" s="157" t="e">
        <f>SUMPRODUCT(Y78:Y82,$X78:$X82)/SUM(Y78:Y82)</f>
        <v>#DIV/0!</v>
      </c>
      <c r="Y77" s="161">
        <f>SUM(Y78:Y82)</f>
        <v>0</v>
      </c>
      <c r="Z77" s="162">
        <f>SUM(Z78:Z82)</f>
        <v>0</v>
      </c>
      <c r="AA77" s="160" t="e">
        <f>SUMPRODUCT(AA78:AA82,AC78:AC82)/SUM(AC78:AC82)</f>
        <v>#DIV/0!</v>
      </c>
      <c r="AB77" s="157" t="e">
        <f>SUMPRODUCT(AC78:AC82,$AB78:$AB82)/SUM(AC78:AC82)</f>
        <v>#DIV/0!</v>
      </c>
      <c r="AC77" s="161">
        <f>SUM(AC78:AC82)</f>
        <v>0</v>
      </c>
      <c r="AD77" s="162">
        <f>SUM(AD78:AD82)</f>
        <v>0</v>
      </c>
      <c r="AE77" s="160" t="e">
        <f>SUMPRODUCT(AE78:AE82,AG78:AG82)/SUM(AG78:AG82)</f>
        <v>#DIV/0!</v>
      </c>
      <c r="AF77" s="157" t="e">
        <f>SUMPRODUCT(AG78:AG82,$AF78:$AF82)/SUM(AG78:AG82)</f>
        <v>#DIV/0!</v>
      </c>
      <c r="AG77" s="161">
        <f>SUM(AG78:AG82)</f>
        <v>0</v>
      </c>
      <c r="AH77" s="162">
        <f>SUM(AH78:AH82)</f>
        <v>0</v>
      </c>
      <c r="AI77" s="55"/>
    </row>
    <row r="78" spans="1:35" s="154" customFormat="1" ht="13.15" customHeight="1" outlineLevel="1">
      <c r="A78" s="142"/>
      <c r="B78" s="143"/>
      <c r="C78" s="531"/>
      <c r="D78" s="129" t="s">
        <v>604</v>
      </c>
      <c r="E78" s="46"/>
      <c r="F78" s="144"/>
      <c r="G78" s="144"/>
      <c r="H78" s="145"/>
      <c r="I78" s="146"/>
      <c r="J78" s="147"/>
      <c r="K78" s="148"/>
      <c r="L78" s="149"/>
      <c r="M78" s="136"/>
      <c r="N78" s="533"/>
      <c r="O78" s="137"/>
      <c r="P78" s="133"/>
      <c r="Q78" s="138"/>
      <c r="R78" s="139"/>
      <c r="S78" s="137"/>
      <c r="T78" s="133"/>
      <c r="U78" s="138"/>
      <c r="V78" s="139"/>
      <c r="W78" s="137"/>
      <c r="X78" s="133"/>
      <c r="Y78" s="138"/>
      <c r="Z78" s="139"/>
      <c r="AA78" s="137"/>
      <c r="AB78" s="133"/>
      <c r="AC78" s="138"/>
      <c r="AD78" s="139"/>
      <c r="AE78" s="137"/>
      <c r="AF78" s="133"/>
      <c r="AG78" s="138"/>
      <c r="AH78" s="139"/>
      <c r="AI78" s="153"/>
    </row>
    <row r="79" spans="1:35" s="154" customFormat="1" ht="13.15" customHeight="1" outlineLevel="1">
      <c r="A79" s="142"/>
      <c r="B79" s="143"/>
      <c r="C79" s="531"/>
      <c r="D79" s="129" t="s">
        <v>599</v>
      </c>
      <c r="E79" s="46"/>
      <c r="F79" s="144"/>
      <c r="G79" s="144"/>
      <c r="H79" s="145"/>
      <c r="I79" s="146"/>
      <c r="J79" s="147"/>
      <c r="K79" s="148"/>
      <c r="L79" s="149"/>
      <c r="M79" s="136"/>
      <c r="N79" s="533"/>
      <c r="O79" s="137"/>
      <c r="P79" s="133"/>
      <c r="Q79" s="138"/>
      <c r="R79" s="139"/>
      <c r="S79" s="137"/>
      <c r="T79" s="133"/>
      <c r="U79" s="138"/>
      <c r="V79" s="139"/>
      <c r="W79" s="137"/>
      <c r="X79" s="133"/>
      <c r="Y79" s="138"/>
      <c r="Z79" s="139"/>
      <c r="AA79" s="137"/>
      <c r="AB79" s="133"/>
      <c r="AC79" s="138"/>
      <c r="AD79" s="139"/>
      <c r="AE79" s="137"/>
      <c r="AF79" s="133"/>
      <c r="AG79" s="138"/>
      <c r="AH79" s="139"/>
      <c r="AI79" s="153"/>
    </row>
    <row r="80" spans="1:35" s="154" customFormat="1" ht="13.15" customHeight="1" outlineLevel="1">
      <c r="A80" s="142"/>
      <c r="B80" s="143"/>
      <c r="C80" s="531"/>
      <c r="D80" s="129" t="s">
        <v>600</v>
      </c>
      <c r="E80" s="46"/>
      <c r="F80" s="144"/>
      <c r="G80" s="144"/>
      <c r="H80" s="145"/>
      <c r="I80" s="146"/>
      <c r="J80" s="147"/>
      <c r="K80" s="148"/>
      <c r="L80" s="149"/>
      <c r="M80" s="136"/>
      <c r="N80" s="533"/>
      <c r="O80" s="150"/>
      <c r="P80" s="146"/>
      <c r="Q80" s="151"/>
      <c r="R80" s="152"/>
      <c r="S80" s="150"/>
      <c r="T80" s="146"/>
      <c r="U80" s="151"/>
      <c r="V80" s="152"/>
      <c r="W80" s="150"/>
      <c r="X80" s="146"/>
      <c r="Y80" s="151"/>
      <c r="Z80" s="152"/>
      <c r="AA80" s="150"/>
      <c r="AB80" s="146"/>
      <c r="AC80" s="151"/>
      <c r="AD80" s="152"/>
      <c r="AE80" s="150"/>
      <c r="AF80" s="146"/>
      <c r="AG80" s="151"/>
      <c r="AH80" s="152"/>
      <c r="AI80" s="153"/>
    </row>
    <row r="81" spans="1:35" s="154" customFormat="1" ht="13.15" customHeight="1" outlineLevel="1">
      <c r="A81" s="142"/>
      <c r="B81" s="143"/>
      <c r="C81" s="531"/>
      <c r="D81" s="129" t="s">
        <v>601</v>
      </c>
      <c r="E81" s="46"/>
      <c r="F81" s="144"/>
      <c r="G81" s="144"/>
      <c r="H81" s="145"/>
      <c r="I81" s="146"/>
      <c r="J81" s="147"/>
      <c r="K81" s="148"/>
      <c r="L81" s="149"/>
      <c r="M81" s="136"/>
      <c r="N81" s="533"/>
      <c r="O81" s="150"/>
      <c r="P81" s="146"/>
      <c r="Q81" s="151"/>
      <c r="R81" s="152"/>
      <c r="S81" s="150"/>
      <c r="T81" s="146"/>
      <c r="U81" s="151"/>
      <c r="V81" s="152"/>
      <c r="W81" s="150"/>
      <c r="X81" s="146"/>
      <c r="Y81" s="151"/>
      <c r="Z81" s="152"/>
      <c r="AA81" s="150"/>
      <c r="AB81" s="146"/>
      <c r="AC81" s="151"/>
      <c r="AD81" s="152"/>
      <c r="AE81" s="150"/>
      <c r="AF81" s="146"/>
      <c r="AG81" s="151"/>
      <c r="AH81" s="152"/>
      <c r="AI81" s="153"/>
    </row>
    <row r="82" spans="1:35" s="154" customFormat="1" ht="13.15" customHeight="1" outlineLevel="1">
      <c r="A82" s="142"/>
      <c r="B82" s="143"/>
      <c r="C82" s="531"/>
      <c r="D82" s="129" t="s">
        <v>602</v>
      </c>
      <c r="E82" s="46"/>
      <c r="F82" s="144"/>
      <c r="G82" s="144"/>
      <c r="H82" s="145"/>
      <c r="I82" s="146"/>
      <c r="J82" s="147"/>
      <c r="K82" s="148"/>
      <c r="L82" s="149"/>
      <c r="M82" s="136"/>
      <c r="N82" s="533"/>
      <c r="O82" s="150"/>
      <c r="P82" s="146"/>
      <c r="Q82" s="151"/>
      <c r="R82" s="152"/>
      <c r="S82" s="150"/>
      <c r="T82" s="146"/>
      <c r="U82" s="151"/>
      <c r="V82" s="152"/>
      <c r="W82" s="150"/>
      <c r="X82" s="146"/>
      <c r="Y82" s="151"/>
      <c r="Z82" s="152"/>
      <c r="AA82" s="150"/>
      <c r="AB82" s="146"/>
      <c r="AC82" s="151"/>
      <c r="AD82" s="152"/>
      <c r="AE82" s="150"/>
      <c r="AF82" s="146"/>
      <c r="AG82" s="151"/>
      <c r="AH82" s="152"/>
      <c r="AI82" s="153"/>
    </row>
    <row r="83" spans="1:35" ht="13.5" customHeight="1">
      <c r="B83" s="44"/>
      <c r="C83" s="531"/>
      <c r="D83" s="45" t="s">
        <v>590</v>
      </c>
      <c r="E83" s="46"/>
      <c r="F83" s="163"/>
      <c r="G83" s="163"/>
      <c r="H83" s="98">
        <v>1</v>
      </c>
      <c r="I83" s="48"/>
      <c r="J83" s="164"/>
      <c r="K83" s="165"/>
      <c r="L83" s="122"/>
      <c r="M83" s="136"/>
      <c r="N83" s="533"/>
      <c r="O83" s="53">
        <v>1</v>
      </c>
      <c r="P83" s="48"/>
      <c r="Q83" s="166"/>
      <c r="R83" s="167"/>
      <c r="S83" s="53">
        <v>1</v>
      </c>
      <c r="T83" s="48"/>
      <c r="U83" s="166"/>
      <c r="V83" s="167"/>
      <c r="W83" s="53">
        <v>1</v>
      </c>
      <c r="X83" s="48"/>
      <c r="Y83" s="166"/>
      <c r="Z83" s="167"/>
      <c r="AA83" s="53">
        <v>1</v>
      </c>
      <c r="AB83" s="48"/>
      <c r="AC83" s="166"/>
      <c r="AD83" s="167"/>
      <c r="AE83" s="53">
        <v>1</v>
      </c>
      <c r="AF83" s="48"/>
      <c r="AG83" s="166"/>
      <c r="AH83" s="167"/>
      <c r="AI83" s="57"/>
    </row>
    <row r="84" spans="1:35" ht="13.5" customHeight="1" thickBot="1">
      <c r="B84" s="44"/>
      <c r="C84" s="531"/>
      <c r="D84" s="58" t="s">
        <v>591</v>
      </c>
      <c r="E84" s="59"/>
      <c r="F84" s="168"/>
      <c r="G84" s="168"/>
      <c r="H84" s="62">
        <v>1</v>
      </c>
      <c r="I84" s="62"/>
      <c r="J84" s="169"/>
      <c r="K84" s="170"/>
      <c r="L84" s="122"/>
      <c r="M84" s="171"/>
      <c r="N84" s="533"/>
      <c r="O84" s="65">
        <v>1</v>
      </c>
      <c r="P84" s="62"/>
      <c r="Q84" s="172"/>
      <c r="R84" s="173"/>
      <c r="S84" s="65">
        <v>1</v>
      </c>
      <c r="T84" s="62"/>
      <c r="U84" s="172"/>
      <c r="V84" s="173"/>
      <c r="W84" s="65">
        <v>1</v>
      </c>
      <c r="X84" s="62"/>
      <c r="Y84" s="172"/>
      <c r="Z84" s="173"/>
      <c r="AA84" s="65">
        <v>1</v>
      </c>
      <c r="AB84" s="62"/>
      <c r="AC84" s="172"/>
      <c r="AD84" s="173"/>
      <c r="AE84" s="65">
        <v>1</v>
      </c>
      <c r="AF84" s="62"/>
      <c r="AG84" s="172"/>
      <c r="AH84" s="173"/>
      <c r="AI84" s="67"/>
    </row>
    <row r="85" spans="1:35" ht="13.5" customHeight="1">
      <c r="B85" s="44"/>
      <c r="C85" s="531"/>
      <c r="D85" s="68" t="s">
        <v>592</v>
      </c>
      <c r="E85" s="112"/>
      <c r="F85" s="174">
        <f>SUM(F72,F77,F83,F84)</f>
        <v>0</v>
      </c>
      <c r="G85" s="174">
        <f>SUM(G72,G77,G83,G84)</f>
        <v>0</v>
      </c>
      <c r="H85" s="175" t="e">
        <f>SUM(H72*$J72,H77*$J77,H83*$J83,H84*$J84)/SUM($J72,$J77,$J83,$J84)</f>
        <v>#DIV/0!</v>
      </c>
      <c r="I85" s="176" t="e">
        <f>SUM(I72*$J72,I77*$J77,I83*$J83,I84*$J84)/SUM($J72,$J77,$J83,$J84)</f>
        <v>#DIV/0!</v>
      </c>
      <c r="J85" s="177">
        <f>SUM(J72,J77,J83,J84)</f>
        <v>0</v>
      </c>
      <c r="K85" s="178">
        <f>SUM(K72,K77,K83,K84)</f>
        <v>0</v>
      </c>
      <c r="L85" s="75"/>
      <c r="M85" s="179"/>
      <c r="N85" s="534"/>
      <c r="O85" s="180" t="e">
        <f>SUM(O72*Q72,O77*Q77,O83*Q83,O84*Q84)/SUM(Q72,Q77,Q83,Q84)</f>
        <v>#DIV/0!</v>
      </c>
      <c r="P85" s="180" t="e">
        <f>SUM(P72*Q72,P77*Q77,P83*Q83,P84*Q84)/SUM(Q72,Q77,Q83,Q84)</f>
        <v>#DIV/0!</v>
      </c>
      <c r="Q85" s="181">
        <f>SUM(Q72,Q77,Q83,Q84)</f>
        <v>0</v>
      </c>
      <c r="R85" s="182">
        <f>SUM(R72,R77,R83,R84)</f>
        <v>0</v>
      </c>
      <c r="S85" s="180" t="e">
        <f>SUM(S72*U72,S77*U77,S83*U83,S84*U84)/SUM(U72,U77,U83,U84)</f>
        <v>#DIV/0!</v>
      </c>
      <c r="T85" s="180" t="e">
        <f>SUM(T72*U72,T77*U77,T83*U83,T84*U84)/SUM(U72,U77,U83,U84)</f>
        <v>#DIV/0!</v>
      </c>
      <c r="U85" s="181">
        <f>SUM(U72,U77,U83,U84)</f>
        <v>0</v>
      </c>
      <c r="V85" s="182">
        <f>SUM(V72,V77,V83,V84)</f>
        <v>0</v>
      </c>
      <c r="W85" s="180" t="e">
        <f>SUM(W72*Y72,W77*Y77,W83*Y83,W84*Y84)/SUM(Y72,Y77,Y83,Y84)</f>
        <v>#DIV/0!</v>
      </c>
      <c r="X85" s="180" t="e">
        <f>SUM(X72*Y72,X77*Y77,X83*Y83,X84*Y84)/SUM(Y72,Y77,Y83,Y84)</f>
        <v>#DIV/0!</v>
      </c>
      <c r="Y85" s="181">
        <f>SUM(Y72,Y77,Y83,Y84)</f>
        <v>0</v>
      </c>
      <c r="Z85" s="182">
        <f>SUM(Z72,Z77,Z83,Z84)</f>
        <v>0</v>
      </c>
      <c r="AA85" s="180" t="e">
        <f>SUM(AA72*AC72,AA77*AC77,AA83*AC83,AA84*AC84)/SUM(AC72,AC77,AC83,AC84)</f>
        <v>#DIV/0!</v>
      </c>
      <c r="AB85" s="180" t="e">
        <f>SUM(AB72*AC72,AB77*AC77,AB83*AC83,AB84*AC84)/SUM(AC72,AC77,AC83,AC84)</f>
        <v>#DIV/0!</v>
      </c>
      <c r="AC85" s="181">
        <f>SUM(AC72,AC77,AC83,AC84)</f>
        <v>0</v>
      </c>
      <c r="AD85" s="182">
        <f>SUM(AD72,AD77,AD83,AD84)</f>
        <v>0</v>
      </c>
      <c r="AE85" s="180" t="e">
        <f>SUM(AE72*AG72,AE77*AG77,AE83*AG83,AE84*AG84)/SUM(AG72,AG77,AG83,AG84)</f>
        <v>#DIV/0!</v>
      </c>
      <c r="AF85" s="180" t="e">
        <f>SUM(AF72*AG72,AF77*AG77,AF83*AG83,AF84*AG84)/SUM(AG72,AG77,AG83,AG84)</f>
        <v>#DIV/0!</v>
      </c>
      <c r="AG85" s="181">
        <f>SUM(AG72,AG77,AG83,AG84)</f>
        <v>0</v>
      </c>
      <c r="AH85" s="182">
        <f>SUM(AH72,AH77,AH83,AH84)</f>
        <v>0</v>
      </c>
      <c r="AI85" s="78"/>
    </row>
    <row r="86" spans="1:35" ht="13.5" customHeight="1">
      <c r="B86" s="44"/>
      <c r="C86" s="531"/>
      <c r="D86" s="79" t="s">
        <v>593</v>
      </c>
      <c r="E86" s="46"/>
      <c r="F86" s="183"/>
      <c r="G86" s="183"/>
      <c r="H86" s="81"/>
      <c r="I86" s="82"/>
      <c r="J86" s="83"/>
      <c r="K86" s="84"/>
      <c r="L86" s="51"/>
      <c r="M86" s="51"/>
      <c r="N86" s="85"/>
      <c r="O86" s="86"/>
      <c r="P86" s="82"/>
      <c r="Q86" s="83"/>
      <c r="R86" s="184"/>
      <c r="S86" s="86"/>
      <c r="T86" s="82"/>
      <c r="U86" s="83"/>
      <c r="V86" s="184"/>
      <c r="W86" s="86"/>
      <c r="X86" s="82"/>
      <c r="Y86" s="83"/>
      <c r="Z86" s="184"/>
      <c r="AA86" s="86"/>
      <c r="AB86" s="82"/>
      <c r="AC86" s="83"/>
      <c r="AD86" s="184"/>
      <c r="AE86" s="86"/>
      <c r="AF86" s="82"/>
      <c r="AG86" s="83"/>
      <c r="AH86" s="184"/>
      <c r="AI86" s="57"/>
    </row>
    <row r="87" spans="1:35" ht="13.5" customHeight="1" thickBot="1">
      <c r="B87" s="44"/>
      <c r="C87" s="531"/>
      <c r="D87" s="89" t="s">
        <v>594</v>
      </c>
      <c r="E87" s="113"/>
      <c r="F87" s="168"/>
      <c r="G87" s="168"/>
      <c r="H87" s="91"/>
      <c r="I87" s="92"/>
      <c r="J87" s="93"/>
      <c r="K87" s="94"/>
      <c r="L87" s="51"/>
      <c r="M87" s="51"/>
      <c r="N87" s="85"/>
      <c r="O87" s="95"/>
      <c r="P87" s="92"/>
      <c r="Q87" s="93"/>
      <c r="R87" s="185"/>
      <c r="S87" s="95"/>
      <c r="T87" s="92"/>
      <c r="U87" s="93"/>
      <c r="V87" s="185"/>
      <c r="W87" s="95"/>
      <c r="X87" s="92"/>
      <c r="Y87" s="93"/>
      <c r="Z87" s="185"/>
      <c r="AA87" s="95"/>
      <c r="AB87" s="92"/>
      <c r="AC87" s="93"/>
      <c r="AD87" s="185"/>
      <c r="AE87" s="95"/>
      <c r="AF87" s="92"/>
      <c r="AG87" s="93"/>
      <c r="AH87" s="185"/>
      <c r="AI87" s="57"/>
    </row>
    <row r="88" spans="1:35" ht="13.5" customHeight="1">
      <c r="B88" s="187" t="s">
        <v>607</v>
      </c>
      <c r="C88" s="188"/>
      <c r="D88" s="189" t="s">
        <v>588</v>
      </c>
      <c r="E88" s="33"/>
      <c r="F88" s="190">
        <f>F95+F118+F134+F150+F166+F182+F198+F214+F230+F246</f>
        <v>9959.0562950240965</v>
      </c>
      <c r="G88" s="190">
        <f>G95+G118+G134+G150+G166+G182+G198+G214+G230+G246</f>
        <v>0</v>
      </c>
      <c r="H88" s="118" t="e">
        <f>(H95*$J95+H118*$J118+H134*$J134+H150*$J150+H166*$J166+H182*$J182+H198*$J198+H214*$J214+H230*$J230+H246*$J246)/SUM($J95,$J118,$J134,$J150,$J166,$J182,$J198,$J214,$J230,$J246)</f>
        <v>#DIV/0!</v>
      </c>
      <c r="I88" s="191" t="e">
        <f>(I95*$J95+I118*$J118+I134*$J134+I150*$J150+I166*$J166+I182*$J182+I198*$J198+I214*$J214+I230*$J230+I246*$J246)/SUM($J95,$J118,$J134,$J150,$J166,$J182,$J198,$J214,$J230,$J246)</f>
        <v>#DIV/0!</v>
      </c>
      <c r="J88" s="192">
        <f>J95+J118+J134+J150+J166+J182+J198+J214+J230+J246</f>
        <v>9959.0562950240965</v>
      </c>
      <c r="K88" s="193">
        <f>K95+K118+K134+K150+K166+K182+K198+K214+K230+K246</f>
        <v>228.45246315626468</v>
      </c>
      <c r="L88" s="51"/>
      <c r="M88" s="171"/>
      <c r="N88" s="194"/>
      <c r="O88" s="191" t="e">
        <f>(O95*Q95+O118*Q118+O134*Q134+O150*Q150+O166*Q166+O182*Q182+O198*Q198+O214*Q214+O230*Q230+O246*Q246)/SUM(Q95,Q118,Q134,Q150,Q166,Q182,Q198,Q214,Q230,Q246)</f>
        <v>#DIV/0!</v>
      </c>
      <c r="P88" s="191" t="e">
        <f>(P95*R95+P118*R118+P134*R134+P150*R150+P166*R166+P182*R182+P198*R198+P214*R214+P230*R230+P246*R246)/SUM(R95,R118,R134,R150,R166,R182,R198,R214,R230,R246)</f>
        <v>#DIV/0!</v>
      </c>
      <c r="Q88" s="192">
        <f>Q95+Q118+Q134+Q150+Q166+Q182+Q198+Q214+Q230+Q246</f>
        <v>0</v>
      </c>
      <c r="R88" s="195">
        <f>R95+R118+R134+R150+R166+R182+R198+R214+R230+R246</f>
        <v>0</v>
      </c>
      <c r="S88" s="191" t="e">
        <f>(S95*U95+S118*U118+S134*U134+S150*U150+S166*U166+S182*U182+S198*U198+S214*U214+S230*U230+S246*U246)/SUM(U95,U118,U134,U150,U166,U182,U198,U214,U230,U246)</f>
        <v>#DIV/0!</v>
      </c>
      <c r="T88" s="191" t="e">
        <f>(T95*V95+T118*V118+T134*V134+T150*V150+T166*V166+T182*V182+T198*V198+T214*V214+T230*V230+T246*V246)/SUM(V95,V118,V134,V150,V166,V182,V198,V214,V230,V246)</f>
        <v>#DIV/0!</v>
      </c>
      <c r="U88" s="192">
        <f>U95+U118+U134+U150+U166+U182+U198+U214+U230+U246</f>
        <v>0</v>
      </c>
      <c r="V88" s="195">
        <f>V95+V118+V134+V150+V166+V182+V198+V214+V230+V246</f>
        <v>0</v>
      </c>
      <c r="W88" s="191" t="e">
        <f>(W95*Y95+W118*Y118+W134*Y134+W150*Y150+W166*Y166+W182*Y182+W198*Y198+W214*Y214+W230*Y230+W246*Y246)/SUM(Y95,Y118,Y134,Y150,Y166,Y182,Y198,Y214,Y230,Y246)</f>
        <v>#DIV/0!</v>
      </c>
      <c r="X88" s="191" t="e">
        <f>(X95*Z95+X118*Z118+X134*Z134+X150*Z150+X166*Z166+X182*Z182+X198*Z198+X214*Z214+X230*Z230+X246*Z246)/SUM(Z95,Z118,Z134,Z150,Z166,Z182,Z198,Z214,Z230,Z246)</f>
        <v>#DIV/0!</v>
      </c>
      <c r="Y88" s="192">
        <f>Y95+Y118+Y134+Y150+Y166+Y182+Y198+Y214+Y230+Y246</f>
        <v>0</v>
      </c>
      <c r="Z88" s="195">
        <f>Z95+Z118+Z134+Z150+Z166+Z182+Z198+Z214+Z230+Z246</f>
        <v>0</v>
      </c>
      <c r="AA88" s="191" t="e">
        <f>(AA95*AC95+AA118*AC118+AA134*AC134+AA150*AC150+AA166*AC166+AA182*AC182+AA198*AC198+AA214*AC214+AA230*AC230+AA246*AC246)/SUM(AC95,AC118,AC134,AC150,AC166,AC182,AC198,AC214,AC230,AC246)</f>
        <v>#DIV/0!</v>
      </c>
      <c r="AB88" s="191" t="e">
        <f>(AB95*AD95+AB118*AD118+AB134*AD134+AB150*AD150+AB166*AD166+AB182*AD182+AB198*AD198+AB214*AD214+AB230*AD230+AB246*AD246)/SUM(AD95,AD118,AD134,AD150,AD166,AD182,AD198,AD214,AD230,AD246)</f>
        <v>#DIV/0!</v>
      </c>
      <c r="AC88" s="192">
        <f>AC95+AC118+AC134+AC150+AC166+AC182+AC198+AC214+AC230+AC246</f>
        <v>0</v>
      </c>
      <c r="AD88" s="195">
        <f>AD95+AD118+AD134+AD150+AD166+AD182+AD198+AD214+AD230+AD246</f>
        <v>0</v>
      </c>
      <c r="AE88" s="191" t="e">
        <f>(AE95*AG95+AE118*AG118+AE134*AG134+AE150*AG150+AE166*AG166+AE182*AG182+AE198*AG198+AE214*AG214+AE230*AG230+AE246*AG246)/SUM(AG95,AG118,AG134,AG150,AG166,AG182,AG198,AG214,AG230,AG246)</f>
        <v>#DIV/0!</v>
      </c>
      <c r="AF88" s="191" t="e">
        <f>(AF95*AH95+AF118*AH118+AF134*AH134+AF150*AH150+AF166*AH166+AF182*AH182+AF198*AH198+AF214*AH214+AF230*AH230+AF246*AH246)/SUM(AH95,AH118,AH134,AH150,AH166,AH182,AH198,AH214,AH230,AH246)</f>
        <v>#DIV/0!</v>
      </c>
      <c r="AG88" s="192">
        <f>AG95+AG118+AG134+AG150+AG166+AG182+AG198+AG214+AG230+AG246</f>
        <v>0</v>
      </c>
      <c r="AH88" s="195">
        <f>AH95+AH118+AH134+AH150+AH166+AH182+AH198+AH214+AH230+AH246</f>
        <v>0</v>
      </c>
      <c r="AI88" s="43"/>
    </row>
    <row r="89" spans="1:35" ht="13.5" customHeight="1">
      <c r="B89" s="196"/>
      <c r="C89" s="197"/>
      <c r="D89" s="198" t="s">
        <v>589</v>
      </c>
      <c r="E89" s="46"/>
      <c r="F89" s="199">
        <f>F100+F123+F139+F155+F171+F187+F203+F219+F235+F251</f>
        <v>41.346293350536001</v>
      </c>
      <c r="G89" s="199">
        <f>G100+G123+G139+G155+G171+G187+G203+G219+G235+G251</f>
        <v>0</v>
      </c>
      <c r="H89" s="200" t="e">
        <f>(H100*$J100+H123*$J123+H139*$J139+H155*$J155+H171*$J171+H187*$J187+H203*$J203+H219*$J219+H235*$J235+H251*$J251)/SUM($J100,$J123,$J139,$J155,$J171,$J187,$J203,$J219,$J235,$J251)</f>
        <v>#DIV/0!</v>
      </c>
      <c r="I89" s="200" t="e">
        <f>(I100*$J100+I123*$J123+I139*$J139+I155*$J155+I171*$J171+I187*$J187+I203*$J203+I219*$J219+I235*$J235+I251*$J251)/SUM($J100,$J123,$J139,$J155,$J171,$J187,$J203,$J219,$J235,$J251)</f>
        <v>#DIV/0!</v>
      </c>
      <c r="J89" s="201">
        <f>J100+J123+J139+J155+J171+J187+J203+J219+J235+J251</f>
        <v>41.346293350536001</v>
      </c>
      <c r="K89" s="202">
        <f>K100+K123+K139+K155+K171+K187+K203+K219+K235+K251</f>
        <v>3.0650669048650587</v>
      </c>
      <c r="L89" s="51"/>
      <c r="M89" s="171"/>
      <c r="N89" s="203"/>
      <c r="O89" s="204" t="e">
        <f>(O100*Q100+O123*Q123+O139*Q139+O155*Q155+O171*Q171+O187*Q187+O203*Q203+O219*Q219+O235*Q235+O251*Q251)/SUM(Q100,Q123,Q139,Q155,Q171,Q187,Q203,Q219,Q235,Q251)</f>
        <v>#DIV/0!</v>
      </c>
      <c r="P89" s="204" t="e">
        <f>(P100*R100+P123*R123+P139*R139+P155*R155+P171*R171+P187*R187+P203*R203+P219*R219+P235*R235+P251*R251)/SUM(R100,R123,R139,R155,R171,R187,R203,R219,R235,R251)</f>
        <v>#DIV/0!</v>
      </c>
      <c r="Q89" s="201">
        <f>Q100+Q123+Q139+Q155+Q171+Q187+Q203+Q219+Q235+Q251</f>
        <v>0</v>
      </c>
      <c r="R89" s="205">
        <f>R100+R123+R139+R155+R171+R187+R203+R219+R235+R251</f>
        <v>0</v>
      </c>
      <c r="S89" s="204" t="e">
        <f>(S100*U100+S123*U123+S139*U139+S155*U155+S171*U171+S187*U187+S203*U203+S219*U219+S235*U235+S251*U251)/SUM(U100,U123,U139,U155,U171,U187,U203,U219,U235,U251)</f>
        <v>#DIV/0!</v>
      </c>
      <c r="T89" s="204" t="e">
        <f>(T100*V100+T123*V123+T139*V139+T155*V155+T171*V171+T187*V187+T203*V203+T219*V219+T235*V235+T251*V251)/SUM(V100,V123,V139,V155,V171,V187,V203,V219,V235,V251)</f>
        <v>#DIV/0!</v>
      </c>
      <c r="U89" s="201">
        <f>U100+U123+U139+U155+U171+U187+U203+U219+U235+U251</f>
        <v>0</v>
      </c>
      <c r="V89" s="205">
        <f>V100+V123+V139+V155+V171+V187+V203+V219+V235+V251</f>
        <v>0</v>
      </c>
      <c r="W89" s="204" t="e">
        <f>(W100*Y100+W123*Y123+W139*Y139+W155*Y155+W171*Y171+W187*Y187+W203*Y203+W219*Y219+W235*Y235+W251*Y251)/SUM(Y100,Y123,Y139,Y155,Y171,Y187,Y203,Y219,Y235,Y251)</f>
        <v>#DIV/0!</v>
      </c>
      <c r="X89" s="204" t="e">
        <f>(X100*Z100+X123*Z123+X139*Z139+X155*Z155+X171*Z171+X187*Z187+X203*Z203+X219*Z219+X235*Z235+X251*Z251)/SUM(Z100,Z123,Z139,Z155,Z171,Z187,Z203,Z219,Z235,Z251)</f>
        <v>#DIV/0!</v>
      </c>
      <c r="Y89" s="201">
        <f>Y100+Y123+Y139+Y155+Y171+Y187+Y203+Y219+Y235+Y251</f>
        <v>0</v>
      </c>
      <c r="Z89" s="205">
        <f>Z100+Z123+Z139+Z155+Z171+Z187+Z203+Z219+Z235+Z251</f>
        <v>0</v>
      </c>
      <c r="AA89" s="204" t="e">
        <f>(AA100*AC100+AA123*AC123+AA139*AC139+AA155*AC155+AA171*AC171+AA187*AC187+AA203*AC203+AA219*AC219+AA235*AC235+AA251*AC251)/SUM(AC100,AC123,AC139,AC155,AC171,AC187,AC203,AC219,AC235,AC251)</f>
        <v>#DIV/0!</v>
      </c>
      <c r="AB89" s="204" t="e">
        <f>(AB100*AD100+AB123*AD123+AB139*AD139+AB155*AD155+AB171*AD171+AB187*AD187+AB203*AD203+AB219*AD219+AB235*AD235+AB251*AD251)/SUM(AD100,AD123,AD139,AD155,AD171,AD187,AD203,AD219,AD235,AD251)</f>
        <v>#DIV/0!</v>
      </c>
      <c r="AC89" s="201">
        <f>AC100+AC123+AC139+AC155+AC171+AC187+AC203+AC219+AC235+AC251</f>
        <v>0</v>
      </c>
      <c r="AD89" s="205">
        <f>AD100+AD123+AD139+AD155+AD171+AD187+AD203+AD219+AD235+AD251</f>
        <v>0</v>
      </c>
      <c r="AE89" s="204" t="e">
        <f>(AE100*AG100+AE123*AG123+AE139*AG139+AE155*AG155+AE171*AG171+AE187*AG187+AE203*AG203+AE219*AG219+AE235*AG235+AE251*AG251)/SUM(AG100,AG123,AG139,AG155,AG171,AG187,AG203,AG219,AG235,AG251)</f>
        <v>#DIV/0!</v>
      </c>
      <c r="AF89" s="204" t="e">
        <f>(AF100*AH100+AF123*AH123+AF139*AH139+AF155*AH155+AF171*AH171+AF187*AH187+AF203*AH203+AF219*AH219+AF235*AH235+AF251*AH251)/SUM(AH100,AH123,AH139,AH155,AH171,AH187,AH203,AH219,AH235,AH251)</f>
        <v>#DIV/0!</v>
      </c>
      <c r="AG89" s="201">
        <f>AG100+AG123+AG139+AG155+AG171+AG187+AG203+AG219+AG235+AG251</f>
        <v>0</v>
      </c>
      <c r="AH89" s="205">
        <f>AH100+AH123+AH139+AH155+AH171+AH187+AH203+AH219+AH235+AH251</f>
        <v>0</v>
      </c>
      <c r="AI89" s="55"/>
    </row>
    <row r="90" spans="1:35" ht="13.5" customHeight="1" thickBot="1">
      <c r="B90" s="196"/>
      <c r="C90" s="197"/>
      <c r="D90" s="198" t="s">
        <v>590</v>
      </c>
      <c r="E90" s="46"/>
      <c r="F90" s="199">
        <f>F106+F129+F145+F161+F177+F193+F209+F225+F241+F257</f>
        <v>1.3008705701760002</v>
      </c>
      <c r="G90" s="199">
        <f>G106+G129+G145+G161+G177+G193+G209+G225+G241+G257</f>
        <v>0</v>
      </c>
      <c r="H90" s="200" t="e">
        <f t="shared" ref="H90:I92" si="0">(H106*$J106+H129*$J129+H145*$J145+H161*$J161+H177*$J177+H193*$J193+H209*$J209+H225*$J225+H241*$J241+H257*$J257)/SUM($J106,$J129,$J145,$J161,$J177,$J193,$J209,$J225,$J241,$J257)</f>
        <v>#DIV/0!</v>
      </c>
      <c r="I90" s="200" t="e">
        <f t="shared" si="0"/>
        <v>#DIV/0!</v>
      </c>
      <c r="J90" s="201">
        <f>J106+J129+J145+J161+J177+J193+J209+J225+J241+J257</f>
        <v>0</v>
      </c>
      <c r="K90" s="202">
        <f>K106+K129+K145+K161+K177+K193+K209+K225+K241+K257</f>
        <v>0</v>
      </c>
      <c r="L90" s="51"/>
      <c r="M90" s="171"/>
      <c r="N90" s="206"/>
      <c r="O90" s="204" t="e">
        <f t="shared" ref="O90:P92" si="1">(O106*Q106+O129*Q129+O145*Q145+O161*Q161+O177*Q177+O193*Q193+O209*Q209+O225*Q225+O241*Q241+O257*Q257)/SUM(Q106,Q129,Q145,Q161,Q177,Q193,Q209,Q225,Q241,Q257)</f>
        <v>#DIV/0!</v>
      </c>
      <c r="P90" s="204" t="e">
        <f t="shared" si="1"/>
        <v>#DIV/0!</v>
      </c>
      <c r="Q90" s="201">
        <f>Q106+Q129+Q145+Q161+Q177+Q193+Q209+Q225+Q241+Q257</f>
        <v>0</v>
      </c>
      <c r="R90" s="205">
        <f>R106+R129+R145+R161+R177+R193+R209+R225+R241+R257</f>
        <v>0</v>
      </c>
      <c r="S90" s="204" t="e">
        <f t="shared" ref="S90:T92" si="2">(S106*U106+S129*U129+S145*U145+S161*U161+S177*U177+S193*U193+S209*U209+S225*U225+S241*U241+S257*U257)/SUM(U106,U129,U145,U161,U177,U193,U209,U225,U241,U257)</f>
        <v>#DIV/0!</v>
      </c>
      <c r="T90" s="204" t="e">
        <f t="shared" si="2"/>
        <v>#DIV/0!</v>
      </c>
      <c r="U90" s="201">
        <f>U106+U129+U145+U161+U177+U193+U209+U225+U241+U257</f>
        <v>0</v>
      </c>
      <c r="V90" s="205">
        <f>V106+V129+V145+V161+V177+V193+V209+V225+V241+V257</f>
        <v>0</v>
      </c>
      <c r="W90" s="204" t="e">
        <f t="shared" ref="W90:X92" si="3">(W106*Y106+W129*Y129+W145*Y145+W161*Y161+W177*Y177+W193*Y193+W209*Y209+W225*Y225+W241*Y241+W257*Y257)/SUM(Y106,Y129,Y145,Y161,Y177,Y193,Y209,Y225,Y241,Y257)</f>
        <v>#DIV/0!</v>
      </c>
      <c r="X90" s="204" t="e">
        <f t="shared" si="3"/>
        <v>#DIV/0!</v>
      </c>
      <c r="Y90" s="201">
        <f>Y106+Y129+Y145+Y161+Y177+Y193+Y209+Y225+Y241+Y257</f>
        <v>0</v>
      </c>
      <c r="Z90" s="205">
        <f>Z106+Z129+Z145+Z161+Z177+Z193+Z209+Z225+Z241+Z257</f>
        <v>0</v>
      </c>
      <c r="AA90" s="204" t="e">
        <f t="shared" ref="AA90:AB92" si="4">(AA106*AC106+AA129*AC129+AA145*AC145+AA161*AC161+AA177*AC177+AA193*AC193+AA209*AC209+AA225*AC225+AA241*AC241+AA257*AC257)/SUM(AC106,AC129,AC145,AC161,AC177,AC193,AC209,AC225,AC241,AC257)</f>
        <v>#DIV/0!</v>
      </c>
      <c r="AB90" s="204" t="e">
        <f t="shared" si="4"/>
        <v>#DIV/0!</v>
      </c>
      <c r="AC90" s="201">
        <f>AC106+AC129+AC145+AC161+AC177+AC193+AC209+AC225+AC241+AC257</f>
        <v>0</v>
      </c>
      <c r="AD90" s="205">
        <f>AD106+AD129+AD145+AD161+AD177+AD193+AD209+AD225+AD241+AD257</f>
        <v>0</v>
      </c>
      <c r="AE90" s="204" t="e">
        <f t="shared" ref="AE90:AF92" si="5">(AE106*AG106+AE129*AG129+AE145*AG145+AE161*AG161+AE177*AG177+AE193*AG193+AE209*AG209+AE225*AG225+AE241*AG241+AE257*AG257)/SUM(AG106,AG129,AG145,AG161,AG177,AG193,AG209,AG225,AG241,AG257)</f>
        <v>#DIV/0!</v>
      </c>
      <c r="AF90" s="204" t="e">
        <f t="shared" si="5"/>
        <v>#DIV/0!</v>
      </c>
      <c r="AG90" s="201">
        <f>AG106+AG129+AG145+AG161+AG177+AG193+AG209+AG225+AG241+AG257</f>
        <v>0</v>
      </c>
      <c r="AH90" s="205">
        <f>AH106+AH129+AH145+AH161+AH177+AH193+AH209+AH225+AH241+AH257</f>
        <v>0</v>
      </c>
      <c r="AI90" s="57"/>
    </row>
    <row r="91" spans="1:35" ht="13.5" customHeight="1">
      <c r="B91" s="196"/>
      <c r="C91" s="197"/>
      <c r="D91" s="207" t="s">
        <v>591</v>
      </c>
      <c r="E91" s="33"/>
      <c r="F91" s="208">
        <f>F107+F130+F146+F162+F178+F194+F210+F226+F242+F258</f>
        <v>0</v>
      </c>
      <c r="G91" s="208">
        <f>G107+G130+G146+G162+G178+G194+G210+G226+G242+G258</f>
        <v>0</v>
      </c>
      <c r="H91" s="209" t="e">
        <f t="shared" si="0"/>
        <v>#DIV/0!</v>
      </c>
      <c r="I91" s="209" t="e">
        <f t="shared" si="0"/>
        <v>#DIV/0!</v>
      </c>
      <c r="J91" s="210">
        <f>J107+J130+J146+J162+J178+J194+J210+J226+J242+J258</f>
        <v>0</v>
      </c>
      <c r="K91" s="211">
        <f>K107+K130+K146+K162+K178+K194+K210+K226+K242+K258</f>
        <v>0</v>
      </c>
      <c r="L91" s="51"/>
      <c r="M91" s="171"/>
      <c r="N91" s="212"/>
      <c r="O91" s="213" t="e">
        <f t="shared" si="1"/>
        <v>#DIV/0!</v>
      </c>
      <c r="P91" s="214" t="e">
        <f t="shared" si="1"/>
        <v>#DIV/0!</v>
      </c>
      <c r="Q91" s="210">
        <f>Q107+Q130+Q146+Q162+Q178+Q194+Q210+Q226+Q242+Q258</f>
        <v>0</v>
      </c>
      <c r="R91" s="215">
        <f>R107+R130+R146+R162+R178+R194+R210+R226+R242+R258</f>
        <v>0</v>
      </c>
      <c r="S91" s="213" t="e">
        <f t="shared" si="2"/>
        <v>#DIV/0!</v>
      </c>
      <c r="T91" s="214" t="e">
        <f t="shared" si="2"/>
        <v>#DIV/0!</v>
      </c>
      <c r="U91" s="210">
        <f>U107+U130+U146+U162+U178+U194+U210+U226+U242+U258</f>
        <v>0</v>
      </c>
      <c r="V91" s="215">
        <f>V107+V130+V146+V162+V178+V194+V210+V226+V242+V258</f>
        <v>0</v>
      </c>
      <c r="W91" s="213" t="e">
        <f t="shared" si="3"/>
        <v>#DIV/0!</v>
      </c>
      <c r="X91" s="214" t="e">
        <f t="shared" si="3"/>
        <v>#DIV/0!</v>
      </c>
      <c r="Y91" s="210">
        <f>Y107+Y130+Y146+Y162+Y178+Y194+Y210+Y226+Y242+Y258</f>
        <v>0</v>
      </c>
      <c r="Z91" s="215">
        <f>Z107+Z130+Z146+Z162+Z178+Z194+Z210+Z226+Z242+Z258</f>
        <v>0</v>
      </c>
      <c r="AA91" s="213" t="e">
        <f t="shared" si="4"/>
        <v>#DIV/0!</v>
      </c>
      <c r="AB91" s="214" t="e">
        <f t="shared" si="4"/>
        <v>#DIV/0!</v>
      </c>
      <c r="AC91" s="210">
        <f>AC107+AC130+AC146+AC162+AC178+AC194+AC210+AC226+AC242+AC258</f>
        <v>0</v>
      </c>
      <c r="AD91" s="215">
        <f>AD107+AD130+AD146+AD162+AD178+AD194+AD210+AD226+AD242+AD258</f>
        <v>0</v>
      </c>
      <c r="AE91" s="213" t="e">
        <f t="shared" si="5"/>
        <v>#DIV/0!</v>
      </c>
      <c r="AF91" s="214" t="e">
        <f t="shared" si="5"/>
        <v>#DIV/0!</v>
      </c>
      <c r="AG91" s="210">
        <f>AG107+AG130+AG146+AG162+AG178+AG194+AG210+AG226+AG242+AG258</f>
        <v>0</v>
      </c>
      <c r="AH91" s="215">
        <f>AH107+AH130+AH146+AH162+AH178+AH194+AH210+AH226+AH242+AH258</f>
        <v>0</v>
      </c>
      <c r="AI91" s="67"/>
    </row>
    <row r="92" spans="1:35" ht="13.5" customHeight="1" thickBot="1">
      <c r="B92" s="196"/>
      <c r="C92" s="197"/>
      <c r="D92" s="68" t="s">
        <v>592</v>
      </c>
      <c r="E92" s="46"/>
      <c r="F92" s="70">
        <f>SUM(F88:F91)</f>
        <v>10001.703458944809</v>
      </c>
      <c r="G92" s="70">
        <f>SUM(G88:G91)</f>
        <v>0</v>
      </c>
      <c r="H92" s="216" t="e">
        <f t="shared" si="0"/>
        <v>#DIV/0!</v>
      </c>
      <c r="I92" s="180" t="e">
        <f t="shared" si="0"/>
        <v>#DIV/0!</v>
      </c>
      <c r="J92" s="217">
        <f>SUM(J88:J91)</f>
        <v>10000.402588374633</v>
      </c>
      <c r="K92" s="218">
        <f>SUM(K88:K91)</f>
        <v>231.51753006112975</v>
      </c>
      <c r="L92" s="219">
        <f>SUM(L108,L131,L147,L163,L179,L195,L211,L227,L243,L259)</f>
        <v>0</v>
      </c>
      <c r="M92" s="56"/>
      <c r="N92" s="220"/>
      <c r="O92" s="221" t="e">
        <f t="shared" si="1"/>
        <v>#DIV/0!</v>
      </c>
      <c r="P92" s="204" t="e">
        <f t="shared" si="1"/>
        <v>#DIV/0!</v>
      </c>
      <c r="Q92" s="222">
        <f>SUM(Q88:Q91)</f>
        <v>0</v>
      </c>
      <c r="R92" s="223">
        <f>SUM(R88:R91)</f>
        <v>0</v>
      </c>
      <c r="S92" s="221" t="e">
        <f t="shared" si="2"/>
        <v>#DIV/0!</v>
      </c>
      <c r="T92" s="204" t="e">
        <f t="shared" si="2"/>
        <v>#DIV/0!</v>
      </c>
      <c r="U92" s="222">
        <f>SUM(U88:U91)</f>
        <v>0</v>
      </c>
      <c r="V92" s="223">
        <f>SUM(V88:V91)</f>
        <v>0</v>
      </c>
      <c r="W92" s="221" t="e">
        <f t="shared" si="3"/>
        <v>#DIV/0!</v>
      </c>
      <c r="X92" s="204" t="e">
        <f t="shared" si="3"/>
        <v>#DIV/0!</v>
      </c>
      <c r="Y92" s="222">
        <f>SUM(Y88:Y91)</f>
        <v>0</v>
      </c>
      <c r="Z92" s="223">
        <f>SUM(Z88:Z91)</f>
        <v>0</v>
      </c>
      <c r="AA92" s="221" t="e">
        <f t="shared" si="4"/>
        <v>#DIV/0!</v>
      </c>
      <c r="AB92" s="204" t="e">
        <f t="shared" si="4"/>
        <v>#DIV/0!</v>
      </c>
      <c r="AC92" s="222">
        <f>SUM(AC88:AC91)</f>
        <v>0</v>
      </c>
      <c r="AD92" s="223">
        <f>SUM(AD88:AD91)</f>
        <v>0</v>
      </c>
      <c r="AE92" s="221" t="e">
        <f t="shared" si="5"/>
        <v>#DIV/0!</v>
      </c>
      <c r="AF92" s="204" t="e">
        <f t="shared" si="5"/>
        <v>#DIV/0!</v>
      </c>
      <c r="AG92" s="222">
        <f>SUM(AG88:AG91)</f>
        <v>0</v>
      </c>
      <c r="AH92" s="223">
        <f>SUM(AH88:AH91)</f>
        <v>0</v>
      </c>
      <c r="AI92" s="78"/>
    </row>
    <row r="93" spans="1:35" ht="13.5" customHeight="1">
      <c r="B93" s="196"/>
      <c r="C93" s="197"/>
      <c r="D93" s="68" t="s">
        <v>608</v>
      </c>
      <c r="E93" s="46"/>
      <c r="F93" s="70">
        <f>F109+F132+F148+F164+F180+F196+F212+F228+F244+F260</f>
        <v>0</v>
      </c>
      <c r="G93" s="70">
        <f>G109+G132+G148+G164+G180+G196+G212+G228+G244+G260</f>
        <v>0</v>
      </c>
      <c r="H93" s="81"/>
      <c r="I93" s="82"/>
      <c r="J93" s="224"/>
      <c r="K93" s="225"/>
      <c r="L93" s="51"/>
      <c r="M93" s="51"/>
      <c r="N93" s="85"/>
      <c r="O93" s="86"/>
      <c r="P93" s="82"/>
      <c r="Q93" s="83"/>
      <c r="R93" s="87"/>
      <c r="S93" s="86"/>
      <c r="T93" s="82"/>
      <c r="U93" s="83"/>
      <c r="V93" s="87"/>
      <c r="W93" s="86"/>
      <c r="X93" s="82"/>
      <c r="Y93" s="83"/>
      <c r="Z93" s="87"/>
      <c r="AA93" s="86"/>
      <c r="AB93" s="82"/>
      <c r="AC93" s="83"/>
      <c r="AD93" s="87"/>
      <c r="AE93" s="86"/>
      <c r="AF93" s="82"/>
      <c r="AG93" s="83"/>
      <c r="AH93" s="87"/>
      <c r="AI93" s="57"/>
    </row>
    <row r="94" spans="1:35" ht="13.5" customHeight="1" thickBot="1">
      <c r="B94" s="196"/>
      <c r="C94" s="197"/>
      <c r="D94" s="226" t="s">
        <v>594</v>
      </c>
      <c r="E94" s="59"/>
      <c r="F94" s="208">
        <f>F110+F133+F149+F165+F181+F197+F213+F229+F245+F261</f>
        <v>0</v>
      </c>
      <c r="G94" s="208">
        <f>G110+G133+G149+G165+G181+G197+G213+G229+G245+G261</f>
        <v>0</v>
      </c>
      <c r="H94" s="91"/>
      <c r="I94" s="92"/>
      <c r="J94" s="93"/>
      <c r="K94" s="94"/>
      <c r="L94" s="51"/>
      <c r="M94" s="51"/>
      <c r="N94" s="85"/>
      <c r="O94" s="95"/>
      <c r="P94" s="92"/>
      <c r="Q94" s="93"/>
      <c r="R94" s="96"/>
      <c r="S94" s="95"/>
      <c r="T94" s="92"/>
      <c r="U94" s="93"/>
      <c r="V94" s="96"/>
      <c r="W94" s="95"/>
      <c r="X94" s="92"/>
      <c r="Y94" s="93"/>
      <c r="Z94" s="96"/>
      <c r="AA94" s="95"/>
      <c r="AB94" s="92"/>
      <c r="AC94" s="93"/>
      <c r="AD94" s="96"/>
      <c r="AE94" s="95"/>
      <c r="AF94" s="92"/>
      <c r="AG94" s="93"/>
      <c r="AH94" s="96"/>
      <c r="AI94" s="57"/>
    </row>
    <row r="95" spans="1:35" ht="13.5" customHeight="1">
      <c r="B95" s="227" t="s">
        <v>609</v>
      </c>
      <c r="C95" s="228"/>
      <c r="D95" s="32" t="s">
        <v>598</v>
      </c>
      <c r="E95" s="33"/>
      <c r="F95" s="117">
        <f>SUM(F96:F99)</f>
        <v>0</v>
      </c>
      <c r="G95" s="117">
        <f>SUM(G96:G99)</f>
        <v>0</v>
      </c>
      <c r="H95" s="186" t="e">
        <f>SUMPRODUCT(H96:H99,$J96:$J99)/SUM(J96:J99)</f>
        <v>#DIV/0!</v>
      </c>
      <c r="I95" s="119" t="e">
        <f>SUMPRODUCT(J96:J99,$I96:$I99)/SUM(J96:J99)</f>
        <v>#DIV/0!</v>
      </c>
      <c r="J95" s="120">
        <f>SUM(J96:J99)</f>
        <v>0</v>
      </c>
      <c r="K95" s="121">
        <f>SUM(K96:K99)</f>
        <v>0</v>
      </c>
      <c r="L95" s="122"/>
      <c r="M95" s="123"/>
      <c r="N95" s="548"/>
      <c r="O95" s="124" t="e">
        <f>SUMPRODUCT(O96:O99,Q96:Q99)/SUM(Q96:Q99)</f>
        <v>#DIV/0!</v>
      </c>
      <c r="P95" s="119" t="e">
        <f>SUMPRODUCT(Q96:Q99,$P96:$P99)/SUM(Q96:Q99)</f>
        <v>#DIV/0!</v>
      </c>
      <c r="Q95" s="125">
        <f>SUM(Q96:Q99)</f>
        <v>0</v>
      </c>
      <c r="R95" s="126">
        <f>SUM(R96:R99)</f>
        <v>0</v>
      </c>
      <c r="S95" s="124" t="e">
        <f>SUMPRODUCT(S96:S99,U96:U99)/SUM(U96:U99)</f>
        <v>#DIV/0!</v>
      </c>
      <c r="T95" s="119" t="e">
        <f>SUMPRODUCT(U96:U99,$T96:$T99)/SUM(U96:U99)</f>
        <v>#DIV/0!</v>
      </c>
      <c r="U95" s="125">
        <f>SUM(U96:U99)</f>
        <v>0</v>
      </c>
      <c r="V95" s="126">
        <f>SUM(V96:V99)</f>
        <v>0</v>
      </c>
      <c r="W95" s="124" t="e">
        <f>SUMPRODUCT(W96:W99,Y96:Y99)/SUM(Y96:Y99)</f>
        <v>#DIV/0!</v>
      </c>
      <c r="X95" s="119" t="e">
        <f>SUMPRODUCT(Y96:Y99,$X96:$X99)/SUM(Y96:Y99)</f>
        <v>#DIV/0!</v>
      </c>
      <c r="Y95" s="125">
        <f>SUM(Y96:Y99)</f>
        <v>0</v>
      </c>
      <c r="Z95" s="126">
        <f>SUM(Z96:Z99)</f>
        <v>0</v>
      </c>
      <c r="AA95" s="124" t="e">
        <f>SUMPRODUCT(AA96:AA99,AC96:AC99)/SUM(AC96:AC99)</f>
        <v>#DIV/0!</v>
      </c>
      <c r="AB95" s="119" t="e">
        <f>SUMPRODUCT(AC96:AC99,$AB96:$AB99)/SUM(AC96:AC99)</f>
        <v>#DIV/0!</v>
      </c>
      <c r="AC95" s="125">
        <f>SUM(AC96:AC99)</f>
        <v>0</v>
      </c>
      <c r="AD95" s="126">
        <f>SUM(AD96:AD99)</f>
        <v>0</v>
      </c>
      <c r="AE95" s="124" t="e">
        <f>SUMPRODUCT(AE96:AE99,AG96:AG99)/SUM(AG96:AG99)</f>
        <v>#DIV/0!</v>
      </c>
      <c r="AF95" s="119" t="e">
        <f>SUMPRODUCT(AG96:AG99,$AF96:$AF99)/SUM(AG96:AG99)</f>
        <v>#DIV/0!</v>
      </c>
      <c r="AG95" s="125">
        <f>SUM(AG96:AG99)</f>
        <v>0</v>
      </c>
      <c r="AH95" s="126">
        <f>SUM(AH96:AH99)</f>
        <v>0</v>
      </c>
      <c r="AI95" s="229"/>
    </row>
    <row r="96" spans="1:35" s="154" customFormat="1" ht="13.15" customHeight="1" outlineLevel="1">
      <c r="A96" s="142"/>
      <c r="B96" s="230" t="s">
        <v>610</v>
      </c>
      <c r="C96" s="231"/>
      <c r="D96" s="129" t="s">
        <v>599</v>
      </c>
      <c r="E96" s="46"/>
      <c r="F96" s="144"/>
      <c r="G96" s="144"/>
      <c r="H96" s="145"/>
      <c r="I96" s="146"/>
      <c r="J96" s="147"/>
      <c r="K96" s="148"/>
      <c r="L96" s="149"/>
      <c r="M96" s="136"/>
      <c r="N96" s="549"/>
      <c r="O96" s="137"/>
      <c r="P96" s="133"/>
      <c r="Q96" s="138"/>
      <c r="R96" s="139"/>
      <c r="S96" s="137"/>
      <c r="T96" s="133"/>
      <c r="U96" s="138"/>
      <c r="V96" s="139"/>
      <c r="W96" s="137"/>
      <c r="X96" s="133"/>
      <c r="Y96" s="138"/>
      <c r="Z96" s="139"/>
      <c r="AA96" s="137"/>
      <c r="AB96" s="133"/>
      <c r="AC96" s="138"/>
      <c r="AD96" s="139"/>
      <c r="AE96" s="137"/>
      <c r="AF96" s="133"/>
      <c r="AG96" s="138"/>
      <c r="AH96" s="139"/>
      <c r="AI96" s="153"/>
    </row>
    <row r="97" spans="1:35" s="154" customFormat="1" ht="13.15" customHeight="1" outlineLevel="1">
      <c r="A97" s="142"/>
      <c r="B97" s="143"/>
      <c r="C97" s="231"/>
      <c r="D97" s="129" t="s">
        <v>600</v>
      </c>
      <c r="E97" s="46"/>
      <c r="F97" s="144"/>
      <c r="G97" s="144"/>
      <c r="H97" s="145"/>
      <c r="I97" s="146"/>
      <c r="J97" s="147"/>
      <c r="K97" s="148"/>
      <c r="L97" s="149"/>
      <c r="M97" s="136"/>
      <c r="N97" s="549"/>
      <c r="O97" s="137"/>
      <c r="P97" s="133"/>
      <c r="Q97" s="138"/>
      <c r="R97" s="139"/>
      <c r="S97" s="137"/>
      <c r="T97" s="133"/>
      <c r="U97" s="138"/>
      <c r="V97" s="139"/>
      <c r="W97" s="137"/>
      <c r="X97" s="133"/>
      <c r="Y97" s="138"/>
      <c r="Z97" s="139"/>
      <c r="AA97" s="137"/>
      <c r="AB97" s="133"/>
      <c r="AC97" s="138"/>
      <c r="AD97" s="139"/>
      <c r="AE97" s="137"/>
      <c r="AF97" s="133"/>
      <c r="AG97" s="138"/>
      <c r="AH97" s="139"/>
      <c r="AI97" s="153"/>
    </row>
    <row r="98" spans="1:35" s="154" customFormat="1" ht="13.15" customHeight="1" outlineLevel="1">
      <c r="A98" s="142"/>
      <c r="B98" s="143"/>
      <c r="C98" s="231"/>
      <c r="D98" s="129" t="s">
        <v>601</v>
      </c>
      <c r="E98" s="46"/>
      <c r="F98" s="144"/>
      <c r="G98" s="144"/>
      <c r="H98" s="145"/>
      <c r="I98" s="146"/>
      <c r="J98" s="147"/>
      <c r="K98" s="148"/>
      <c r="L98" s="149"/>
      <c r="M98" s="136"/>
      <c r="N98" s="549"/>
      <c r="O98" s="150"/>
      <c r="P98" s="146"/>
      <c r="Q98" s="151"/>
      <c r="R98" s="152"/>
      <c r="S98" s="150"/>
      <c r="T98" s="146"/>
      <c r="U98" s="151"/>
      <c r="V98" s="152"/>
      <c r="W98" s="150"/>
      <c r="X98" s="146"/>
      <c r="Y98" s="151"/>
      <c r="Z98" s="152"/>
      <c r="AA98" s="150"/>
      <c r="AB98" s="146"/>
      <c r="AC98" s="151"/>
      <c r="AD98" s="152"/>
      <c r="AE98" s="150"/>
      <c r="AF98" s="146"/>
      <c r="AG98" s="151"/>
      <c r="AH98" s="152"/>
      <c r="AI98" s="153"/>
    </row>
    <row r="99" spans="1:35" s="154" customFormat="1" ht="13.15" customHeight="1" outlineLevel="1">
      <c r="A99" s="142"/>
      <c r="B99" s="143"/>
      <c r="C99" s="231"/>
      <c r="D99" s="129" t="s">
        <v>602</v>
      </c>
      <c r="E99" s="46"/>
      <c r="F99" s="144"/>
      <c r="G99" s="144"/>
      <c r="H99" s="145"/>
      <c r="I99" s="146"/>
      <c r="J99" s="147"/>
      <c r="K99" s="148"/>
      <c r="L99" s="149"/>
      <c r="M99" s="136"/>
      <c r="N99" s="549"/>
      <c r="O99" s="150"/>
      <c r="P99" s="146"/>
      <c r="Q99" s="151"/>
      <c r="R99" s="152"/>
      <c r="S99" s="150"/>
      <c r="T99" s="146"/>
      <c r="U99" s="151"/>
      <c r="V99" s="152"/>
      <c r="W99" s="150"/>
      <c r="X99" s="146"/>
      <c r="Y99" s="151"/>
      <c r="Z99" s="152"/>
      <c r="AA99" s="150"/>
      <c r="AB99" s="146"/>
      <c r="AC99" s="151"/>
      <c r="AD99" s="152"/>
      <c r="AE99" s="150"/>
      <c r="AF99" s="146"/>
      <c r="AG99" s="151"/>
      <c r="AH99" s="152"/>
      <c r="AI99" s="153"/>
    </row>
    <row r="100" spans="1:35" ht="13.5" customHeight="1">
      <c r="B100" s="232"/>
      <c r="C100" s="233"/>
      <c r="D100" s="45" t="s">
        <v>603</v>
      </c>
      <c r="E100" s="46"/>
      <c r="F100" s="155">
        <f>SUM(F101:F105)</f>
        <v>0</v>
      </c>
      <c r="G100" s="155">
        <f>SUM(G101:G105)</f>
        <v>0</v>
      </c>
      <c r="H100" s="156" t="e">
        <f>SUMPRODUCT(H101:H105,$J101:$J105)/SUM(J101:J105)</f>
        <v>#DIV/0!</v>
      </c>
      <c r="I100" s="157" t="e">
        <f>SUMPRODUCT(J101:J105,$I101:$I105)/SUM(J101:J105)</f>
        <v>#DIV/0!</v>
      </c>
      <c r="J100" s="158">
        <f>SUM(J101:J105)</f>
        <v>0</v>
      </c>
      <c r="K100" s="159">
        <f>SUM(K101:K105)</f>
        <v>0</v>
      </c>
      <c r="L100" s="122"/>
      <c r="M100" s="123"/>
      <c r="N100" s="549"/>
      <c r="O100" s="160" t="e">
        <f>SUMPRODUCT(O101:O105,Q101:Q105)/SUM(Q101:Q105)</f>
        <v>#DIV/0!</v>
      </c>
      <c r="P100" s="157" t="e">
        <f>SUMPRODUCT(Q101:Q105,$P101:$P105)/SUM(Q101:Q105)</f>
        <v>#DIV/0!</v>
      </c>
      <c r="Q100" s="161">
        <f>SUM(Q101:Q105)</f>
        <v>0</v>
      </c>
      <c r="R100" s="162">
        <f>SUM(R101:R105)</f>
        <v>0</v>
      </c>
      <c r="S100" s="160" t="e">
        <f>SUMPRODUCT(S101:S105,U101:U105)/SUM(U101:U105)</f>
        <v>#DIV/0!</v>
      </c>
      <c r="T100" s="157" t="e">
        <f>SUMPRODUCT(U101:U105,$T101:$T105)/SUM(U101:U105)</f>
        <v>#DIV/0!</v>
      </c>
      <c r="U100" s="161">
        <f>SUM(U101:U105)</f>
        <v>0</v>
      </c>
      <c r="V100" s="162">
        <f>SUM(V101:V105)</f>
        <v>0</v>
      </c>
      <c r="W100" s="160" t="e">
        <f>SUMPRODUCT(W101:W105,Y101:Y105)/SUM(Y101:Y105)</f>
        <v>#DIV/0!</v>
      </c>
      <c r="X100" s="157" t="e">
        <f>SUMPRODUCT(Y101:Y105,$X101:$X105)/SUM(Y101:Y105)</f>
        <v>#DIV/0!</v>
      </c>
      <c r="Y100" s="161">
        <f>SUM(Y101:Y105)</f>
        <v>0</v>
      </c>
      <c r="Z100" s="162">
        <f>SUM(Z101:Z105)</f>
        <v>0</v>
      </c>
      <c r="AA100" s="160" t="e">
        <f>SUMPRODUCT(AA101:AA105,AC101:AC105)/SUM(AC101:AC105)</f>
        <v>#DIV/0!</v>
      </c>
      <c r="AB100" s="157" t="e">
        <f>SUMPRODUCT(AC101:AC105,$AB101:$AB105)/SUM(AC101:AC105)</f>
        <v>#DIV/0!</v>
      </c>
      <c r="AC100" s="161">
        <f>SUM(AC101:AC105)</f>
        <v>0</v>
      </c>
      <c r="AD100" s="162">
        <f>SUM(AD101:AD105)</f>
        <v>0</v>
      </c>
      <c r="AE100" s="160" t="e">
        <f>SUMPRODUCT(AE101:AE105,AG101:AG105)/SUM(AG101:AG105)</f>
        <v>#DIV/0!</v>
      </c>
      <c r="AF100" s="157" t="e">
        <f>SUMPRODUCT(AG101:AG105,$AF101:$AF105)/SUM(AG101:AG105)</f>
        <v>#DIV/0!</v>
      </c>
      <c r="AG100" s="161">
        <f>SUM(AG101:AG105)</f>
        <v>0</v>
      </c>
      <c r="AH100" s="162">
        <f>SUM(AH101:AH105)</f>
        <v>0</v>
      </c>
      <c r="AI100" s="234"/>
    </row>
    <row r="101" spans="1:35" s="154" customFormat="1" ht="13.15" customHeight="1" outlineLevel="1">
      <c r="A101" s="142"/>
      <c r="B101" s="143"/>
      <c r="C101" s="231"/>
      <c r="D101" s="129" t="s">
        <v>604</v>
      </c>
      <c r="E101" s="46"/>
      <c r="F101" s="144"/>
      <c r="G101" s="144"/>
      <c r="H101" s="145"/>
      <c r="I101" s="146"/>
      <c r="J101" s="147"/>
      <c r="K101" s="148"/>
      <c r="L101" s="149"/>
      <c r="M101" s="136"/>
      <c r="N101" s="549"/>
      <c r="O101" s="137"/>
      <c r="P101" s="133"/>
      <c r="Q101" s="138"/>
      <c r="R101" s="139"/>
      <c r="S101" s="137"/>
      <c r="T101" s="133"/>
      <c r="U101" s="138"/>
      <c r="V101" s="139"/>
      <c r="W101" s="137"/>
      <c r="X101" s="133"/>
      <c r="Y101" s="138"/>
      <c r="Z101" s="139"/>
      <c r="AA101" s="137"/>
      <c r="AB101" s="133"/>
      <c r="AC101" s="138"/>
      <c r="AD101" s="139"/>
      <c r="AE101" s="137"/>
      <c r="AF101" s="133"/>
      <c r="AG101" s="138"/>
      <c r="AH101" s="139"/>
      <c r="AI101" s="153"/>
    </row>
    <row r="102" spans="1:35" s="154" customFormat="1" ht="13.15" customHeight="1" outlineLevel="1">
      <c r="A102" s="142"/>
      <c r="B102" s="143"/>
      <c r="C102" s="231"/>
      <c r="D102" s="129" t="s">
        <v>599</v>
      </c>
      <c r="E102" s="46"/>
      <c r="F102" s="144"/>
      <c r="G102" s="144"/>
      <c r="H102" s="145"/>
      <c r="I102" s="146"/>
      <c r="J102" s="147"/>
      <c r="K102" s="148"/>
      <c r="L102" s="149"/>
      <c r="M102" s="136"/>
      <c r="N102" s="549"/>
      <c r="O102" s="137"/>
      <c r="P102" s="133"/>
      <c r="Q102" s="138"/>
      <c r="R102" s="139"/>
      <c r="S102" s="137"/>
      <c r="T102" s="133"/>
      <c r="U102" s="138"/>
      <c r="V102" s="139"/>
      <c r="W102" s="137"/>
      <c r="X102" s="133"/>
      <c r="Y102" s="138"/>
      <c r="Z102" s="139"/>
      <c r="AA102" s="137"/>
      <c r="AB102" s="133"/>
      <c r="AC102" s="138"/>
      <c r="AD102" s="139"/>
      <c r="AE102" s="137"/>
      <c r="AF102" s="133"/>
      <c r="AG102" s="138"/>
      <c r="AH102" s="139"/>
      <c r="AI102" s="153"/>
    </row>
    <row r="103" spans="1:35" s="154" customFormat="1" ht="13.15" customHeight="1" outlineLevel="1">
      <c r="A103" s="142"/>
      <c r="B103" s="143"/>
      <c r="C103" s="231"/>
      <c r="D103" s="129" t="s">
        <v>600</v>
      </c>
      <c r="E103" s="46"/>
      <c r="F103" s="144"/>
      <c r="G103" s="144"/>
      <c r="H103" s="145"/>
      <c r="I103" s="146"/>
      <c r="J103" s="147"/>
      <c r="K103" s="148"/>
      <c r="L103" s="149"/>
      <c r="M103" s="136"/>
      <c r="N103" s="549"/>
      <c r="O103" s="150"/>
      <c r="P103" s="146"/>
      <c r="Q103" s="151"/>
      <c r="R103" s="152"/>
      <c r="S103" s="150"/>
      <c r="T103" s="146"/>
      <c r="U103" s="151"/>
      <c r="V103" s="152"/>
      <c r="W103" s="150"/>
      <c r="X103" s="146"/>
      <c r="Y103" s="151"/>
      <c r="Z103" s="152"/>
      <c r="AA103" s="150"/>
      <c r="AB103" s="146"/>
      <c r="AC103" s="151"/>
      <c r="AD103" s="152"/>
      <c r="AE103" s="150"/>
      <c r="AF103" s="146"/>
      <c r="AG103" s="151"/>
      <c r="AH103" s="152"/>
      <c r="AI103" s="153"/>
    </row>
    <row r="104" spans="1:35" s="154" customFormat="1" ht="13.15" customHeight="1" outlineLevel="1">
      <c r="A104" s="142"/>
      <c r="B104" s="143"/>
      <c r="C104" s="231"/>
      <c r="D104" s="129" t="s">
        <v>601</v>
      </c>
      <c r="E104" s="46"/>
      <c r="F104" s="144"/>
      <c r="G104" s="144"/>
      <c r="H104" s="145"/>
      <c r="I104" s="146"/>
      <c r="J104" s="147"/>
      <c r="K104" s="148"/>
      <c r="L104" s="149"/>
      <c r="M104" s="136"/>
      <c r="N104" s="549"/>
      <c r="O104" s="150"/>
      <c r="P104" s="146"/>
      <c r="Q104" s="151"/>
      <c r="R104" s="152"/>
      <c r="S104" s="150"/>
      <c r="T104" s="146"/>
      <c r="U104" s="151"/>
      <c r="V104" s="152"/>
      <c r="W104" s="150"/>
      <c r="X104" s="146"/>
      <c r="Y104" s="151"/>
      <c r="Z104" s="152"/>
      <c r="AA104" s="150"/>
      <c r="AB104" s="146"/>
      <c r="AC104" s="151"/>
      <c r="AD104" s="152"/>
      <c r="AE104" s="150"/>
      <c r="AF104" s="146"/>
      <c r="AG104" s="151"/>
      <c r="AH104" s="152"/>
      <c r="AI104" s="153"/>
    </row>
    <row r="105" spans="1:35" s="154" customFormat="1" ht="13.15" customHeight="1" outlineLevel="1">
      <c r="A105" s="142"/>
      <c r="B105" s="143"/>
      <c r="C105" s="231"/>
      <c r="D105" s="129" t="s">
        <v>602</v>
      </c>
      <c r="E105" s="46"/>
      <c r="F105" s="144"/>
      <c r="G105" s="144"/>
      <c r="H105" s="145"/>
      <c r="I105" s="146"/>
      <c r="J105" s="147"/>
      <c r="K105" s="148"/>
      <c r="L105" s="149"/>
      <c r="M105" s="136"/>
      <c r="N105" s="549"/>
      <c r="O105" s="150"/>
      <c r="P105" s="146"/>
      <c r="Q105" s="151"/>
      <c r="R105" s="152"/>
      <c r="S105" s="150"/>
      <c r="T105" s="146"/>
      <c r="U105" s="151"/>
      <c r="V105" s="152"/>
      <c r="W105" s="150"/>
      <c r="X105" s="146"/>
      <c r="Y105" s="151"/>
      <c r="Z105" s="152"/>
      <c r="AA105" s="150"/>
      <c r="AB105" s="146"/>
      <c r="AC105" s="151"/>
      <c r="AD105" s="152"/>
      <c r="AE105" s="150"/>
      <c r="AF105" s="146"/>
      <c r="AG105" s="151"/>
      <c r="AH105" s="152"/>
      <c r="AI105" s="153"/>
    </row>
    <row r="106" spans="1:35" ht="13.5" customHeight="1">
      <c r="B106" s="232"/>
      <c r="C106" s="233"/>
      <c r="D106" s="45" t="s">
        <v>590</v>
      </c>
      <c r="E106" s="46"/>
      <c r="F106" s="163"/>
      <c r="G106" s="163"/>
      <c r="H106" s="98">
        <v>1</v>
      </c>
      <c r="I106" s="48"/>
      <c r="J106" s="164"/>
      <c r="K106" s="165"/>
      <c r="L106" s="122"/>
      <c r="M106" s="136"/>
      <c r="N106" s="549"/>
      <c r="O106" s="53">
        <v>1</v>
      </c>
      <c r="P106" s="48"/>
      <c r="Q106" s="166"/>
      <c r="R106" s="167"/>
      <c r="S106" s="53">
        <v>1</v>
      </c>
      <c r="T106" s="48"/>
      <c r="U106" s="166"/>
      <c r="V106" s="167"/>
      <c r="W106" s="53">
        <v>1</v>
      </c>
      <c r="X106" s="48"/>
      <c r="Y106" s="166"/>
      <c r="Z106" s="167"/>
      <c r="AA106" s="53">
        <v>1</v>
      </c>
      <c r="AB106" s="48"/>
      <c r="AC106" s="166"/>
      <c r="AD106" s="167"/>
      <c r="AE106" s="53">
        <v>1</v>
      </c>
      <c r="AF106" s="48"/>
      <c r="AG106" s="166"/>
      <c r="AH106" s="167"/>
      <c r="AI106" s="235"/>
    </row>
    <row r="107" spans="1:35" ht="13.5" customHeight="1" thickBot="1">
      <c r="B107" s="232"/>
      <c r="C107" s="233"/>
      <c r="D107" s="58" t="s">
        <v>591</v>
      </c>
      <c r="E107" s="59"/>
      <c r="F107" s="168"/>
      <c r="G107" s="168"/>
      <c r="H107" s="62">
        <v>1</v>
      </c>
      <c r="I107" s="62"/>
      <c r="J107" s="169"/>
      <c r="K107" s="170"/>
      <c r="L107" s="122"/>
      <c r="M107" s="171"/>
      <c r="N107" s="549"/>
      <c r="O107" s="65">
        <v>1</v>
      </c>
      <c r="P107" s="62"/>
      <c r="Q107" s="172"/>
      <c r="R107" s="173"/>
      <c r="S107" s="65">
        <v>1</v>
      </c>
      <c r="T107" s="62"/>
      <c r="U107" s="172"/>
      <c r="V107" s="173"/>
      <c r="W107" s="65">
        <v>1</v>
      </c>
      <c r="X107" s="62"/>
      <c r="Y107" s="172"/>
      <c r="Z107" s="173"/>
      <c r="AA107" s="65">
        <v>1</v>
      </c>
      <c r="AB107" s="62"/>
      <c r="AC107" s="172"/>
      <c r="AD107" s="173"/>
      <c r="AE107" s="65">
        <v>1</v>
      </c>
      <c r="AF107" s="62"/>
      <c r="AG107" s="172"/>
      <c r="AH107" s="173"/>
      <c r="AI107" s="235"/>
    </row>
    <row r="108" spans="1:35" ht="13.5" customHeight="1">
      <c r="B108" s="232"/>
      <c r="C108" s="233"/>
      <c r="D108" s="68" t="s">
        <v>592</v>
      </c>
      <c r="E108" s="112"/>
      <c r="F108" s="174">
        <f>SUM(F95,F100,F106,F107)</f>
        <v>0</v>
      </c>
      <c r="G108" s="174">
        <f>SUM(G95,G100,G106,G107)</f>
        <v>0</v>
      </c>
      <c r="H108" s="175" t="e">
        <f>SUM(H95*$J95,H100*$J100,H106*$J106,H107*$J107)/SUM($J95,$J100,$J106,$J107)</f>
        <v>#DIV/0!</v>
      </c>
      <c r="I108" s="176" t="e">
        <f>SUM(I95*$J95,I100*$J100,I106*$J106,I107*$J107)/SUM($J95,$J100,$J106,$J107)</f>
        <v>#DIV/0!</v>
      </c>
      <c r="J108" s="177">
        <f>SUM(J95,J100,J106,J107)</f>
        <v>0</v>
      </c>
      <c r="K108" s="178">
        <f>SUM(K95,K100,K106,K107)</f>
        <v>0</v>
      </c>
      <c r="L108" s="75"/>
      <c r="M108" s="179"/>
      <c r="N108" s="549"/>
      <c r="O108" s="180" t="e">
        <f>SUM(O95*Q95,O100*Q100,O106*Q106,O107*Q107)/SUM(Q95,Q100,Q106,Q107)</f>
        <v>#DIV/0!</v>
      </c>
      <c r="P108" s="180" t="e">
        <f>SUM(P95*Q95,P100*Q100,P106*Q106,P107*Q107)/SUM(Q95,Q100,Q106,Q107)</f>
        <v>#DIV/0!</v>
      </c>
      <c r="Q108" s="181">
        <f>SUM(Q95,Q100,Q106,Q107)</f>
        <v>0</v>
      </c>
      <c r="R108" s="182">
        <f>SUM(R95,R100,R106,R107)</f>
        <v>0</v>
      </c>
      <c r="S108" s="180" t="e">
        <f>SUM(S95*U95,S100*U100,S106*U106,S107*U107)/SUM(U95,U100,U106,U107)</f>
        <v>#DIV/0!</v>
      </c>
      <c r="T108" s="180" t="e">
        <f>SUM(T95*U95,T100*U100,T106*U106,T107*U107)/SUM(U95,U100,U106,U107)</f>
        <v>#DIV/0!</v>
      </c>
      <c r="U108" s="181">
        <f>SUM(U95,U100,U106,U107)</f>
        <v>0</v>
      </c>
      <c r="V108" s="182">
        <f>SUM(V95,V100,V106,V107)</f>
        <v>0</v>
      </c>
      <c r="W108" s="180" t="e">
        <f>SUM(W95*Y95,W100*Y100,W106*Y106,W107*Y107)/SUM(Y95,Y100,Y106,Y107)</f>
        <v>#DIV/0!</v>
      </c>
      <c r="X108" s="180" t="e">
        <f>SUM(X95*Y95,X100*Y100,X106*Y106,X107*Y107)/SUM(Y95,Y100,Y106,Y107)</f>
        <v>#DIV/0!</v>
      </c>
      <c r="Y108" s="181">
        <f>SUM(Y95,Y100,Y106,Y107)</f>
        <v>0</v>
      </c>
      <c r="Z108" s="182">
        <f>SUM(Z95,Z100,Z106,Z107)</f>
        <v>0</v>
      </c>
      <c r="AA108" s="180" t="e">
        <f>SUM(AA95*AC95,AA100*AC100,AA106*AC106,AA107*AC107)/SUM(AC95,AC100,AC106,AC107)</f>
        <v>#DIV/0!</v>
      </c>
      <c r="AB108" s="180" t="e">
        <f>SUM(AB95*AC95,AB100*AC100,AB106*AC106,AB107*AC107)/SUM(AC95,AC100,AC106,AC107)</f>
        <v>#DIV/0!</v>
      </c>
      <c r="AC108" s="181">
        <f>SUM(AC95,AC100,AC106,AC107)</f>
        <v>0</v>
      </c>
      <c r="AD108" s="182">
        <f>SUM(AD95,AD100,AD106,AD107)</f>
        <v>0</v>
      </c>
      <c r="AE108" s="180" t="e">
        <f>SUM(AE95*AG95,AE100*AG100,AE106*AG106,AE107*AG107)/SUM(AG95,AG100,AG106,AG107)</f>
        <v>#DIV/0!</v>
      </c>
      <c r="AF108" s="180" t="e">
        <f>SUM(AF95*AG95,AF100*AG100,AF106*AG106,AF107*AG107)/SUM(AG95,AG100,AG106,AG107)</f>
        <v>#DIV/0!</v>
      </c>
      <c r="AG108" s="181">
        <f>SUM(AG95,AG100,AG106,AG107)</f>
        <v>0</v>
      </c>
      <c r="AH108" s="182">
        <f>SUM(AH95,AH100,AH106,AH107)</f>
        <v>0</v>
      </c>
      <c r="AI108" s="78"/>
    </row>
    <row r="109" spans="1:35" ht="13.5" customHeight="1">
      <c r="B109" s="232"/>
      <c r="C109" s="233"/>
      <c r="D109" s="79" t="s">
        <v>593</v>
      </c>
      <c r="E109" s="46"/>
      <c r="F109" s="183"/>
      <c r="G109" s="183"/>
      <c r="H109" s="81"/>
      <c r="I109" s="82"/>
      <c r="J109" s="83"/>
      <c r="K109" s="84"/>
      <c r="L109" s="51"/>
      <c r="M109" s="236"/>
      <c r="N109" s="237"/>
      <c r="O109" s="81"/>
      <c r="P109" s="82"/>
      <c r="Q109" s="83"/>
      <c r="R109" s="184"/>
      <c r="S109" s="86"/>
      <c r="T109" s="82"/>
      <c r="U109" s="83"/>
      <c r="V109" s="184"/>
      <c r="W109" s="86"/>
      <c r="X109" s="82"/>
      <c r="Y109" s="83"/>
      <c r="Z109" s="184"/>
      <c r="AA109" s="86"/>
      <c r="AB109" s="82"/>
      <c r="AC109" s="83"/>
      <c r="AD109" s="184"/>
      <c r="AE109" s="86"/>
      <c r="AF109" s="82"/>
      <c r="AG109" s="83"/>
      <c r="AH109" s="184"/>
      <c r="AI109" s="235"/>
    </row>
    <row r="110" spans="1:35" ht="13.5" customHeight="1" thickBot="1">
      <c r="B110" s="232"/>
      <c r="C110" s="233"/>
      <c r="D110" s="89" t="s">
        <v>594</v>
      </c>
      <c r="E110" s="113"/>
      <c r="F110" s="168"/>
      <c r="G110" s="168"/>
      <c r="H110" s="91"/>
      <c r="I110" s="92"/>
      <c r="J110" s="93"/>
      <c r="K110" s="94"/>
      <c r="L110" s="51"/>
      <c r="M110" s="236"/>
      <c r="N110" s="237"/>
      <c r="O110" s="91"/>
      <c r="P110" s="92"/>
      <c r="Q110" s="93"/>
      <c r="R110" s="185"/>
      <c r="S110" s="95"/>
      <c r="T110" s="92"/>
      <c r="U110" s="93"/>
      <c r="V110" s="185"/>
      <c r="W110" s="95"/>
      <c r="X110" s="92"/>
      <c r="Y110" s="93"/>
      <c r="Z110" s="185"/>
      <c r="AA110" s="95"/>
      <c r="AB110" s="92"/>
      <c r="AC110" s="93"/>
      <c r="AD110" s="185"/>
      <c r="AE110" s="95"/>
      <c r="AF110" s="92"/>
      <c r="AG110" s="93"/>
      <c r="AH110" s="185"/>
      <c r="AI110" s="235"/>
    </row>
    <row r="111" spans="1:35" ht="13.5" customHeight="1">
      <c r="B111" s="187" t="s">
        <v>611</v>
      </c>
      <c r="C111" s="188"/>
      <c r="D111" s="189" t="s">
        <v>588</v>
      </c>
      <c r="E111" s="33"/>
      <c r="F111" s="190">
        <f>F118+F134</f>
        <v>3695.6754403232535</v>
      </c>
      <c r="G111" s="190">
        <f>G118+G134</f>
        <v>0</v>
      </c>
      <c r="H111" s="118">
        <f>(H118*$J118+H134*$J134)/SUM($J118,$J134)</f>
        <v>2.1213025027404166E-2</v>
      </c>
      <c r="I111" s="118">
        <f>(I118*$J118+I134*$J134)/SUM($J118,$J134)</f>
        <v>0.85000000000000031</v>
      </c>
      <c r="J111" s="192">
        <f>J118+J134</f>
        <v>3695.6754403232521</v>
      </c>
      <c r="K111" s="193">
        <f>K118+K134</f>
        <v>66.636987267429049</v>
      </c>
      <c r="L111" s="51"/>
      <c r="M111" s="238"/>
      <c r="N111" s="239"/>
      <c r="O111" s="118" t="e">
        <f>(O118*Q118+O134*Q134)/SUM(Q118,Q134)</f>
        <v>#DIV/0!</v>
      </c>
      <c r="P111" s="191" t="e">
        <f>(P118*R118+P134*R134)/SUM(R118,R134)</f>
        <v>#DIV/0!</v>
      </c>
      <c r="Q111" s="192">
        <f>Q118+Q134</f>
        <v>0</v>
      </c>
      <c r="R111" s="195">
        <f>R118+R134</f>
        <v>0</v>
      </c>
      <c r="S111" s="191" t="e">
        <f>(S118*U118+S134*U134)/SUM(U118,U134)</f>
        <v>#DIV/0!</v>
      </c>
      <c r="T111" s="191" t="e">
        <f>(T118*V118+T134*V134)/SUM(V118,V134)</f>
        <v>#DIV/0!</v>
      </c>
      <c r="U111" s="192">
        <f>U118+U134</f>
        <v>0</v>
      </c>
      <c r="V111" s="195">
        <f>V118+V134</f>
        <v>0</v>
      </c>
      <c r="W111" s="191" t="e">
        <f>(W118*Y118+W134*Y134)/SUM(Y118,Y134)</f>
        <v>#DIV/0!</v>
      </c>
      <c r="X111" s="191" t="e">
        <f>(X118*Z118+X134*Z134)/SUM(Z118,Z134)</f>
        <v>#DIV/0!</v>
      </c>
      <c r="Y111" s="192">
        <f>Y118+Y134</f>
        <v>0</v>
      </c>
      <c r="Z111" s="195">
        <f>Z118+Z134</f>
        <v>0</v>
      </c>
      <c r="AA111" s="191" t="e">
        <f>(AA118*AC118+AA134*AC134)/SUM(AC118,AC134)</f>
        <v>#DIV/0!</v>
      </c>
      <c r="AB111" s="191" t="e">
        <f>(AB118*AD118+AB134*AD134)/SUM(AD118,AD134)</f>
        <v>#DIV/0!</v>
      </c>
      <c r="AC111" s="192">
        <f>AC118+AC134</f>
        <v>0</v>
      </c>
      <c r="AD111" s="195">
        <f>AD118+AD134</f>
        <v>0</v>
      </c>
      <c r="AE111" s="191" t="e">
        <f>(AE118*AG118+AE134*AG134)/SUM(AG118,AG134)</f>
        <v>#DIV/0!</v>
      </c>
      <c r="AF111" s="191" t="e">
        <f>(AF118*AH118+AF134*AH134)/SUM(AH118,AH134)</f>
        <v>#DIV/0!</v>
      </c>
      <c r="AG111" s="192">
        <f>AG118+AG134</f>
        <v>0</v>
      </c>
      <c r="AH111" s="195">
        <f>AH118+AH134</f>
        <v>0</v>
      </c>
      <c r="AI111" s="229"/>
    </row>
    <row r="112" spans="1:35" ht="13.5" customHeight="1">
      <c r="B112" s="240" t="s">
        <v>612</v>
      </c>
      <c r="C112" s="197"/>
      <c r="D112" s="198" t="s">
        <v>589</v>
      </c>
      <c r="E112" s="46"/>
      <c r="F112" s="199">
        <f>F123+F139</f>
        <v>35.55454687596</v>
      </c>
      <c r="G112" s="199">
        <f>G123+G139</f>
        <v>0</v>
      </c>
      <c r="H112" s="200">
        <f>(H123*$J123+H139*$J139)/SUM($J123,$J139)</f>
        <v>8.5319592415927778E-2</v>
      </c>
      <c r="I112" s="200">
        <f>(I123*$J123+I139*$J139)/SUM($J123,$J139)</f>
        <v>0.85000000000000031</v>
      </c>
      <c r="J112" s="201">
        <f>J123+J139</f>
        <v>35.55454687596</v>
      </c>
      <c r="K112" s="202">
        <f>K123+K139</f>
        <v>2.5784745307914201</v>
      </c>
      <c r="L112" s="51"/>
      <c r="M112" s="238"/>
      <c r="N112" s="239"/>
      <c r="O112" s="200" t="e">
        <f>(O123*Q123+O139*Q139)/SUM(Q123,Q139)</f>
        <v>#DIV/0!</v>
      </c>
      <c r="P112" s="204" t="e">
        <f>(P123*R123+P139*R139)/SUM(R123,R139)</f>
        <v>#DIV/0!</v>
      </c>
      <c r="Q112" s="201">
        <f>Q123+Q139</f>
        <v>0</v>
      </c>
      <c r="R112" s="205">
        <f>R123+R139</f>
        <v>0</v>
      </c>
      <c r="S112" s="204" t="e">
        <f>(S123*U123+S139*U139)/SUM(U123,U139)</f>
        <v>#DIV/0!</v>
      </c>
      <c r="T112" s="204" t="e">
        <f>(T123*V123+T139*V139)/SUM(V123,V139)</f>
        <v>#DIV/0!</v>
      </c>
      <c r="U112" s="201">
        <f>U123+U139</f>
        <v>0</v>
      </c>
      <c r="V112" s="205">
        <f>V123+V139</f>
        <v>0</v>
      </c>
      <c r="W112" s="204" t="e">
        <f>(W123*Y123+W139*Y139)/SUM(Y123,Y139)</f>
        <v>#DIV/0!</v>
      </c>
      <c r="X112" s="204" t="e">
        <f>(X123*Z123+X139*Z139)/SUM(Z123,Z139)</f>
        <v>#DIV/0!</v>
      </c>
      <c r="Y112" s="201">
        <f>Y123+Y139</f>
        <v>0</v>
      </c>
      <c r="Z112" s="205">
        <f>Z123+Z139</f>
        <v>0</v>
      </c>
      <c r="AA112" s="204" t="e">
        <f>(AA123*AC123+AA139*AC139)/SUM(AC123,AC139)</f>
        <v>#DIV/0!</v>
      </c>
      <c r="AB112" s="204" t="e">
        <f>(AB123*AD123+AB139*AD139)/SUM(AD123,AD139)</f>
        <v>#DIV/0!</v>
      </c>
      <c r="AC112" s="201">
        <f>AC123+AC139</f>
        <v>0</v>
      </c>
      <c r="AD112" s="205">
        <f>AD123+AD139</f>
        <v>0</v>
      </c>
      <c r="AE112" s="204" t="e">
        <f>(AE123*AG123+AE139*AG139)/SUM(AG123,AG139)</f>
        <v>#DIV/0!</v>
      </c>
      <c r="AF112" s="204" t="e">
        <f>(AF123*AH123+AF139*AH139)/SUM(AH123,AH139)</f>
        <v>#DIV/0!</v>
      </c>
      <c r="AG112" s="201">
        <f>AG123+AG139</f>
        <v>0</v>
      </c>
      <c r="AH112" s="205">
        <f>AH123+AH139</f>
        <v>0</v>
      </c>
      <c r="AI112" s="234"/>
    </row>
    <row r="113" spans="1:35" ht="13.5" customHeight="1" thickBot="1">
      <c r="B113" s="196"/>
      <c r="C113" s="197"/>
      <c r="D113" s="198" t="s">
        <v>590</v>
      </c>
      <c r="E113" s="46"/>
      <c r="F113" s="199">
        <f>F129+F145</f>
        <v>1.3008705701760002</v>
      </c>
      <c r="G113" s="199">
        <f>G129+G145</f>
        <v>0</v>
      </c>
      <c r="H113" s="200" t="e">
        <f t="shared" ref="H113:I115" si="6">(H129*$J129+H145*$J145)/SUM($J129,$J145)</f>
        <v>#DIV/0!</v>
      </c>
      <c r="I113" s="200" t="e">
        <f t="shared" si="6"/>
        <v>#DIV/0!</v>
      </c>
      <c r="J113" s="201">
        <f>J129+J145</f>
        <v>0</v>
      </c>
      <c r="K113" s="202">
        <f>K129+K145</f>
        <v>0</v>
      </c>
      <c r="L113" s="51"/>
      <c r="M113" s="238"/>
      <c r="N113" s="241"/>
      <c r="O113" s="200" t="e">
        <f t="shared" ref="O113:P115" si="7">(O129*Q129+O145*Q145)/SUM(Q129,Q145)</f>
        <v>#DIV/0!</v>
      </c>
      <c r="P113" s="204" t="e">
        <f t="shared" si="7"/>
        <v>#DIV/0!</v>
      </c>
      <c r="Q113" s="201">
        <f>Q129+Q145</f>
        <v>0</v>
      </c>
      <c r="R113" s="205">
        <f>R129+R145</f>
        <v>0</v>
      </c>
      <c r="S113" s="204" t="e">
        <f t="shared" ref="S113:T115" si="8">(S129*U129+S145*U145)/SUM(U129,U145)</f>
        <v>#DIV/0!</v>
      </c>
      <c r="T113" s="204" t="e">
        <f t="shared" si="8"/>
        <v>#DIV/0!</v>
      </c>
      <c r="U113" s="201">
        <f>U129+U145</f>
        <v>0</v>
      </c>
      <c r="V113" s="205">
        <f>V129+V145</f>
        <v>0</v>
      </c>
      <c r="W113" s="204" t="e">
        <f t="shared" ref="W113:X115" si="9">(W129*Y129+W145*Y145)/SUM(Y129,Y145)</f>
        <v>#DIV/0!</v>
      </c>
      <c r="X113" s="204" t="e">
        <f t="shared" si="9"/>
        <v>#DIV/0!</v>
      </c>
      <c r="Y113" s="201">
        <f>Y129+Y145</f>
        <v>0</v>
      </c>
      <c r="Z113" s="205">
        <f>Z129+Z145</f>
        <v>0</v>
      </c>
      <c r="AA113" s="204" t="e">
        <f t="shared" ref="AA113:AB115" si="10">(AA129*AC129+AA145*AC145)/SUM(AC129,AC145)</f>
        <v>#DIV/0!</v>
      </c>
      <c r="AB113" s="204" t="e">
        <f t="shared" si="10"/>
        <v>#DIV/0!</v>
      </c>
      <c r="AC113" s="201">
        <f>AC129+AC145</f>
        <v>0</v>
      </c>
      <c r="AD113" s="205">
        <f>AD129+AD145</f>
        <v>0</v>
      </c>
      <c r="AE113" s="204" t="e">
        <f t="shared" ref="AE113:AF115" si="11">(AE129*AG129+AE145*AG145)/SUM(AG129,AG145)</f>
        <v>#DIV/0!</v>
      </c>
      <c r="AF113" s="204" t="e">
        <f t="shared" si="11"/>
        <v>#DIV/0!</v>
      </c>
      <c r="AG113" s="201">
        <f>AG129+AG145</f>
        <v>0</v>
      </c>
      <c r="AH113" s="205">
        <f>AH129+AH145</f>
        <v>0</v>
      </c>
      <c r="AI113" s="235"/>
    </row>
    <row r="114" spans="1:35" ht="13.5" customHeight="1">
      <c r="B114" s="196"/>
      <c r="C114" s="197"/>
      <c r="D114" s="207" t="s">
        <v>591</v>
      </c>
      <c r="E114" s="33"/>
      <c r="F114" s="208">
        <f>F130+F146</f>
        <v>0</v>
      </c>
      <c r="G114" s="208">
        <f>G130+G146</f>
        <v>0</v>
      </c>
      <c r="H114" s="209" t="e">
        <f t="shared" si="6"/>
        <v>#DIV/0!</v>
      </c>
      <c r="I114" s="209" t="e">
        <f t="shared" si="6"/>
        <v>#DIV/0!</v>
      </c>
      <c r="J114" s="210">
        <f>J130+J146</f>
        <v>0</v>
      </c>
      <c r="K114" s="211">
        <f>K130+K146</f>
        <v>0</v>
      </c>
      <c r="L114" s="51"/>
      <c r="M114" s="238"/>
      <c r="N114" s="241"/>
      <c r="O114" s="209" t="e">
        <f t="shared" si="7"/>
        <v>#DIV/0!</v>
      </c>
      <c r="P114" s="213" t="e">
        <f t="shared" si="7"/>
        <v>#DIV/0!</v>
      </c>
      <c r="Q114" s="210">
        <f>Q130+Q146</f>
        <v>0</v>
      </c>
      <c r="R114" s="215">
        <f>R130+R146</f>
        <v>0</v>
      </c>
      <c r="S114" s="213" t="e">
        <f t="shared" si="8"/>
        <v>#DIV/0!</v>
      </c>
      <c r="T114" s="213" t="e">
        <f t="shared" si="8"/>
        <v>#DIV/0!</v>
      </c>
      <c r="U114" s="210">
        <f>U130+U146</f>
        <v>0</v>
      </c>
      <c r="V114" s="215">
        <f>V130+V146</f>
        <v>0</v>
      </c>
      <c r="W114" s="213" t="e">
        <f t="shared" si="9"/>
        <v>#DIV/0!</v>
      </c>
      <c r="X114" s="213" t="e">
        <f t="shared" si="9"/>
        <v>#DIV/0!</v>
      </c>
      <c r="Y114" s="210">
        <f>Y130+Y146</f>
        <v>0</v>
      </c>
      <c r="Z114" s="215">
        <f>Z130+Z146</f>
        <v>0</v>
      </c>
      <c r="AA114" s="213" t="e">
        <f t="shared" si="10"/>
        <v>#DIV/0!</v>
      </c>
      <c r="AB114" s="213" t="e">
        <f t="shared" si="10"/>
        <v>#DIV/0!</v>
      </c>
      <c r="AC114" s="210">
        <f>AC130+AC146</f>
        <v>0</v>
      </c>
      <c r="AD114" s="215">
        <f>AD130+AD146</f>
        <v>0</v>
      </c>
      <c r="AE114" s="213" t="e">
        <f t="shared" si="11"/>
        <v>#DIV/0!</v>
      </c>
      <c r="AF114" s="213" t="e">
        <f t="shared" si="11"/>
        <v>#DIV/0!</v>
      </c>
      <c r="AG114" s="210">
        <f>AG130+AG146</f>
        <v>0</v>
      </c>
      <c r="AH114" s="215">
        <f>AH130+AH146</f>
        <v>0</v>
      </c>
      <c r="AI114" s="235"/>
    </row>
    <row r="115" spans="1:35" ht="13.5" customHeight="1">
      <c r="B115" s="196"/>
      <c r="C115" s="197"/>
      <c r="D115" s="68" t="s">
        <v>592</v>
      </c>
      <c r="E115" s="46"/>
      <c r="F115" s="70">
        <f>SUM(F111:F114)</f>
        <v>3732.5308577693895</v>
      </c>
      <c r="G115" s="70">
        <f>SUM(G111:G114)</f>
        <v>0</v>
      </c>
      <c r="H115" s="175">
        <f t="shared" si="6"/>
        <v>2.182389060339163E-2</v>
      </c>
      <c r="I115" s="180">
        <f t="shared" si="6"/>
        <v>0.85000000000000009</v>
      </c>
      <c r="J115" s="222">
        <f>SUM(J111:J114)</f>
        <v>3731.2299871992122</v>
      </c>
      <c r="K115" s="242">
        <f>SUM(K111:K114)</f>
        <v>69.215461798220474</v>
      </c>
      <c r="L115" s="219">
        <f>SUM(L131,L147)</f>
        <v>0</v>
      </c>
      <c r="M115" s="243"/>
      <c r="N115" s="244"/>
      <c r="O115" s="175" t="e">
        <f t="shared" si="7"/>
        <v>#DIV/0!</v>
      </c>
      <c r="P115" s="180" t="e">
        <f t="shared" si="7"/>
        <v>#DIV/0!</v>
      </c>
      <c r="Q115" s="222">
        <f>SUM(Q111:Q114)</f>
        <v>0</v>
      </c>
      <c r="R115" s="223">
        <f>SUM(R111:R114)</f>
        <v>0</v>
      </c>
      <c r="S115" s="180" t="e">
        <f t="shared" si="8"/>
        <v>#DIV/0!</v>
      </c>
      <c r="T115" s="180" t="e">
        <f t="shared" si="8"/>
        <v>#DIV/0!</v>
      </c>
      <c r="U115" s="222">
        <f>SUM(U111:U114)</f>
        <v>0</v>
      </c>
      <c r="V115" s="223">
        <f>SUM(V111:V114)</f>
        <v>0</v>
      </c>
      <c r="W115" s="180" t="e">
        <f t="shared" si="9"/>
        <v>#DIV/0!</v>
      </c>
      <c r="X115" s="180" t="e">
        <f t="shared" si="9"/>
        <v>#DIV/0!</v>
      </c>
      <c r="Y115" s="222">
        <f>SUM(Y111:Y114)</f>
        <v>0</v>
      </c>
      <c r="Z115" s="223">
        <f>SUM(Z111:Z114)</f>
        <v>0</v>
      </c>
      <c r="AA115" s="180" t="e">
        <f t="shared" si="10"/>
        <v>#DIV/0!</v>
      </c>
      <c r="AB115" s="180" t="e">
        <f t="shared" si="10"/>
        <v>#DIV/0!</v>
      </c>
      <c r="AC115" s="222">
        <f>SUM(AC111:AC114)</f>
        <v>0</v>
      </c>
      <c r="AD115" s="223">
        <f>SUM(AD111:AD114)</f>
        <v>0</v>
      </c>
      <c r="AE115" s="180" t="e">
        <f t="shared" si="11"/>
        <v>#DIV/0!</v>
      </c>
      <c r="AF115" s="180" t="e">
        <f t="shared" si="11"/>
        <v>#DIV/0!</v>
      </c>
      <c r="AG115" s="222">
        <f>SUM(AG111:AG114)</f>
        <v>0</v>
      </c>
      <c r="AH115" s="223">
        <f>SUM(AH111:AH114)</f>
        <v>0</v>
      </c>
      <c r="AI115" s="78"/>
    </row>
    <row r="116" spans="1:35" ht="13.5" customHeight="1">
      <c r="B116" s="196"/>
      <c r="C116" s="197"/>
      <c r="D116" s="68" t="s">
        <v>608</v>
      </c>
      <c r="E116" s="46"/>
      <c r="F116" s="70">
        <f>F132+F148</f>
        <v>0</v>
      </c>
      <c r="G116" s="70">
        <f>G132+G148</f>
        <v>0</v>
      </c>
      <c r="H116" s="81"/>
      <c r="I116" s="82"/>
      <c r="J116" s="83"/>
      <c r="K116" s="84"/>
      <c r="L116" s="51"/>
      <c r="M116" s="236"/>
      <c r="N116" s="237"/>
      <c r="O116" s="81"/>
      <c r="P116" s="82"/>
      <c r="Q116" s="83"/>
      <c r="R116" s="87"/>
      <c r="S116" s="86"/>
      <c r="T116" s="82"/>
      <c r="U116" s="83"/>
      <c r="V116" s="87"/>
      <c r="W116" s="86"/>
      <c r="X116" s="82"/>
      <c r="Y116" s="83"/>
      <c r="Z116" s="87"/>
      <c r="AA116" s="86"/>
      <c r="AB116" s="82"/>
      <c r="AC116" s="83"/>
      <c r="AD116" s="87"/>
      <c r="AE116" s="86"/>
      <c r="AF116" s="82"/>
      <c r="AG116" s="83"/>
      <c r="AH116" s="87"/>
      <c r="AI116" s="235"/>
    </row>
    <row r="117" spans="1:35" ht="13.5" customHeight="1" thickBot="1">
      <c r="B117" s="196"/>
      <c r="C117" s="197"/>
      <c r="D117" s="226" t="s">
        <v>594</v>
      </c>
      <c r="E117" s="59"/>
      <c r="F117" s="208">
        <f>F133+F149</f>
        <v>0</v>
      </c>
      <c r="G117" s="208">
        <f>G133+G149</f>
        <v>0</v>
      </c>
      <c r="H117" s="91"/>
      <c r="I117" s="92"/>
      <c r="J117" s="93"/>
      <c r="K117" s="94"/>
      <c r="L117" s="51"/>
      <c r="M117" s="236"/>
      <c r="N117" s="237"/>
      <c r="O117" s="91"/>
      <c r="P117" s="92"/>
      <c r="Q117" s="93"/>
      <c r="R117" s="96"/>
      <c r="S117" s="95"/>
      <c r="T117" s="92"/>
      <c r="U117" s="93"/>
      <c r="V117" s="96"/>
      <c r="W117" s="95"/>
      <c r="X117" s="92"/>
      <c r="Y117" s="93"/>
      <c r="Z117" s="96"/>
      <c r="AA117" s="95"/>
      <c r="AB117" s="92"/>
      <c r="AC117" s="93"/>
      <c r="AD117" s="96"/>
      <c r="AE117" s="95"/>
      <c r="AF117" s="92"/>
      <c r="AG117" s="93"/>
      <c r="AH117" s="96"/>
      <c r="AI117" s="235"/>
    </row>
    <row r="118" spans="1:35" ht="13.5" customHeight="1">
      <c r="B118" s="227" t="s">
        <v>613</v>
      </c>
      <c r="C118" s="228"/>
      <c r="D118" s="32" t="s">
        <v>598</v>
      </c>
      <c r="E118" s="33"/>
      <c r="F118" s="117">
        <f>SUM(F119:F122)</f>
        <v>3005.1568613131344</v>
      </c>
      <c r="G118" s="117">
        <f>SUM(G119:G122)</f>
        <v>0</v>
      </c>
      <c r="H118" s="118">
        <f>SUMPRODUCT(H119:H122,$J119:$J122)/SUM(J119:J122)</f>
        <v>2.103177018931034E-2</v>
      </c>
      <c r="I118" s="245">
        <f>SUMPRODUCT(J119:J122,$I119:$I122)/SUM(J119:J122)</f>
        <v>0.8500000000000002</v>
      </c>
      <c r="J118" s="120">
        <f>SUM(J119:J122)</f>
        <v>3005.1568613131335</v>
      </c>
      <c r="K118" s="121">
        <f>SUM(K119:K122)</f>
        <v>53.723203216471937</v>
      </c>
      <c r="L118" s="122"/>
      <c r="M118" s="123"/>
      <c r="N118" s="549"/>
      <c r="O118" s="124" t="e">
        <f>SUMPRODUCT(O119:O122,Q119:Q122)/SUM(Q119:Q122)</f>
        <v>#DIV/0!</v>
      </c>
      <c r="P118" s="119" t="e">
        <f>SUMPRODUCT(Q119:Q122,$P119:$P122)/SUM(Q119:Q122)</f>
        <v>#DIV/0!</v>
      </c>
      <c r="Q118" s="125">
        <f>SUM(Q119:Q122)</f>
        <v>0</v>
      </c>
      <c r="R118" s="126">
        <f>SUM(R119:R122)</f>
        <v>0</v>
      </c>
      <c r="S118" s="124" t="e">
        <f>SUMPRODUCT(S119:S122,U119:U122)/SUM(U119:U122)</f>
        <v>#DIV/0!</v>
      </c>
      <c r="T118" s="119" t="e">
        <f>SUMPRODUCT(U119:U122,$T119:$T122)/SUM(U119:U122)</f>
        <v>#DIV/0!</v>
      </c>
      <c r="U118" s="125">
        <f>SUM(U119:U122)</f>
        <v>0</v>
      </c>
      <c r="V118" s="126">
        <f>SUM(V119:V122)</f>
        <v>0</v>
      </c>
      <c r="W118" s="124" t="e">
        <f>SUMPRODUCT(W119:W122,Y119:Y122)/SUM(Y119:Y122)</f>
        <v>#DIV/0!</v>
      </c>
      <c r="X118" s="119" t="e">
        <f>SUMPRODUCT(Y119:Y122,$X119:$X122)/SUM(Y119:Y122)</f>
        <v>#DIV/0!</v>
      </c>
      <c r="Y118" s="125">
        <f>SUM(Y119:Y122)</f>
        <v>0</v>
      </c>
      <c r="Z118" s="126">
        <f>SUM(Z119:Z122)</f>
        <v>0</v>
      </c>
      <c r="AA118" s="124" t="e">
        <f>SUMPRODUCT(AA119:AA122,AC119:AC122)/SUM(AC119:AC122)</f>
        <v>#DIV/0!</v>
      </c>
      <c r="AB118" s="119" t="e">
        <f>SUMPRODUCT(AC119:AC122,$AB119:$AB122)/SUM(AC119:AC122)</f>
        <v>#DIV/0!</v>
      </c>
      <c r="AC118" s="125">
        <f>SUM(AC119:AC122)</f>
        <v>0</v>
      </c>
      <c r="AD118" s="126">
        <f>SUM(AD119:AD122)</f>
        <v>0</v>
      </c>
      <c r="AE118" s="124" t="e">
        <f>SUMPRODUCT(AE119:AE122,AG119:AG122)/SUM(AG119:AG122)</f>
        <v>#DIV/0!</v>
      </c>
      <c r="AF118" s="119" t="e">
        <f>SUMPRODUCT(AG119:AG122,$AF119:$AF122)/SUM(AG119:AG122)</f>
        <v>#DIV/0!</v>
      </c>
      <c r="AG118" s="125">
        <f>SUM(AG119:AG122)</f>
        <v>0</v>
      </c>
      <c r="AH118" s="126">
        <f>SUM(AH119:AH122)</f>
        <v>0</v>
      </c>
      <c r="AI118" s="229"/>
    </row>
    <row r="119" spans="1:35" s="154" customFormat="1" ht="13.15" customHeight="1" outlineLevel="1">
      <c r="A119" s="142"/>
      <c r="B119" s="143"/>
      <c r="C119" s="231"/>
      <c r="D119" s="129" t="s">
        <v>599</v>
      </c>
      <c r="E119" s="46"/>
      <c r="F119" s="144"/>
      <c r="G119" s="144"/>
      <c r="H119" s="145"/>
      <c r="I119" s="146"/>
      <c r="J119" s="147"/>
      <c r="K119" s="148"/>
      <c r="L119" s="149"/>
      <c r="M119" s="136"/>
      <c r="N119" s="549"/>
      <c r="O119" s="137"/>
      <c r="P119" s="133"/>
      <c r="Q119" s="138"/>
      <c r="R119" s="139"/>
      <c r="S119" s="137"/>
      <c r="T119" s="133"/>
      <c r="U119" s="138"/>
      <c r="V119" s="139"/>
      <c r="W119" s="137"/>
      <c r="X119" s="133"/>
      <c r="Y119" s="138"/>
      <c r="Z119" s="139"/>
      <c r="AA119" s="137"/>
      <c r="AB119" s="133"/>
      <c r="AC119" s="138"/>
      <c r="AD119" s="139"/>
      <c r="AE119" s="137"/>
      <c r="AF119" s="133"/>
      <c r="AG119" s="138"/>
      <c r="AH119" s="139"/>
      <c r="AI119" s="153"/>
    </row>
    <row r="120" spans="1:35" s="154" customFormat="1" ht="13.15" customHeight="1" outlineLevel="1">
      <c r="A120" s="142"/>
      <c r="B120" s="143"/>
      <c r="C120" s="231"/>
      <c r="D120" s="129" t="s">
        <v>600</v>
      </c>
      <c r="E120" s="46"/>
      <c r="F120" s="144"/>
      <c r="G120" s="144"/>
      <c r="H120" s="145"/>
      <c r="I120" s="146"/>
      <c r="J120" s="147"/>
      <c r="K120" s="148"/>
      <c r="L120" s="149"/>
      <c r="M120" s="136"/>
      <c r="N120" s="549"/>
      <c r="O120" s="137"/>
      <c r="P120" s="133"/>
      <c r="Q120" s="138"/>
      <c r="R120" s="139"/>
      <c r="S120" s="137"/>
      <c r="T120" s="133"/>
      <c r="U120" s="138"/>
      <c r="V120" s="139"/>
      <c r="W120" s="137"/>
      <c r="X120" s="133"/>
      <c r="Y120" s="138"/>
      <c r="Z120" s="139"/>
      <c r="AA120" s="137"/>
      <c r="AB120" s="133"/>
      <c r="AC120" s="138"/>
      <c r="AD120" s="139"/>
      <c r="AE120" s="137"/>
      <c r="AF120" s="133"/>
      <c r="AG120" s="138"/>
      <c r="AH120" s="139"/>
      <c r="AI120" s="153"/>
    </row>
    <row r="121" spans="1:35" s="154" customFormat="1" ht="13.15" customHeight="1" outlineLevel="1">
      <c r="A121" s="142"/>
      <c r="B121" s="143"/>
      <c r="C121" s="231"/>
      <c r="D121" s="129" t="s">
        <v>601</v>
      </c>
      <c r="E121" s="46"/>
      <c r="F121" s="144"/>
      <c r="G121" s="144"/>
      <c r="H121" s="145"/>
      <c r="I121" s="146"/>
      <c r="J121" s="147"/>
      <c r="K121" s="148"/>
      <c r="L121" s="149"/>
      <c r="M121" s="136"/>
      <c r="N121" s="549"/>
      <c r="O121" s="150"/>
      <c r="P121" s="146"/>
      <c r="Q121" s="151"/>
      <c r="R121" s="152"/>
      <c r="S121" s="150"/>
      <c r="T121" s="146"/>
      <c r="U121" s="151"/>
      <c r="V121" s="152"/>
      <c r="W121" s="150"/>
      <c r="X121" s="146"/>
      <c r="Y121" s="151"/>
      <c r="Z121" s="152"/>
      <c r="AA121" s="150"/>
      <c r="AB121" s="146"/>
      <c r="AC121" s="151"/>
      <c r="AD121" s="152"/>
      <c r="AE121" s="150"/>
      <c r="AF121" s="146"/>
      <c r="AG121" s="151"/>
      <c r="AH121" s="152"/>
      <c r="AI121" s="153"/>
    </row>
    <row r="122" spans="1:35" s="154" customFormat="1" ht="13.15" customHeight="1" outlineLevel="1">
      <c r="A122" s="142"/>
      <c r="B122" s="143"/>
      <c r="C122" s="231"/>
      <c r="D122" s="129" t="s">
        <v>614</v>
      </c>
      <c r="E122" s="46"/>
      <c r="F122" s="144">
        <f>SUMIFS(Port!AP:AP,Port!E:E,"6.2.1 New Cars",Port!H:H,1)/1000000</f>
        <v>3005.1568613131344</v>
      </c>
      <c r="G122" s="144"/>
      <c r="H122" s="145">
        <f>(SUMIFS(Port!AL:AL,Port!E:E,"6.2.1 New Cars",Port!H:H,1)+SUMIFS(Port!AM:AM,Port!E:E,"6.2.1 New Cars",Port!H:H,1)) / (SUMIFS(Port!AF:AF,Port!E:E,"6.2.1 New Cars",Port!H:H,1)+SUMIFS(Port!AG:AG,Port!E:E,"6.2.1 New Cars",Port!H:H,1))</f>
        <v>2.103177018931034E-2</v>
      </c>
      <c r="I122" s="146">
        <f>(SUMIFS(Port!AN:AN,Port!E:E,"6.2.1 New Cars",Port!H:H,1)+SUMIFS(Port!AO:AO,Port!E:E,"6.2.1 New Cars",Port!H:H,1)) / (SUMIFS(Port!AF:AF,Port!E:E,"6.2.1 New Cars",Port!H:H,1)+SUMIFS(Port!AG:AG,Port!E:E,"6.2.1 New Cars",Port!H:H,1))</f>
        <v>0.8500000000000002</v>
      </c>
      <c r="J122" s="147">
        <f>(SUMIFS(Port!AF:AF,Port!E:E,"6.2.1 New Cars",Port!H:H,1)+SUMIFS(Port!AG:AG,Port!E:E,"6.2.1 New Cars",Port!H:H,1))/1000000</f>
        <v>3005.1568613131335</v>
      </c>
      <c r="K122" s="148">
        <f>(SUMIFS(Port!AJ:AJ,Port!E:E,"6.2.1 New Cars",Port!H:H,1)+SUMIFS(Port!AK:AK,Port!E:E,"6.2.1 New Cars",Port!H:H,1))/1000000</f>
        <v>53.723203216471937</v>
      </c>
      <c r="L122" s="149"/>
      <c r="M122" s="136"/>
      <c r="N122" s="549"/>
      <c r="O122" s="150"/>
      <c r="P122" s="146"/>
      <c r="Q122" s="151"/>
      <c r="R122" s="152"/>
      <c r="S122" s="150"/>
      <c r="T122" s="146"/>
      <c r="U122" s="151"/>
      <c r="V122" s="152"/>
      <c r="W122" s="150"/>
      <c r="X122" s="146"/>
      <c r="Y122" s="151"/>
      <c r="Z122" s="152"/>
      <c r="AA122" s="150"/>
      <c r="AB122" s="146"/>
      <c r="AC122" s="151"/>
      <c r="AD122" s="152"/>
      <c r="AE122" s="150"/>
      <c r="AF122" s="146"/>
      <c r="AG122" s="151"/>
      <c r="AH122" s="152"/>
      <c r="AI122" s="153"/>
    </row>
    <row r="123" spans="1:35" ht="13.5" customHeight="1">
      <c r="B123" s="232"/>
      <c r="C123" s="233"/>
      <c r="D123" s="45" t="s">
        <v>603</v>
      </c>
      <c r="E123" s="46"/>
      <c r="F123" s="155">
        <f>SUM(F124:F128)</f>
        <v>5.2147542886559997</v>
      </c>
      <c r="G123" s="155">
        <f>SUM(G124:G128)</f>
        <v>0</v>
      </c>
      <c r="H123" s="417">
        <f>SUMPRODUCT(H124:H128,$J124:$J128)/SUM(J124:J128)</f>
        <v>0.17446586023663266</v>
      </c>
      <c r="I123" s="418">
        <f>SUMPRODUCT(J124:J128,$I124:$I128)/SUM(J124:J128)</f>
        <v>0.85</v>
      </c>
      <c r="J123" s="158">
        <f>SUM(J124:J128)</f>
        <v>5.2147542886559997</v>
      </c>
      <c r="K123" s="159">
        <f>SUM(K124:K128)</f>
        <v>0.77332710395908266</v>
      </c>
      <c r="L123" s="122"/>
      <c r="M123" s="123"/>
      <c r="N123" s="549"/>
      <c r="O123" s="160" t="e">
        <f>SUMPRODUCT(O124:O128,Q124:Q128)/SUM(Q124:Q128)</f>
        <v>#DIV/0!</v>
      </c>
      <c r="P123" s="157" t="e">
        <f>SUMPRODUCT(Q124:Q128,$P124:$P128)/SUM(Q124:Q128)</f>
        <v>#DIV/0!</v>
      </c>
      <c r="Q123" s="161">
        <f>SUM(Q124:Q128)</f>
        <v>0</v>
      </c>
      <c r="R123" s="162">
        <f>SUM(R124:R128)</f>
        <v>0</v>
      </c>
      <c r="S123" s="160" t="e">
        <f>SUMPRODUCT(S124:S128,U124:U128)/SUM(U124:U128)</f>
        <v>#DIV/0!</v>
      </c>
      <c r="T123" s="157" t="e">
        <f>SUMPRODUCT(U124:U128,$T124:$T128)/SUM(U124:U128)</f>
        <v>#DIV/0!</v>
      </c>
      <c r="U123" s="161">
        <f>SUM(U124:U128)</f>
        <v>0</v>
      </c>
      <c r="V123" s="162">
        <f>SUM(V124:V128)</f>
        <v>0</v>
      </c>
      <c r="W123" s="160" t="e">
        <f>SUMPRODUCT(W124:W128,Y124:Y128)/SUM(Y124:Y128)</f>
        <v>#DIV/0!</v>
      </c>
      <c r="X123" s="157" t="e">
        <f>SUMPRODUCT(Y124:Y128,$X124:$X128)/SUM(Y124:Y128)</f>
        <v>#DIV/0!</v>
      </c>
      <c r="Y123" s="161">
        <f>SUM(Y124:Y128)</f>
        <v>0</v>
      </c>
      <c r="Z123" s="162">
        <f>SUM(Z124:Z128)</f>
        <v>0</v>
      </c>
      <c r="AA123" s="160" t="e">
        <f>SUMPRODUCT(AA124:AA128,AC124:AC128)/SUM(AC124:AC128)</f>
        <v>#DIV/0!</v>
      </c>
      <c r="AB123" s="157" t="e">
        <f>SUMPRODUCT(AC124:AC128,$AB124:$AB128)/SUM(AC124:AC128)</f>
        <v>#DIV/0!</v>
      </c>
      <c r="AC123" s="161">
        <f>SUM(AC124:AC128)</f>
        <v>0</v>
      </c>
      <c r="AD123" s="162">
        <f>SUM(AD124:AD128)</f>
        <v>0</v>
      </c>
      <c r="AE123" s="160" t="e">
        <f>SUMPRODUCT(AE124:AE128,AG124:AG128)/SUM(AG124:AG128)</f>
        <v>#DIV/0!</v>
      </c>
      <c r="AF123" s="157" t="e">
        <f>SUMPRODUCT(AG124:AG128,$AF124:$AF128)/SUM(AG124:AG128)</f>
        <v>#DIV/0!</v>
      </c>
      <c r="AG123" s="161">
        <f>SUM(AG124:AG128)</f>
        <v>0</v>
      </c>
      <c r="AH123" s="162">
        <f>SUM(AH124:AH128)</f>
        <v>0</v>
      </c>
      <c r="AI123" s="234"/>
    </row>
    <row r="124" spans="1:35" s="154" customFormat="1" ht="13.15" customHeight="1" outlineLevel="1">
      <c r="A124" s="142"/>
      <c r="B124" s="143"/>
      <c r="C124" s="231"/>
      <c r="D124" s="129" t="s">
        <v>615</v>
      </c>
      <c r="E124" s="46"/>
      <c r="F124" s="144">
        <f>SUMIFS(Port!AP:AP,Port!E:E,"6.2.1 New Cars",Port!H:H,2)/1000000</f>
        <v>5.2147542886559997</v>
      </c>
      <c r="G124" s="144"/>
      <c r="H124" s="145">
        <f>(SUMIFS(Port!AL:AL,Port!E:E,"6.2.1 New Cars",Port!H:H,2)+SUMIFS(Port!AM:AM,Port!E:E,"6.2.1 New Cars",Port!H:H,2)) / (SUMIFS(Port!AF:AF,Port!E:E,"6.2.1 New Cars",Port!H:H,2)+SUMIFS(Port!AG:AG,Port!E:E,"6.2.1 New Cars",Port!H:H,2))</f>
        <v>0.17446586023663266</v>
      </c>
      <c r="I124" s="146">
        <f>(SUMIFS(Port!AN:AN,Port!E:E,"6.2.1 New Cars",Port!H:H,2)+SUMIFS(Port!AO:AO,Port!E:E,"6.2.1 New Cars",Port!H:H,2)) / (SUMIFS(Port!AF:AF,Port!E:E,"6.2.1 New Cars",Port!H:H,2)+SUMIFS(Port!AG:AG,Port!E:E,"6.2.1 New Cars",Port!H:H,2))</f>
        <v>0.84999999999999987</v>
      </c>
      <c r="J124" s="147">
        <f>(SUMIFS(Port!AF:AF,Port!E:E,"6.2.1 New Cars",Port!H:H,2)+SUMIFS(Port!AG:AG,Port!E:E,"6.2.1 New Cars",Port!H:H,2))/1000000</f>
        <v>5.2147542886559997</v>
      </c>
      <c r="K124" s="148">
        <f>(SUMIFS(Port!AJ:AJ,Port!E:E,"6.2.1 New Cars",Port!H:H,2)+SUMIFS(Port!AK:AK,Port!E:E,"6.2.1 New Cars",Port!H:H,2))/1000000</f>
        <v>0.77332710395908266</v>
      </c>
      <c r="L124" s="149"/>
      <c r="M124" s="136"/>
      <c r="N124" s="549"/>
      <c r="O124" s="137"/>
      <c r="P124" s="133"/>
      <c r="Q124" s="138"/>
      <c r="R124" s="139"/>
      <c r="S124" s="137"/>
      <c r="T124" s="133"/>
      <c r="U124" s="138"/>
      <c r="V124" s="139"/>
      <c r="W124" s="137"/>
      <c r="X124" s="133"/>
      <c r="Y124" s="138"/>
      <c r="Z124" s="139"/>
      <c r="AA124" s="137"/>
      <c r="AB124" s="133"/>
      <c r="AC124" s="138"/>
      <c r="AD124" s="139"/>
      <c r="AE124" s="137"/>
      <c r="AF124" s="133"/>
      <c r="AG124" s="138"/>
      <c r="AH124" s="139"/>
      <c r="AI124" s="153"/>
    </row>
    <row r="125" spans="1:35" s="154" customFormat="1" ht="13.15" customHeight="1" outlineLevel="1">
      <c r="A125" s="142"/>
      <c r="B125" s="143"/>
      <c r="C125" s="231"/>
      <c r="D125" s="129" t="s">
        <v>599</v>
      </c>
      <c r="E125" s="46"/>
      <c r="F125" s="144"/>
      <c r="G125" s="144"/>
      <c r="H125" s="145"/>
      <c r="I125" s="146"/>
      <c r="J125" s="147"/>
      <c r="K125" s="148"/>
      <c r="L125" s="149"/>
      <c r="M125" s="136"/>
      <c r="N125" s="549"/>
      <c r="O125" s="137"/>
      <c r="P125" s="133"/>
      <c r="Q125" s="138"/>
      <c r="R125" s="139"/>
      <c r="S125" s="137"/>
      <c r="T125" s="133"/>
      <c r="U125" s="138"/>
      <c r="V125" s="139"/>
      <c r="W125" s="137"/>
      <c r="X125" s="133"/>
      <c r="Y125" s="138"/>
      <c r="Z125" s="139"/>
      <c r="AA125" s="137"/>
      <c r="AB125" s="133"/>
      <c r="AC125" s="138"/>
      <c r="AD125" s="139"/>
      <c r="AE125" s="137"/>
      <c r="AF125" s="133"/>
      <c r="AG125" s="138"/>
      <c r="AH125" s="139"/>
      <c r="AI125" s="153"/>
    </row>
    <row r="126" spans="1:35" s="154" customFormat="1" ht="13.15" customHeight="1" outlineLevel="1">
      <c r="A126" s="142"/>
      <c r="B126" s="143"/>
      <c r="C126" s="231"/>
      <c r="D126" s="129" t="s">
        <v>600</v>
      </c>
      <c r="E126" s="46"/>
      <c r="F126" s="144"/>
      <c r="G126" s="144"/>
      <c r="H126" s="145"/>
      <c r="I126" s="146"/>
      <c r="J126" s="147"/>
      <c r="K126" s="148"/>
      <c r="L126" s="149"/>
      <c r="M126" s="136"/>
      <c r="N126" s="549"/>
      <c r="O126" s="150"/>
      <c r="P126" s="146"/>
      <c r="Q126" s="151"/>
      <c r="R126" s="152"/>
      <c r="S126" s="150"/>
      <c r="T126" s="146"/>
      <c r="U126" s="151"/>
      <c r="V126" s="152"/>
      <c r="W126" s="150"/>
      <c r="X126" s="146"/>
      <c r="Y126" s="151"/>
      <c r="Z126" s="152"/>
      <c r="AA126" s="150"/>
      <c r="AB126" s="146"/>
      <c r="AC126" s="151"/>
      <c r="AD126" s="152"/>
      <c r="AE126" s="150"/>
      <c r="AF126" s="146"/>
      <c r="AG126" s="151"/>
      <c r="AH126" s="152"/>
      <c r="AI126" s="153"/>
    </row>
    <row r="127" spans="1:35" s="154" customFormat="1" ht="13.15" customHeight="1" outlineLevel="1">
      <c r="A127" s="142"/>
      <c r="B127" s="143"/>
      <c r="C127" s="231"/>
      <c r="D127" s="129" t="s">
        <v>601</v>
      </c>
      <c r="E127" s="46"/>
      <c r="F127" s="144"/>
      <c r="G127" s="144"/>
      <c r="H127" s="145"/>
      <c r="I127" s="146"/>
      <c r="J127" s="147"/>
      <c r="K127" s="148"/>
      <c r="L127" s="149"/>
      <c r="M127" s="136"/>
      <c r="N127" s="549"/>
      <c r="O127" s="150"/>
      <c r="P127" s="146"/>
      <c r="Q127" s="151"/>
      <c r="R127" s="152"/>
      <c r="S127" s="150"/>
      <c r="T127" s="146"/>
      <c r="U127" s="151"/>
      <c r="V127" s="152"/>
      <c r="W127" s="150"/>
      <c r="X127" s="146"/>
      <c r="Y127" s="151"/>
      <c r="Z127" s="152"/>
      <c r="AA127" s="150"/>
      <c r="AB127" s="146"/>
      <c r="AC127" s="151"/>
      <c r="AD127" s="152"/>
      <c r="AE127" s="150"/>
      <c r="AF127" s="146"/>
      <c r="AG127" s="151"/>
      <c r="AH127" s="152"/>
      <c r="AI127" s="153"/>
    </row>
    <row r="128" spans="1:35" s="154" customFormat="1" ht="13.15" customHeight="1" outlineLevel="1">
      <c r="A128" s="142"/>
      <c r="B128" s="143"/>
      <c r="C128" s="231"/>
      <c r="D128" s="129" t="s">
        <v>602</v>
      </c>
      <c r="E128" s="46"/>
      <c r="F128" s="144"/>
      <c r="G128" s="144"/>
      <c r="H128" s="145"/>
      <c r="I128" s="146"/>
      <c r="J128" s="147"/>
      <c r="K128" s="148"/>
      <c r="L128" s="149"/>
      <c r="M128" s="136"/>
      <c r="N128" s="549"/>
      <c r="O128" s="150"/>
      <c r="P128" s="146"/>
      <c r="Q128" s="151"/>
      <c r="R128" s="152"/>
      <c r="S128" s="150"/>
      <c r="T128" s="146"/>
      <c r="U128" s="151"/>
      <c r="V128" s="152"/>
      <c r="W128" s="150"/>
      <c r="X128" s="146"/>
      <c r="Y128" s="151"/>
      <c r="Z128" s="152"/>
      <c r="AA128" s="150"/>
      <c r="AB128" s="146"/>
      <c r="AC128" s="151"/>
      <c r="AD128" s="152"/>
      <c r="AE128" s="150"/>
      <c r="AF128" s="146"/>
      <c r="AG128" s="151"/>
      <c r="AH128" s="152"/>
      <c r="AI128" s="153"/>
    </row>
    <row r="129" spans="1:35" ht="13.5" customHeight="1">
      <c r="B129" s="232"/>
      <c r="C129" s="233"/>
      <c r="D129" s="45" t="s">
        <v>590</v>
      </c>
      <c r="E129" s="46"/>
      <c r="F129" s="163">
        <f>SUMIFS(Port!AP:AP,Port!E:E,"6.2.1 New Cars",Port!H:H,3)/1000000</f>
        <v>1.3008705701760002</v>
      </c>
      <c r="G129" s="163"/>
      <c r="H129" s="98">
        <v>1</v>
      </c>
      <c r="I129" s="48"/>
      <c r="J129" s="164"/>
      <c r="K129" s="165"/>
      <c r="L129" s="122"/>
      <c r="M129" s="136"/>
      <c r="N129" s="549"/>
      <c r="O129" s="53">
        <v>1</v>
      </c>
      <c r="P129" s="48"/>
      <c r="Q129" s="166"/>
      <c r="R129" s="167"/>
      <c r="S129" s="53">
        <v>1</v>
      </c>
      <c r="T129" s="48"/>
      <c r="U129" s="166"/>
      <c r="V129" s="167"/>
      <c r="W129" s="53">
        <v>1</v>
      </c>
      <c r="X129" s="48"/>
      <c r="Y129" s="166"/>
      <c r="Z129" s="167"/>
      <c r="AA129" s="53">
        <v>1</v>
      </c>
      <c r="AB129" s="48"/>
      <c r="AC129" s="166"/>
      <c r="AD129" s="167"/>
      <c r="AE129" s="53">
        <v>1</v>
      </c>
      <c r="AF129" s="48"/>
      <c r="AG129" s="166"/>
      <c r="AH129" s="167"/>
      <c r="AI129" s="235"/>
    </row>
    <row r="130" spans="1:35" ht="13.5" customHeight="1" thickBot="1">
      <c r="B130" s="232"/>
      <c r="C130" s="233"/>
      <c r="D130" s="58" t="s">
        <v>591</v>
      </c>
      <c r="E130" s="59"/>
      <c r="F130" s="168"/>
      <c r="G130" s="168"/>
      <c r="H130" s="62">
        <v>1</v>
      </c>
      <c r="I130" s="62"/>
      <c r="J130" s="169"/>
      <c r="K130" s="170"/>
      <c r="L130" s="122"/>
      <c r="M130" s="171"/>
      <c r="N130" s="549"/>
      <c r="O130" s="65">
        <v>1</v>
      </c>
      <c r="P130" s="62"/>
      <c r="Q130" s="172"/>
      <c r="R130" s="173"/>
      <c r="S130" s="65">
        <v>1</v>
      </c>
      <c r="T130" s="62"/>
      <c r="U130" s="172"/>
      <c r="V130" s="173"/>
      <c r="W130" s="65">
        <v>1</v>
      </c>
      <c r="X130" s="62"/>
      <c r="Y130" s="172"/>
      <c r="Z130" s="173"/>
      <c r="AA130" s="65">
        <v>1</v>
      </c>
      <c r="AB130" s="62"/>
      <c r="AC130" s="172"/>
      <c r="AD130" s="173"/>
      <c r="AE130" s="65">
        <v>1</v>
      </c>
      <c r="AF130" s="62"/>
      <c r="AG130" s="172"/>
      <c r="AH130" s="173"/>
      <c r="AI130" s="235"/>
    </row>
    <row r="131" spans="1:35" ht="13.5" customHeight="1">
      <c r="B131" s="232"/>
      <c r="C131" s="233"/>
      <c r="D131" s="68" t="s">
        <v>592</v>
      </c>
      <c r="E131" s="112"/>
      <c r="F131" s="174">
        <f>SUM(F118,F123,F129,F130)</f>
        <v>3011.6724861719663</v>
      </c>
      <c r="G131" s="174">
        <f>SUM(G118,G123,G129,G130)</f>
        <v>0</v>
      </c>
      <c r="H131" s="175">
        <f>SUM(H118*$J118,H123*$J123,H129*$J129,H130*$J130)/SUM($J118,$J123,$J129,$J130)</f>
        <v>2.1297558331529572E-2</v>
      </c>
      <c r="I131" s="176">
        <f>SUM(I118*$J118,I123*$J123,I129*$J129,I130*$J130)/SUM($J118,$J123,$J129,$J130)</f>
        <v>0.8500000000000002</v>
      </c>
      <c r="J131" s="177">
        <f>SUM(J118,J123,J129,J130)</f>
        <v>3010.3716156017895</v>
      </c>
      <c r="K131" s="178">
        <f>SUM(K118,K123,K129,K130)</f>
        <v>54.49653032043102</v>
      </c>
      <c r="L131" s="75"/>
      <c r="M131" s="179"/>
      <c r="N131" s="550"/>
      <c r="O131" s="180" t="e">
        <f>SUM(O118*Q118,O123*Q123,O129*Q129,O130*Q130)/SUM(Q118,Q123,Q129,Q130)</f>
        <v>#DIV/0!</v>
      </c>
      <c r="P131" s="180" t="e">
        <f>SUM(P118*Q118,P123*Q123,P129*Q129,P130*Q130)/SUM(Q118,Q123,Q129,Q130)</f>
        <v>#DIV/0!</v>
      </c>
      <c r="Q131" s="181">
        <f>SUM(Q118,Q123,Q129,Q130)</f>
        <v>0</v>
      </c>
      <c r="R131" s="182">
        <f>SUM(R118,R123,R129,R130)</f>
        <v>0</v>
      </c>
      <c r="S131" s="180" t="e">
        <f>SUM(S118*U118,S123*U123,S129*U129,S130*U130)/SUM(U118,U123,U129,U130)</f>
        <v>#DIV/0!</v>
      </c>
      <c r="T131" s="180" t="e">
        <f>SUM(T118*U118,T123*U123,T129*U129,T130*U130)/SUM(U118,U123,U129,U130)</f>
        <v>#DIV/0!</v>
      </c>
      <c r="U131" s="181">
        <f>SUM(U118,U123,U129,U130)</f>
        <v>0</v>
      </c>
      <c r="V131" s="182">
        <f>SUM(V118,V123,V129,V130)</f>
        <v>0</v>
      </c>
      <c r="W131" s="180" t="e">
        <f>SUM(W118*Y118,W123*Y123,W129*Y129,W130*Y130)/SUM(Y118,Y123,Y129,Y130)</f>
        <v>#DIV/0!</v>
      </c>
      <c r="X131" s="180" t="e">
        <f>SUM(X118*Y118,X123*Y123,X129*Y129,X130*Y130)/SUM(Y118,Y123,Y129,Y130)</f>
        <v>#DIV/0!</v>
      </c>
      <c r="Y131" s="181">
        <f>SUM(Y118,Y123,Y129,Y130)</f>
        <v>0</v>
      </c>
      <c r="Z131" s="182">
        <f>SUM(Z118,Z123,Z129,Z130)</f>
        <v>0</v>
      </c>
      <c r="AA131" s="180" t="e">
        <f>SUM(AA118*AC118,AA123*AC123,AA129*AC129,AA130*AC130)/SUM(AC118,AC123,AC129,AC130)</f>
        <v>#DIV/0!</v>
      </c>
      <c r="AB131" s="180" t="e">
        <f>SUM(AB118*AC118,AB123*AC123,AB129*AC129,AB130*AC130)/SUM(AC118,AC123,AC129,AC130)</f>
        <v>#DIV/0!</v>
      </c>
      <c r="AC131" s="181">
        <f>SUM(AC118,AC123,AC129,AC130)</f>
        <v>0</v>
      </c>
      <c r="AD131" s="182">
        <f>SUM(AD118,AD123,AD129,AD130)</f>
        <v>0</v>
      </c>
      <c r="AE131" s="180" t="e">
        <f>SUM(AE118*AG118,AE123*AG123,AE129*AG129,AE130*AG130)/SUM(AG118,AG123,AG129,AG130)</f>
        <v>#DIV/0!</v>
      </c>
      <c r="AF131" s="180" t="e">
        <f>SUM(AF118*AG118,AF123*AG123,AF129*AG129,AF130*AG130)/SUM(AG118,AG123,AG129,AG130)</f>
        <v>#DIV/0!</v>
      </c>
      <c r="AG131" s="181">
        <f>SUM(AG118,AG123,AG129,AG130)</f>
        <v>0</v>
      </c>
      <c r="AH131" s="182">
        <f>SUM(AH118,AH123,AH129,AH130)</f>
        <v>0</v>
      </c>
      <c r="AI131" s="78"/>
    </row>
    <row r="132" spans="1:35" ht="13.5" customHeight="1">
      <c r="B132" s="232"/>
      <c r="C132" s="233"/>
      <c r="D132" s="79" t="s">
        <v>593</v>
      </c>
      <c r="E132" s="46"/>
      <c r="F132" s="183"/>
      <c r="G132" s="183"/>
      <c r="H132" s="81"/>
      <c r="I132" s="82"/>
      <c r="J132" s="83"/>
      <c r="K132" s="84"/>
      <c r="L132" s="51"/>
      <c r="M132" s="51"/>
      <c r="N132" s="85"/>
      <c r="O132" s="86"/>
      <c r="P132" s="82"/>
      <c r="Q132" s="83"/>
      <c r="R132" s="184"/>
      <c r="S132" s="86"/>
      <c r="T132" s="82"/>
      <c r="U132" s="83"/>
      <c r="V132" s="184"/>
      <c r="W132" s="86"/>
      <c r="X132" s="82"/>
      <c r="Y132" s="83"/>
      <c r="Z132" s="184"/>
      <c r="AA132" s="86"/>
      <c r="AB132" s="82"/>
      <c r="AC132" s="83"/>
      <c r="AD132" s="184"/>
      <c r="AE132" s="86"/>
      <c r="AF132" s="82"/>
      <c r="AG132" s="83"/>
      <c r="AH132" s="184"/>
      <c r="AI132" s="235"/>
    </row>
    <row r="133" spans="1:35" ht="13.5" customHeight="1" thickBot="1">
      <c r="B133" s="232"/>
      <c r="C133" s="233"/>
      <c r="D133" s="89" t="s">
        <v>594</v>
      </c>
      <c r="E133" s="113"/>
      <c r="F133" s="168"/>
      <c r="G133" s="168"/>
      <c r="H133" s="91"/>
      <c r="I133" s="92"/>
      <c r="J133" s="93"/>
      <c r="K133" s="94"/>
      <c r="L133" s="51"/>
      <c r="M133" s="51"/>
      <c r="N133" s="85"/>
      <c r="O133" s="95"/>
      <c r="P133" s="92"/>
      <c r="Q133" s="93"/>
      <c r="R133" s="185"/>
      <c r="S133" s="95"/>
      <c r="T133" s="92"/>
      <c r="U133" s="93"/>
      <c r="V133" s="185"/>
      <c r="W133" s="95"/>
      <c r="X133" s="92"/>
      <c r="Y133" s="93"/>
      <c r="Z133" s="185"/>
      <c r="AA133" s="95"/>
      <c r="AB133" s="92"/>
      <c r="AC133" s="93"/>
      <c r="AD133" s="185"/>
      <c r="AE133" s="95"/>
      <c r="AF133" s="92"/>
      <c r="AG133" s="93"/>
      <c r="AH133" s="185"/>
      <c r="AI133" s="235"/>
    </row>
    <row r="134" spans="1:35" ht="13.5" customHeight="1">
      <c r="B134" s="227" t="s">
        <v>616</v>
      </c>
      <c r="C134" s="228"/>
      <c r="D134" s="32" t="s">
        <v>598</v>
      </c>
      <c r="E134" s="33"/>
      <c r="F134" s="117">
        <f>SUM(F135:F138)</f>
        <v>690.51857901011886</v>
      </c>
      <c r="G134" s="117">
        <f>SUM(G135:G138)</f>
        <v>0</v>
      </c>
      <c r="H134" s="118">
        <f>SUMPRODUCT(H135:H138,$J135:$J138)/SUM(J135:J138)</f>
        <v>2.2001851334039826E-2</v>
      </c>
      <c r="I134" s="245">
        <f>SUMPRODUCT(J135:J138,$I135:$I138)/SUM(J135:J138)</f>
        <v>0.85000000000000009</v>
      </c>
      <c r="J134" s="120">
        <f>SUM(J135:J138)</f>
        <v>690.51857901011874</v>
      </c>
      <c r="K134" s="121">
        <f>SUM(K135:K138)</f>
        <v>12.913784050957105</v>
      </c>
      <c r="L134" s="122"/>
      <c r="M134" s="123"/>
      <c r="N134" s="548"/>
      <c r="O134" s="124" t="e">
        <f>SUMPRODUCT(O135:O138,Q135:Q138)/SUM(Q135:Q138)</f>
        <v>#DIV/0!</v>
      </c>
      <c r="P134" s="119" t="e">
        <f>SUMPRODUCT(Q135:Q138,$P135:$P138)/SUM(Q135:Q138)</f>
        <v>#DIV/0!</v>
      </c>
      <c r="Q134" s="125">
        <f>SUM(Q135:Q138)</f>
        <v>0</v>
      </c>
      <c r="R134" s="126">
        <f>SUM(R135:R138)</f>
        <v>0</v>
      </c>
      <c r="S134" s="124" t="e">
        <f>SUMPRODUCT(S135:S138,U135:U138)/SUM(U135:U138)</f>
        <v>#DIV/0!</v>
      </c>
      <c r="T134" s="119" t="e">
        <f>SUMPRODUCT(U135:U138,$T135:$T138)/SUM(U135:U138)</f>
        <v>#DIV/0!</v>
      </c>
      <c r="U134" s="125">
        <f>SUM(U135:U138)</f>
        <v>0</v>
      </c>
      <c r="V134" s="126">
        <f>SUM(V135:V138)</f>
        <v>0</v>
      </c>
      <c r="W134" s="124" t="e">
        <f>SUMPRODUCT(W135:W138,Y135:Y138)/SUM(Y135:Y138)</f>
        <v>#DIV/0!</v>
      </c>
      <c r="X134" s="119" t="e">
        <f>SUMPRODUCT(Y135:Y138,$X135:$X138)/SUM(Y135:Y138)</f>
        <v>#DIV/0!</v>
      </c>
      <c r="Y134" s="125">
        <f>SUM(Y135:Y138)</f>
        <v>0</v>
      </c>
      <c r="Z134" s="126">
        <f>SUM(Z135:Z138)</f>
        <v>0</v>
      </c>
      <c r="AA134" s="124" t="e">
        <f>SUMPRODUCT(AA135:AA138,AC135:AC138)/SUM(AC135:AC138)</f>
        <v>#DIV/0!</v>
      </c>
      <c r="AB134" s="119" t="e">
        <f>SUMPRODUCT(AC135:AC138,$AB135:$AB138)/SUM(AC135:AC138)</f>
        <v>#DIV/0!</v>
      </c>
      <c r="AC134" s="125">
        <f>SUM(AC135:AC138)</f>
        <v>0</v>
      </c>
      <c r="AD134" s="126">
        <f>SUM(AD135:AD138)</f>
        <v>0</v>
      </c>
      <c r="AE134" s="124" t="e">
        <f>SUMPRODUCT(AE135:AE138,AG135:AG138)/SUM(AG135:AG138)</f>
        <v>#DIV/0!</v>
      </c>
      <c r="AF134" s="119" t="e">
        <f>SUMPRODUCT(AG135:AG138,$AF135:$AF138)/SUM(AG135:AG138)</f>
        <v>#DIV/0!</v>
      </c>
      <c r="AG134" s="125">
        <f>SUM(AG135:AG138)</f>
        <v>0</v>
      </c>
      <c r="AH134" s="126">
        <f>SUM(AH135:AH138)</f>
        <v>0</v>
      </c>
      <c r="AI134" s="229"/>
    </row>
    <row r="135" spans="1:35" s="154" customFormat="1" ht="13.15" customHeight="1" outlineLevel="1">
      <c r="A135" s="142"/>
      <c r="B135" s="143"/>
      <c r="C135" s="231"/>
      <c r="D135" s="129" t="s">
        <v>599</v>
      </c>
      <c r="E135" s="46"/>
      <c r="F135" s="144"/>
      <c r="G135" s="144"/>
      <c r="H135" s="145"/>
      <c r="I135" s="146"/>
      <c r="J135" s="147"/>
      <c r="K135" s="148"/>
      <c r="L135" s="149"/>
      <c r="M135" s="136"/>
      <c r="N135" s="549"/>
      <c r="O135" s="137"/>
      <c r="P135" s="133"/>
      <c r="Q135" s="138"/>
      <c r="R135" s="139"/>
      <c r="S135" s="137"/>
      <c r="T135" s="133"/>
      <c r="U135" s="138"/>
      <c r="V135" s="139"/>
      <c r="W135" s="137"/>
      <c r="X135" s="133"/>
      <c r="Y135" s="138"/>
      <c r="Z135" s="139"/>
      <c r="AA135" s="137"/>
      <c r="AB135" s="133"/>
      <c r="AC135" s="138"/>
      <c r="AD135" s="139"/>
      <c r="AE135" s="137"/>
      <c r="AF135" s="133"/>
      <c r="AG135" s="138"/>
      <c r="AH135" s="139"/>
      <c r="AI135" s="153"/>
    </row>
    <row r="136" spans="1:35" s="154" customFormat="1" ht="13.15" customHeight="1" outlineLevel="1">
      <c r="A136" s="142"/>
      <c r="B136" s="143"/>
      <c r="C136" s="231"/>
      <c r="D136" s="129" t="s">
        <v>600</v>
      </c>
      <c r="E136" s="46"/>
      <c r="F136" s="144"/>
      <c r="G136" s="144"/>
      <c r="H136" s="145"/>
      <c r="I136" s="146"/>
      <c r="J136" s="147"/>
      <c r="K136" s="148"/>
      <c r="L136" s="149"/>
      <c r="M136" s="136"/>
      <c r="N136" s="549"/>
      <c r="O136" s="137"/>
      <c r="P136" s="133"/>
      <c r="Q136" s="138"/>
      <c r="R136" s="139"/>
      <c r="S136" s="137"/>
      <c r="T136" s="133"/>
      <c r="U136" s="138"/>
      <c r="V136" s="139"/>
      <c r="W136" s="137"/>
      <c r="X136" s="133"/>
      <c r="Y136" s="138"/>
      <c r="Z136" s="139"/>
      <c r="AA136" s="137"/>
      <c r="AB136" s="133"/>
      <c r="AC136" s="138"/>
      <c r="AD136" s="139"/>
      <c r="AE136" s="137"/>
      <c r="AF136" s="133"/>
      <c r="AG136" s="138"/>
      <c r="AH136" s="139"/>
      <c r="AI136" s="153"/>
    </row>
    <row r="137" spans="1:35" s="154" customFormat="1" ht="13.15" customHeight="1" outlineLevel="1">
      <c r="A137" s="142"/>
      <c r="B137" s="143"/>
      <c r="C137" s="231"/>
      <c r="D137" s="129" t="s">
        <v>601</v>
      </c>
      <c r="E137" s="46"/>
      <c r="F137" s="144"/>
      <c r="G137" s="144"/>
      <c r="H137" s="145"/>
      <c r="I137" s="146"/>
      <c r="J137" s="147"/>
      <c r="K137" s="148"/>
      <c r="L137" s="149"/>
      <c r="M137" s="136"/>
      <c r="N137" s="549"/>
      <c r="O137" s="150"/>
      <c r="P137" s="146"/>
      <c r="Q137" s="151"/>
      <c r="R137" s="152"/>
      <c r="S137" s="150"/>
      <c r="T137" s="146"/>
      <c r="U137" s="151"/>
      <c r="V137" s="152"/>
      <c r="W137" s="150"/>
      <c r="X137" s="146"/>
      <c r="Y137" s="151"/>
      <c r="Z137" s="152"/>
      <c r="AA137" s="150"/>
      <c r="AB137" s="146"/>
      <c r="AC137" s="151"/>
      <c r="AD137" s="152"/>
      <c r="AE137" s="150"/>
      <c r="AF137" s="146"/>
      <c r="AG137" s="151"/>
      <c r="AH137" s="152"/>
      <c r="AI137" s="153"/>
    </row>
    <row r="138" spans="1:35" s="154" customFormat="1" ht="13.15" customHeight="1" outlineLevel="1">
      <c r="A138" s="142"/>
      <c r="B138" s="143"/>
      <c r="C138" s="231"/>
      <c r="D138" s="129" t="s">
        <v>602</v>
      </c>
      <c r="E138" s="46"/>
      <c r="F138" s="144">
        <f>SUMIFS(Port!AP:AP,Port!E:E,"6.2.2 Used Cars",Port!H:H,1)/1000000</f>
        <v>690.51857901011886</v>
      </c>
      <c r="G138" s="144"/>
      <c r="H138" s="145">
        <f>(SUMIFS(Port!AL:AL,Port!E:E,"6.2.2 Used Cars",Port!H:H,1)+SUMIFS(Port!AM:AM,Port!E:E,"6.2.2 Used Cars",Port!H:H,1)) / (SUMIFS(Port!AF:AF,Port!E:E,"6.2.2 Used Cars",Port!H:H,1)+SUMIFS(Port!AG:AG,Port!E:E,"6.2.2 Used Cars",Port!H:H,1))</f>
        <v>2.2001851334039826E-2</v>
      </c>
      <c r="I138" s="146">
        <f>(SUMIFS(Port!AN:AN,Port!E:E,"6.2.2 Used Cars",Port!H:H,1)+SUMIFS(Port!AO:AO,Port!E:E,"6.2.2 Used Cars",Port!H:H,1)) / (SUMIFS(Port!AF:AF,Port!E:E,"6.2.2 Used Cars",Port!H:H,1)+SUMIFS(Port!AG:AG,Port!E:E,"6.2.2 Used Cars",Port!H:H,1))</f>
        <v>0.85</v>
      </c>
      <c r="J138" s="147">
        <f>(SUMIFS(Port!AF:AF,Port!E:E,"6.2.2 Used Cars",Port!H:H,1)+SUMIFS(Port!AG:AG,Port!E:E,"6.2.2 Used Cars",Port!H:H,1))/1000000</f>
        <v>690.51857901011874</v>
      </c>
      <c r="K138" s="148">
        <f>(SUMIFS(Port!AJ:AJ,Port!E:E,"6.2.2 Used Cars",Port!H:H,1)+SUMIFS(Port!AK:AK,Port!E:E,"6.2.2 Used Cars",Port!H:H,1))/1000000</f>
        <v>12.913784050957105</v>
      </c>
      <c r="L138" s="149"/>
      <c r="M138" s="136"/>
      <c r="N138" s="549"/>
      <c r="O138" s="150"/>
      <c r="P138" s="146"/>
      <c r="Q138" s="151"/>
      <c r="R138" s="152"/>
      <c r="S138" s="150"/>
      <c r="T138" s="146"/>
      <c r="U138" s="151"/>
      <c r="V138" s="152"/>
      <c r="W138" s="150"/>
      <c r="X138" s="146"/>
      <c r="Y138" s="151"/>
      <c r="Z138" s="152"/>
      <c r="AA138" s="150"/>
      <c r="AB138" s="146"/>
      <c r="AC138" s="151"/>
      <c r="AD138" s="152"/>
      <c r="AE138" s="150"/>
      <c r="AF138" s="146"/>
      <c r="AG138" s="151"/>
      <c r="AH138" s="152"/>
      <c r="AI138" s="153"/>
    </row>
    <row r="139" spans="1:35" ht="13.5" customHeight="1">
      <c r="B139" s="232"/>
      <c r="C139" s="233"/>
      <c r="D139" s="45" t="s">
        <v>603</v>
      </c>
      <c r="E139" s="46"/>
      <c r="F139" s="155">
        <f>SUM(F140:F144)</f>
        <v>30.339792587304004</v>
      </c>
      <c r="G139" s="155">
        <f>SUM(G140:G144)</f>
        <v>0</v>
      </c>
      <c r="H139" s="417">
        <f>SUMPRODUCT(H140:H144,$J140:$J144)/SUM(J140:J144)</f>
        <v>6.9997276645376694E-2</v>
      </c>
      <c r="I139" s="418">
        <f>SUMPRODUCT(J140:J144,$I140:$I144)/SUM(J140:J144)</f>
        <v>0.85000000000000031</v>
      </c>
      <c r="J139" s="158">
        <f>SUM(J140:J144)</f>
        <v>30.339792587304004</v>
      </c>
      <c r="K139" s="159">
        <f>SUM(K140:K144)</f>
        <v>1.8051474268323373</v>
      </c>
      <c r="L139" s="122"/>
      <c r="M139" s="123"/>
      <c r="N139" s="549"/>
      <c r="O139" s="160" t="e">
        <f>SUMPRODUCT(O140:O144,Q140:Q144)/SUM(Q140:Q144)</f>
        <v>#DIV/0!</v>
      </c>
      <c r="P139" s="157" t="e">
        <f>SUMPRODUCT(Q140:Q144,$P140:$P144)/SUM(Q140:Q144)</f>
        <v>#DIV/0!</v>
      </c>
      <c r="Q139" s="161">
        <f>SUM(Q140:Q144)</f>
        <v>0</v>
      </c>
      <c r="R139" s="162">
        <f>SUM(R140:R144)</f>
        <v>0</v>
      </c>
      <c r="S139" s="160" t="e">
        <f>SUMPRODUCT(S140:S144,U140:U144)/SUM(U140:U144)</f>
        <v>#DIV/0!</v>
      </c>
      <c r="T139" s="157" t="e">
        <f>SUMPRODUCT(U140:U144,$T140:$T144)/SUM(U140:U144)</f>
        <v>#DIV/0!</v>
      </c>
      <c r="U139" s="161">
        <f>SUM(U140:U144)</f>
        <v>0</v>
      </c>
      <c r="V139" s="162">
        <f>SUM(V140:V144)</f>
        <v>0</v>
      </c>
      <c r="W139" s="160" t="e">
        <f>SUMPRODUCT(W140:W144,Y140:Y144)/SUM(Y140:Y144)</f>
        <v>#DIV/0!</v>
      </c>
      <c r="X139" s="157" t="e">
        <f>SUMPRODUCT(Y140:Y144,$X140:$X144)/SUM(Y140:Y144)</f>
        <v>#DIV/0!</v>
      </c>
      <c r="Y139" s="161">
        <f>SUM(Y140:Y144)</f>
        <v>0</v>
      </c>
      <c r="Z139" s="162">
        <f>SUM(Z140:Z144)</f>
        <v>0</v>
      </c>
      <c r="AA139" s="160" t="e">
        <f>SUMPRODUCT(AA140:AA144,AC140:AC144)/SUM(AC140:AC144)</f>
        <v>#DIV/0!</v>
      </c>
      <c r="AB139" s="157" t="e">
        <f>SUMPRODUCT(AC140:AC144,$AB140:$AB144)/SUM(AC140:AC144)</f>
        <v>#DIV/0!</v>
      </c>
      <c r="AC139" s="161">
        <f>SUM(AC140:AC144)</f>
        <v>0</v>
      </c>
      <c r="AD139" s="162">
        <f>SUM(AD140:AD144)</f>
        <v>0</v>
      </c>
      <c r="AE139" s="160" t="e">
        <f>SUMPRODUCT(AE140:AE144,AG140:AG144)/SUM(AG140:AG144)</f>
        <v>#DIV/0!</v>
      </c>
      <c r="AF139" s="157" t="e">
        <f>SUMPRODUCT(AG140:AG144,$AF140:$AF144)/SUM(AG140:AG144)</f>
        <v>#DIV/0!</v>
      </c>
      <c r="AG139" s="161">
        <f>SUM(AG140:AG144)</f>
        <v>0</v>
      </c>
      <c r="AH139" s="162">
        <f>SUM(AH140:AH144)</f>
        <v>0</v>
      </c>
      <c r="AI139" s="234"/>
    </row>
    <row r="140" spans="1:35" s="154" customFormat="1" ht="13.15" customHeight="1" outlineLevel="1">
      <c r="A140" s="142"/>
      <c r="B140" s="143"/>
      <c r="C140" s="231"/>
      <c r="D140" s="129" t="s">
        <v>604</v>
      </c>
      <c r="E140" s="46"/>
      <c r="F140" s="144">
        <f>SUMIFS(Port!AP:AP,Port!E:E,"6.2.2 Used Cars",Port!H:H,2)/1000000</f>
        <v>30.339792587304004</v>
      </c>
      <c r="G140" s="144"/>
      <c r="H140" s="145">
        <f>(SUMIFS(Port!AL:AL,Port!E:E,"6.2.2 Used Cars",Port!H:H,2)+SUMIFS(Port!AM:AM,Port!E:E,"6.2.2 Used Cars",Port!H:H,2)) / (SUMIFS(Port!AF:AF,Port!E:E,"6.2.2 Used Cars",Port!H:H,2)+SUMIFS(Port!AG:AG,Port!E:E,"6.2.2 Used Cars",Port!H:H,2))</f>
        <v>6.9997276645376694E-2</v>
      </c>
      <c r="I140" s="146">
        <f>(SUMIFS(Port!AN:AN,Port!E:E,"6.2.2 Used Cars",Port!H:H,2)+SUMIFS(Port!AO:AO,Port!E:E,"6.2.2 Used Cars",Port!H:H,2)) / (SUMIFS(Port!AF:AF,Port!E:E,"6.2.2 Used Cars",Port!H:H,2)+SUMIFS(Port!AG:AG,Port!E:E,"6.2.2 Used Cars",Port!H:H,2))</f>
        <v>0.8500000000000002</v>
      </c>
      <c r="J140" s="147">
        <f>(SUMIFS(Port!AF:AF,Port!E:E,"6.2.2 Used Cars",Port!H:H,2)+SUMIFS(Port!AG:AG,Port!E:E,"6.2.2 Used Cars",Port!H:H,2))/1000000</f>
        <v>30.339792587304004</v>
      </c>
      <c r="K140" s="148">
        <f>(SUMIFS(Port!AJ:AJ,Port!E:E,"6.2.2 Used Cars",Port!H:H,2)+SUMIFS(Port!AK:AK,Port!E:E,"6.2.2 Used Cars",Port!H:H,2))/1000000</f>
        <v>1.8051474268323373</v>
      </c>
      <c r="L140" s="149"/>
      <c r="M140" s="136"/>
      <c r="N140" s="549"/>
      <c r="O140" s="137"/>
      <c r="P140" s="133"/>
      <c r="Q140" s="138"/>
      <c r="R140" s="139"/>
      <c r="S140" s="137"/>
      <c r="T140" s="133"/>
      <c r="U140" s="138"/>
      <c r="V140" s="139"/>
      <c r="W140" s="137"/>
      <c r="X140" s="133"/>
      <c r="Y140" s="138"/>
      <c r="Z140" s="139"/>
      <c r="AA140" s="137"/>
      <c r="AB140" s="133"/>
      <c r="AC140" s="138"/>
      <c r="AD140" s="139"/>
      <c r="AE140" s="137"/>
      <c r="AF140" s="133"/>
      <c r="AG140" s="138"/>
      <c r="AH140" s="139"/>
      <c r="AI140" s="153"/>
    </row>
    <row r="141" spans="1:35" s="154" customFormat="1" ht="13.15" customHeight="1" outlineLevel="1">
      <c r="A141" s="142"/>
      <c r="B141" s="143"/>
      <c r="C141" s="231"/>
      <c r="D141" s="129" t="s">
        <v>599</v>
      </c>
      <c r="E141" s="46"/>
      <c r="F141" s="144"/>
      <c r="G141" s="144"/>
      <c r="H141" s="145"/>
      <c r="I141" s="146"/>
      <c r="J141" s="147"/>
      <c r="K141" s="148"/>
      <c r="L141" s="149"/>
      <c r="M141" s="136"/>
      <c r="N141" s="549"/>
      <c r="O141" s="137"/>
      <c r="P141" s="133"/>
      <c r="Q141" s="138"/>
      <c r="R141" s="139"/>
      <c r="S141" s="137"/>
      <c r="T141" s="133"/>
      <c r="U141" s="138"/>
      <c r="V141" s="139"/>
      <c r="W141" s="137"/>
      <c r="X141" s="133"/>
      <c r="Y141" s="138"/>
      <c r="Z141" s="139"/>
      <c r="AA141" s="137"/>
      <c r="AB141" s="133"/>
      <c r="AC141" s="138"/>
      <c r="AD141" s="139"/>
      <c r="AE141" s="137"/>
      <c r="AF141" s="133"/>
      <c r="AG141" s="138"/>
      <c r="AH141" s="139"/>
      <c r="AI141" s="153"/>
    </row>
    <row r="142" spans="1:35" s="154" customFormat="1" ht="13.15" customHeight="1" outlineLevel="1">
      <c r="A142" s="142"/>
      <c r="B142" s="143"/>
      <c r="C142" s="231"/>
      <c r="D142" s="129" t="s">
        <v>600</v>
      </c>
      <c r="E142" s="46"/>
      <c r="F142" s="144"/>
      <c r="G142" s="144"/>
      <c r="H142" s="145"/>
      <c r="I142" s="146"/>
      <c r="J142" s="147"/>
      <c r="K142" s="148"/>
      <c r="L142" s="149"/>
      <c r="M142" s="136"/>
      <c r="N142" s="549"/>
      <c r="O142" s="150"/>
      <c r="P142" s="146"/>
      <c r="Q142" s="151"/>
      <c r="R142" s="152"/>
      <c r="S142" s="150"/>
      <c r="T142" s="146"/>
      <c r="U142" s="151"/>
      <c r="V142" s="152"/>
      <c r="W142" s="150"/>
      <c r="X142" s="146"/>
      <c r="Y142" s="151"/>
      <c r="Z142" s="152"/>
      <c r="AA142" s="150"/>
      <c r="AB142" s="146"/>
      <c r="AC142" s="151"/>
      <c r="AD142" s="152"/>
      <c r="AE142" s="150"/>
      <c r="AF142" s="146"/>
      <c r="AG142" s="151"/>
      <c r="AH142" s="152"/>
      <c r="AI142" s="153"/>
    </row>
    <row r="143" spans="1:35" s="154" customFormat="1" ht="13.15" customHeight="1" outlineLevel="1">
      <c r="A143" s="142"/>
      <c r="B143" s="143"/>
      <c r="C143" s="231"/>
      <c r="D143" s="129" t="s">
        <v>601</v>
      </c>
      <c r="E143" s="46"/>
      <c r="F143" s="144"/>
      <c r="G143" s="144"/>
      <c r="H143" s="145"/>
      <c r="I143" s="146"/>
      <c r="J143" s="147"/>
      <c r="K143" s="148"/>
      <c r="L143" s="149"/>
      <c r="M143" s="136"/>
      <c r="N143" s="549"/>
      <c r="O143" s="150"/>
      <c r="P143" s="146"/>
      <c r="Q143" s="151"/>
      <c r="R143" s="152"/>
      <c r="S143" s="150"/>
      <c r="T143" s="146"/>
      <c r="U143" s="151"/>
      <c r="V143" s="152"/>
      <c r="W143" s="150"/>
      <c r="X143" s="146"/>
      <c r="Y143" s="151"/>
      <c r="Z143" s="152"/>
      <c r="AA143" s="150"/>
      <c r="AB143" s="146"/>
      <c r="AC143" s="151"/>
      <c r="AD143" s="152"/>
      <c r="AE143" s="150"/>
      <c r="AF143" s="146"/>
      <c r="AG143" s="151"/>
      <c r="AH143" s="152"/>
      <c r="AI143" s="153"/>
    </row>
    <row r="144" spans="1:35" s="154" customFormat="1" ht="13.15" customHeight="1" outlineLevel="1">
      <c r="A144" s="142"/>
      <c r="B144" s="143"/>
      <c r="C144" s="231"/>
      <c r="D144" s="129" t="s">
        <v>602</v>
      </c>
      <c r="E144" s="46"/>
      <c r="F144" s="144"/>
      <c r="G144" s="144"/>
      <c r="H144" s="145"/>
      <c r="I144" s="146"/>
      <c r="J144" s="147"/>
      <c r="K144" s="148"/>
      <c r="L144" s="149"/>
      <c r="M144" s="136"/>
      <c r="N144" s="549"/>
      <c r="O144" s="150"/>
      <c r="P144" s="146"/>
      <c r="Q144" s="151"/>
      <c r="R144" s="152"/>
      <c r="S144" s="150"/>
      <c r="T144" s="146"/>
      <c r="U144" s="151"/>
      <c r="V144" s="152"/>
      <c r="W144" s="150"/>
      <c r="X144" s="146"/>
      <c r="Y144" s="151"/>
      <c r="Z144" s="152"/>
      <c r="AA144" s="150"/>
      <c r="AB144" s="146"/>
      <c r="AC144" s="151"/>
      <c r="AD144" s="152"/>
      <c r="AE144" s="150"/>
      <c r="AF144" s="146"/>
      <c r="AG144" s="151"/>
      <c r="AH144" s="152"/>
      <c r="AI144" s="153"/>
    </row>
    <row r="145" spans="1:35" ht="13.5" customHeight="1">
      <c r="B145" s="232"/>
      <c r="C145" s="233"/>
      <c r="D145" s="45" t="s">
        <v>590</v>
      </c>
      <c r="E145" s="46"/>
      <c r="F145" s="163">
        <f>SUMIFS(Port!AP:AP,Port!E:E,"6.2.2 Used Cars",Port!H:H,3)/1000000</f>
        <v>0</v>
      </c>
      <c r="G145" s="163"/>
      <c r="H145" s="98">
        <v>1</v>
      </c>
      <c r="I145" s="48"/>
      <c r="J145" s="164"/>
      <c r="K145" s="165"/>
      <c r="L145" s="122"/>
      <c r="M145" s="136"/>
      <c r="N145" s="549"/>
      <c r="O145" s="53">
        <v>1</v>
      </c>
      <c r="P145" s="48"/>
      <c r="Q145" s="166"/>
      <c r="R145" s="167"/>
      <c r="S145" s="53">
        <v>1</v>
      </c>
      <c r="T145" s="48"/>
      <c r="U145" s="166"/>
      <c r="V145" s="167"/>
      <c r="W145" s="53">
        <v>1</v>
      </c>
      <c r="X145" s="48"/>
      <c r="Y145" s="166"/>
      <c r="Z145" s="167"/>
      <c r="AA145" s="53">
        <v>1</v>
      </c>
      <c r="AB145" s="48"/>
      <c r="AC145" s="166"/>
      <c r="AD145" s="167"/>
      <c r="AE145" s="53">
        <v>1</v>
      </c>
      <c r="AF145" s="48"/>
      <c r="AG145" s="166"/>
      <c r="AH145" s="167"/>
      <c r="AI145" s="235"/>
    </row>
    <row r="146" spans="1:35" ht="13.5" customHeight="1" thickBot="1">
      <c r="B146" s="232"/>
      <c r="C146" s="233"/>
      <c r="D146" s="58" t="s">
        <v>591</v>
      </c>
      <c r="E146" s="59"/>
      <c r="F146" s="168"/>
      <c r="G146" s="168"/>
      <c r="H146" s="62">
        <v>1</v>
      </c>
      <c r="I146" s="62"/>
      <c r="J146" s="169"/>
      <c r="K146" s="170"/>
      <c r="L146" s="122"/>
      <c r="M146" s="171"/>
      <c r="N146" s="549"/>
      <c r="O146" s="65">
        <v>1</v>
      </c>
      <c r="P146" s="62"/>
      <c r="Q146" s="172"/>
      <c r="R146" s="173"/>
      <c r="S146" s="65">
        <v>1</v>
      </c>
      <c r="T146" s="62"/>
      <c r="U146" s="172"/>
      <c r="V146" s="173"/>
      <c r="W146" s="65">
        <v>1</v>
      </c>
      <c r="X146" s="62"/>
      <c r="Y146" s="172"/>
      <c r="Z146" s="173"/>
      <c r="AA146" s="65">
        <v>1</v>
      </c>
      <c r="AB146" s="62"/>
      <c r="AC146" s="172"/>
      <c r="AD146" s="173"/>
      <c r="AE146" s="65">
        <v>1</v>
      </c>
      <c r="AF146" s="62"/>
      <c r="AG146" s="172"/>
      <c r="AH146" s="173"/>
      <c r="AI146" s="235"/>
    </row>
    <row r="147" spans="1:35" ht="13.5" customHeight="1">
      <c r="B147" s="232"/>
      <c r="C147" s="233"/>
      <c r="D147" s="68" t="s">
        <v>592</v>
      </c>
      <c r="E147" s="112"/>
      <c r="F147" s="174">
        <f>SUM(F134,F139,F145,F146)</f>
        <v>720.85837159742289</v>
      </c>
      <c r="G147" s="174">
        <f>SUM(G134,G139,G145,G146)</f>
        <v>0</v>
      </c>
      <c r="H147" s="175">
        <f>SUM(H134*$J134,H139*$J139,H145*$J145,H146*$J146)/SUM($J134,$J139,$J145,$J146)</f>
        <v>2.4021903131258359E-2</v>
      </c>
      <c r="I147" s="176">
        <f>SUM(I134*$J134,I139*$J139,I145*$J145,I146*$J146)/SUM($J134,$J139,$J145,$J146)</f>
        <v>0.85</v>
      </c>
      <c r="J147" s="177">
        <f>SUM(J134,J139,J145,J146)</f>
        <v>720.85837159742277</v>
      </c>
      <c r="K147" s="178">
        <f>SUM(K134,K139,K145,K146)</f>
        <v>14.718931477789443</v>
      </c>
      <c r="L147" s="75"/>
      <c r="M147" s="179"/>
      <c r="N147" s="550"/>
      <c r="O147" s="180" t="e">
        <f>SUM(O134*Q134,O139*Q139,O145*Q145,O146*Q146)/SUM(Q134,Q139,Q145,Q146)</f>
        <v>#DIV/0!</v>
      </c>
      <c r="P147" s="180" t="e">
        <f>SUM(P134*Q134,P139*Q139,P145*Q145,P146*Q146)/SUM(Q134,Q139,Q145,Q146)</f>
        <v>#DIV/0!</v>
      </c>
      <c r="Q147" s="181">
        <f>SUM(Q134,Q139,Q145,Q146)</f>
        <v>0</v>
      </c>
      <c r="R147" s="182">
        <f>SUM(R134,R139,R145,R146)</f>
        <v>0</v>
      </c>
      <c r="S147" s="180" t="e">
        <f>SUM(S134*U134,S139*U139,S145*U145,S146*U146)/SUM(U134,U139,U145,U146)</f>
        <v>#DIV/0!</v>
      </c>
      <c r="T147" s="180" t="e">
        <f>SUM(T134*U134,T139*U139,T145*U145,T146*U146)/SUM(U134,U139,U145,U146)</f>
        <v>#DIV/0!</v>
      </c>
      <c r="U147" s="181">
        <f>SUM(U134,U139,U145,U146)</f>
        <v>0</v>
      </c>
      <c r="V147" s="182">
        <f>SUM(V134,V139,V145,V146)</f>
        <v>0</v>
      </c>
      <c r="W147" s="180" t="e">
        <f>SUM(W134*Y134,W139*Y139,W145*Y145,W146*Y146)/SUM(Y134,Y139,Y145,Y146)</f>
        <v>#DIV/0!</v>
      </c>
      <c r="X147" s="180" t="e">
        <f>SUM(X134*Y134,X139*Y139,X145*Y145,X146*Y146)/SUM(Y134,Y139,Y145,Y146)</f>
        <v>#DIV/0!</v>
      </c>
      <c r="Y147" s="181">
        <f>SUM(Y134,Y139,Y145,Y146)</f>
        <v>0</v>
      </c>
      <c r="Z147" s="182">
        <f>SUM(Z134,Z139,Z145,Z146)</f>
        <v>0</v>
      </c>
      <c r="AA147" s="180" t="e">
        <f>SUM(AA134*AC134,AA139*AC139,AA145*AC145,AA146*AC146)/SUM(AC134,AC139,AC145,AC146)</f>
        <v>#DIV/0!</v>
      </c>
      <c r="AB147" s="180" t="e">
        <f>SUM(AB134*AC134,AB139*AC139,AB145*AC145,AB146*AC146)/SUM(AC134,AC139,AC145,AC146)</f>
        <v>#DIV/0!</v>
      </c>
      <c r="AC147" s="181">
        <f>SUM(AC134,AC139,AC145,AC146)</f>
        <v>0</v>
      </c>
      <c r="AD147" s="182">
        <f>SUM(AD134,AD139,AD145,AD146)</f>
        <v>0</v>
      </c>
      <c r="AE147" s="180" t="e">
        <f>SUM(AE134*AG134,AE139*AG139,AE145*AG145,AE146*AG146)/SUM(AG134,AG139,AG145,AG146)</f>
        <v>#DIV/0!</v>
      </c>
      <c r="AF147" s="180" t="e">
        <f>SUM(AF134*AG134,AF139*AG139,AF145*AG145,AF146*AG146)/SUM(AG134,AG139,AG145,AG146)</f>
        <v>#DIV/0!</v>
      </c>
      <c r="AG147" s="181">
        <f>SUM(AG134,AG139,AG145,AG146)</f>
        <v>0</v>
      </c>
      <c r="AH147" s="182">
        <f>SUM(AH134,AH139,AH145,AH146)</f>
        <v>0</v>
      </c>
      <c r="AI147" s="78"/>
    </row>
    <row r="148" spans="1:35" ht="13.5" customHeight="1">
      <c r="B148" s="232"/>
      <c r="C148" s="233"/>
      <c r="D148" s="79" t="s">
        <v>593</v>
      </c>
      <c r="E148" s="46"/>
      <c r="F148" s="183"/>
      <c r="G148" s="183"/>
      <c r="H148" s="81"/>
      <c r="I148" s="82"/>
      <c r="J148" s="83"/>
      <c r="K148" s="84"/>
      <c r="L148" s="51"/>
      <c r="M148" s="51"/>
      <c r="N148" s="85"/>
      <c r="O148" s="86"/>
      <c r="P148" s="82"/>
      <c r="Q148" s="83"/>
      <c r="R148" s="184"/>
      <c r="S148" s="86"/>
      <c r="T148" s="82"/>
      <c r="U148" s="83"/>
      <c r="V148" s="184"/>
      <c r="W148" s="86"/>
      <c r="X148" s="82"/>
      <c r="Y148" s="83"/>
      <c r="Z148" s="184"/>
      <c r="AA148" s="86"/>
      <c r="AB148" s="82"/>
      <c r="AC148" s="83"/>
      <c r="AD148" s="184"/>
      <c r="AE148" s="86"/>
      <c r="AF148" s="82"/>
      <c r="AG148" s="83"/>
      <c r="AH148" s="184"/>
      <c r="AI148" s="235"/>
    </row>
    <row r="149" spans="1:35" ht="13.5" customHeight="1" thickBot="1">
      <c r="B149" s="232"/>
      <c r="C149" s="233"/>
      <c r="D149" s="89" t="s">
        <v>594</v>
      </c>
      <c r="E149" s="113"/>
      <c r="F149" s="168"/>
      <c r="G149" s="168"/>
      <c r="H149" s="91"/>
      <c r="I149" s="92"/>
      <c r="J149" s="93"/>
      <c r="K149" s="94"/>
      <c r="L149" s="51"/>
      <c r="M149" s="51"/>
      <c r="N149" s="85"/>
      <c r="O149" s="95"/>
      <c r="P149" s="92"/>
      <c r="Q149" s="93"/>
      <c r="R149" s="185"/>
      <c r="S149" s="95"/>
      <c r="T149" s="92"/>
      <c r="U149" s="93"/>
      <c r="V149" s="185"/>
      <c r="W149" s="95"/>
      <c r="X149" s="92"/>
      <c r="Y149" s="93"/>
      <c r="Z149" s="185"/>
      <c r="AA149" s="95"/>
      <c r="AB149" s="92"/>
      <c r="AC149" s="93"/>
      <c r="AD149" s="185"/>
      <c r="AE149" s="95"/>
      <c r="AF149" s="92"/>
      <c r="AG149" s="93"/>
      <c r="AH149" s="185"/>
      <c r="AI149" s="235"/>
    </row>
    <row r="150" spans="1:35" ht="13.5" customHeight="1">
      <c r="B150" s="227" t="s">
        <v>617</v>
      </c>
      <c r="C150" s="228"/>
      <c r="D150" s="32" t="s">
        <v>598</v>
      </c>
      <c r="E150" s="33"/>
      <c r="F150" s="117">
        <f>SUM(F151:F154)</f>
        <v>0</v>
      </c>
      <c r="G150" s="117">
        <f>SUM(G151:G154)</f>
        <v>0</v>
      </c>
      <c r="H150" s="186" t="e">
        <f>SUMPRODUCT(H151:H154,$J151:$J154)/SUM(J151:J154)</f>
        <v>#DIV/0!</v>
      </c>
      <c r="I150" s="119" t="e">
        <f>SUMPRODUCT(J151:J154,$I151:$I154)/SUM(J151:J154)</f>
        <v>#DIV/0!</v>
      </c>
      <c r="J150" s="120">
        <f>SUM(J151:J154)</f>
        <v>0</v>
      </c>
      <c r="K150" s="121">
        <f>SUM(K151:K154)</f>
        <v>0</v>
      </c>
      <c r="L150" s="122"/>
      <c r="M150" s="123"/>
      <c r="N150" s="548"/>
      <c r="O150" s="124" t="e">
        <f>SUMPRODUCT(O151:O154,Q151:Q154)/SUM(Q151:Q154)</f>
        <v>#DIV/0!</v>
      </c>
      <c r="P150" s="119" t="e">
        <f>SUMPRODUCT(Q151:Q154,$P151:$P154)/SUM(Q151:Q154)</f>
        <v>#DIV/0!</v>
      </c>
      <c r="Q150" s="125">
        <f>SUM(Q151:Q154)</f>
        <v>0</v>
      </c>
      <c r="R150" s="126">
        <f>SUM(R151:R154)</f>
        <v>0</v>
      </c>
      <c r="S150" s="124" t="e">
        <f>SUMPRODUCT(S151:S154,U151:U154)/SUM(U151:U154)</f>
        <v>#DIV/0!</v>
      </c>
      <c r="T150" s="119" t="e">
        <f>SUMPRODUCT(U151:U154,$T151:$T154)/SUM(U151:U154)</f>
        <v>#DIV/0!</v>
      </c>
      <c r="U150" s="125">
        <f>SUM(U151:U154)</f>
        <v>0</v>
      </c>
      <c r="V150" s="126">
        <f>SUM(V151:V154)</f>
        <v>0</v>
      </c>
      <c r="W150" s="124" t="e">
        <f>SUMPRODUCT(W151:W154,Y151:Y154)/SUM(Y151:Y154)</f>
        <v>#DIV/0!</v>
      </c>
      <c r="X150" s="119" t="e">
        <f>SUMPRODUCT(Y151:Y154,$X151:$X154)/SUM(Y151:Y154)</f>
        <v>#DIV/0!</v>
      </c>
      <c r="Y150" s="125">
        <f>SUM(Y151:Y154)</f>
        <v>0</v>
      </c>
      <c r="Z150" s="126">
        <f>SUM(Z151:Z154)</f>
        <v>0</v>
      </c>
      <c r="AA150" s="124" t="e">
        <f>SUMPRODUCT(AA151:AA154,AC151:AC154)/SUM(AC151:AC154)</f>
        <v>#DIV/0!</v>
      </c>
      <c r="AB150" s="119" t="e">
        <f>SUMPRODUCT(AC151:AC154,$AB151:$AB154)/SUM(AC151:AC154)</f>
        <v>#DIV/0!</v>
      </c>
      <c r="AC150" s="125">
        <f>SUM(AC151:AC154)</f>
        <v>0</v>
      </c>
      <c r="AD150" s="126">
        <f>SUM(AD151:AD154)</f>
        <v>0</v>
      </c>
      <c r="AE150" s="124" t="e">
        <f>SUMPRODUCT(AE151:AE154,AG151:AG154)/SUM(AG151:AG154)</f>
        <v>#DIV/0!</v>
      </c>
      <c r="AF150" s="119" t="e">
        <f>SUMPRODUCT(AG151:AG154,$AF151:$AF154)/SUM(AG151:AG154)</f>
        <v>#DIV/0!</v>
      </c>
      <c r="AG150" s="125">
        <f>SUM(AG151:AG154)</f>
        <v>0</v>
      </c>
      <c r="AH150" s="126">
        <f>SUM(AH151:AH154)</f>
        <v>0</v>
      </c>
      <c r="AI150" s="229"/>
    </row>
    <row r="151" spans="1:35" s="154" customFormat="1" ht="13.15" customHeight="1" outlineLevel="1">
      <c r="A151" s="142"/>
      <c r="B151" s="143"/>
      <c r="C151" s="231"/>
      <c r="D151" s="129" t="s">
        <v>599</v>
      </c>
      <c r="E151" s="46"/>
      <c r="F151" s="144"/>
      <c r="G151" s="144"/>
      <c r="H151" s="145"/>
      <c r="I151" s="146"/>
      <c r="J151" s="147"/>
      <c r="K151" s="148"/>
      <c r="L151" s="149"/>
      <c r="M151" s="136"/>
      <c r="N151" s="549"/>
      <c r="O151" s="137"/>
      <c r="P151" s="133"/>
      <c r="Q151" s="138"/>
      <c r="R151" s="139"/>
      <c r="S151" s="137"/>
      <c r="T151" s="133"/>
      <c r="U151" s="138"/>
      <c r="V151" s="139"/>
      <c r="W151" s="137"/>
      <c r="X151" s="133"/>
      <c r="Y151" s="138"/>
      <c r="Z151" s="139"/>
      <c r="AA151" s="137"/>
      <c r="AB151" s="133"/>
      <c r="AC151" s="138"/>
      <c r="AD151" s="139"/>
      <c r="AE151" s="137"/>
      <c r="AF151" s="133"/>
      <c r="AG151" s="138"/>
      <c r="AH151" s="139"/>
      <c r="AI151" s="153"/>
    </row>
    <row r="152" spans="1:35" s="154" customFormat="1" ht="13.15" customHeight="1" outlineLevel="1">
      <c r="A152" s="142"/>
      <c r="B152" s="143"/>
      <c r="C152" s="231"/>
      <c r="D152" s="129" t="s">
        <v>600</v>
      </c>
      <c r="E152" s="46"/>
      <c r="F152" s="144"/>
      <c r="G152" s="144"/>
      <c r="H152" s="145"/>
      <c r="I152" s="146"/>
      <c r="J152" s="147"/>
      <c r="K152" s="148"/>
      <c r="L152" s="149"/>
      <c r="M152" s="136"/>
      <c r="N152" s="549"/>
      <c r="O152" s="137"/>
      <c r="P152" s="133"/>
      <c r="Q152" s="138"/>
      <c r="R152" s="139"/>
      <c r="S152" s="137"/>
      <c r="T152" s="133"/>
      <c r="U152" s="138"/>
      <c r="V152" s="139"/>
      <c r="W152" s="137"/>
      <c r="X152" s="133"/>
      <c r="Y152" s="138"/>
      <c r="Z152" s="139"/>
      <c r="AA152" s="137"/>
      <c r="AB152" s="133"/>
      <c r="AC152" s="138"/>
      <c r="AD152" s="139"/>
      <c r="AE152" s="137"/>
      <c r="AF152" s="133"/>
      <c r="AG152" s="138"/>
      <c r="AH152" s="139"/>
      <c r="AI152" s="153"/>
    </row>
    <row r="153" spans="1:35" s="154" customFormat="1" ht="13.15" customHeight="1" outlineLevel="1">
      <c r="A153" s="142"/>
      <c r="B153" s="143"/>
      <c r="C153" s="231"/>
      <c r="D153" s="129" t="s">
        <v>601</v>
      </c>
      <c r="E153" s="46"/>
      <c r="F153" s="144"/>
      <c r="G153" s="144"/>
      <c r="H153" s="145"/>
      <c r="I153" s="146"/>
      <c r="J153" s="147"/>
      <c r="K153" s="148"/>
      <c r="L153" s="149"/>
      <c r="M153" s="136"/>
      <c r="N153" s="549"/>
      <c r="O153" s="150"/>
      <c r="P153" s="146"/>
      <c r="Q153" s="151"/>
      <c r="R153" s="152"/>
      <c r="S153" s="150"/>
      <c r="T153" s="146"/>
      <c r="U153" s="151"/>
      <c r="V153" s="152"/>
      <c r="W153" s="150"/>
      <c r="X153" s="146"/>
      <c r="Y153" s="151"/>
      <c r="Z153" s="152"/>
      <c r="AA153" s="150"/>
      <c r="AB153" s="146"/>
      <c r="AC153" s="151"/>
      <c r="AD153" s="152"/>
      <c r="AE153" s="150"/>
      <c r="AF153" s="146"/>
      <c r="AG153" s="151"/>
      <c r="AH153" s="152"/>
      <c r="AI153" s="153"/>
    </row>
    <row r="154" spans="1:35" s="154" customFormat="1" ht="13.15" customHeight="1" outlineLevel="1">
      <c r="A154" s="142"/>
      <c r="B154" s="143"/>
      <c r="C154" s="231"/>
      <c r="D154" s="129" t="s">
        <v>602</v>
      </c>
      <c r="E154" s="46"/>
      <c r="F154" s="144"/>
      <c r="G154" s="144"/>
      <c r="H154" s="145"/>
      <c r="I154" s="146"/>
      <c r="J154" s="147"/>
      <c r="K154" s="148"/>
      <c r="L154" s="149"/>
      <c r="M154" s="136"/>
      <c r="N154" s="549"/>
      <c r="O154" s="150"/>
      <c r="P154" s="146"/>
      <c r="Q154" s="151"/>
      <c r="R154" s="152"/>
      <c r="S154" s="150"/>
      <c r="T154" s="146"/>
      <c r="U154" s="151"/>
      <c r="V154" s="152"/>
      <c r="W154" s="150"/>
      <c r="X154" s="146"/>
      <c r="Y154" s="151"/>
      <c r="Z154" s="152"/>
      <c r="AA154" s="150"/>
      <c r="AB154" s="146"/>
      <c r="AC154" s="151"/>
      <c r="AD154" s="152"/>
      <c r="AE154" s="150"/>
      <c r="AF154" s="146"/>
      <c r="AG154" s="151"/>
      <c r="AH154" s="152"/>
      <c r="AI154" s="153"/>
    </row>
    <row r="155" spans="1:35" ht="13.5" customHeight="1">
      <c r="B155" s="232"/>
      <c r="C155" s="233"/>
      <c r="D155" s="45" t="s">
        <v>603</v>
      </c>
      <c r="E155" s="46"/>
      <c r="F155" s="155">
        <f>SUM(F156:F160)</f>
        <v>0</v>
      </c>
      <c r="G155" s="155">
        <f>SUM(G156:G160)</f>
        <v>0</v>
      </c>
      <c r="H155" s="156" t="e">
        <f>SUMPRODUCT(H156:H160,$J156:$J160)/SUM(J156:J160)</f>
        <v>#DIV/0!</v>
      </c>
      <c r="I155" s="157" t="e">
        <f>SUMPRODUCT(J156:J160,$I156:$I160)/SUM(J156:J160)</f>
        <v>#DIV/0!</v>
      </c>
      <c r="J155" s="158">
        <f>SUM(J156:J160)</f>
        <v>0</v>
      </c>
      <c r="K155" s="159">
        <f>SUM(K156:K160)</f>
        <v>0</v>
      </c>
      <c r="L155" s="122"/>
      <c r="M155" s="123"/>
      <c r="N155" s="549"/>
      <c r="O155" s="160" t="e">
        <f>SUMPRODUCT(O156:O160,Q156:Q160)/SUM(Q156:Q160)</f>
        <v>#DIV/0!</v>
      </c>
      <c r="P155" s="157" t="e">
        <f>SUMPRODUCT(Q156:Q160,$P156:$P160)/SUM(Q156:Q160)</f>
        <v>#DIV/0!</v>
      </c>
      <c r="Q155" s="161">
        <f>SUM(Q156:Q160)</f>
        <v>0</v>
      </c>
      <c r="R155" s="162">
        <f>SUM(R156:R160)</f>
        <v>0</v>
      </c>
      <c r="S155" s="160" t="e">
        <f>SUMPRODUCT(S156:S160,U156:U160)/SUM(U156:U160)</f>
        <v>#DIV/0!</v>
      </c>
      <c r="T155" s="157" t="e">
        <f>SUMPRODUCT(U156:U160,$T156:$T160)/SUM(U156:U160)</f>
        <v>#DIV/0!</v>
      </c>
      <c r="U155" s="161">
        <f>SUM(U156:U160)</f>
        <v>0</v>
      </c>
      <c r="V155" s="162">
        <f>SUM(V156:V160)</f>
        <v>0</v>
      </c>
      <c r="W155" s="160" t="e">
        <f>SUMPRODUCT(W156:W160,Y156:Y160)/SUM(Y156:Y160)</f>
        <v>#DIV/0!</v>
      </c>
      <c r="X155" s="157" t="e">
        <f>SUMPRODUCT(Y156:Y160,$X156:$X160)/SUM(Y156:Y160)</f>
        <v>#DIV/0!</v>
      </c>
      <c r="Y155" s="161">
        <f>SUM(Y156:Y160)</f>
        <v>0</v>
      </c>
      <c r="Z155" s="162">
        <f>SUM(Z156:Z160)</f>
        <v>0</v>
      </c>
      <c r="AA155" s="160" t="e">
        <f>SUMPRODUCT(AA156:AA160,AC156:AC160)/SUM(AC156:AC160)</f>
        <v>#DIV/0!</v>
      </c>
      <c r="AB155" s="157" t="e">
        <f>SUMPRODUCT(AC156:AC160,$AB156:$AB160)/SUM(AC156:AC160)</f>
        <v>#DIV/0!</v>
      </c>
      <c r="AC155" s="161">
        <f>SUM(AC156:AC160)</f>
        <v>0</v>
      </c>
      <c r="AD155" s="162">
        <f>SUM(AD156:AD160)</f>
        <v>0</v>
      </c>
      <c r="AE155" s="160" t="e">
        <f>SUMPRODUCT(AE156:AE160,AG156:AG160)/SUM(AG156:AG160)</f>
        <v>#DIV/0!</v>
      </c>
      <c r="AF155" s="157" t="e">
        <f>SUMPRODUCT(AG156:AG160,$AF156:$AF160)/SUM(AG156:AG160)</f>
        <v>#DIV/0!</v>
      </c>
      <c r="AG155" s="161">
        <f>SUM(AG156:AG160)</f>
        <v>0</v>
      </c>
      <c r="AH155" s="162">
        <f>SUM(AH156:AH160)</f>
        <v>0</v>
      </c>
      <c r="AI155" s="234"/>
    </row>
    <row r="156" spans="1:35" s="154" customFormat="1" ht="13.15" customHeight="1" outlineLevel="1">
      <c r="A156" s="142"/>
      <c r="B156" s="143"/>
      <c r="C156" s="231"/>
      <c r="D156" s="129" t="s">
        <v>604</v>
      </c>
      <c r="E156" s="46"/>
      <c r="F156" s="144"/>
      <c r="G156" s="144"/>
      <c r="H156" s="145"/>
      <c r="I156" s="146"/>
      <c r="J156" s="147"/>
      <c r="K156" s="148"/>
      <c r="L156" s="149"/>
      <c r="M156" s="136"/>
      <c r="N156" s="549"/>
      <c r="O156" s="137"/>
      <c r="P156" s="133"/>
      <c r="Q156" s="138"/>
      <c r="R156" s="139"/>
      <c r="S156" s="137"/>
      <c r="T156" s="133"/>
      <c r="U156" s="138"/>
      <c r="V156" s="139"/>
      <c r="W156" s="137"/>
      <c r="X156" s="133"/>
      <c r="Y156" s="138"/>
      <c r="Z156" s="139"/>
      <c r="AA156" s="137"/>
      <c r="AB156" s="133"/>
      <c r="AC156" s="138"/>
      <c r="AD156" s="139"/>
      <c r="AE156" s="137"/>
      <c r="AF156" s="133"/>
      <c r="AG156" s="138"/>
      <c r="AH156" s="139"/>
      <c r="AI156" s="153"/>
    </row>
    <row r="157" spans="1:35" s="154" customFormat="1" ht="13.15" customHeight="1" outlineLevel="1">
      <c r="A157" s="142"/>
      <c r="B157" s="143"/>
      <c r="C157" s="231"/>
      <c r="D157" s="129" t="s">
        <v>599</v>
      </c>
      <c r="E157" s="46"/>
      <c r="F157" s="144"/>
      <c r="G157" s="144"/>
      <c r="H157" s="145"/>
      <c r="I157" s="146"/>
      <c r="J157" s="147"/>
      <c r="K157" s="148"/>
      <c r="L157" s="149"/>
      <c r="M157" s="136"/>
      <c r="N157" s="549"/>
      <c r="O157" s="137"/>
      <c r="P157" s="133"/>
      <c r="Q157" s="138"/>
      <c r="R157" s="139"/>
      <c r="S157" s="137"/>
      <c r="T157" s="133"/>
      <c r="U157" s="138"/>
      <c r="V157" s="139"/>
      <c r="W157" s="137"/>
      <c r="X157" s="133"/>
      <c r="Y157" s="138"/>
      <c r="Z157" s="139"/>
      <c r="AA157" s="137"/>
      <c r="AB157" s="133"/>
      <c r="AC157" s="138"/>
      <c r="AD157" s="139"/>
      <c r="AE157" s="137"/>
      <c r="AF157" s="133"/>
      <c r="AG157" s="138"/>
      <c r="AH157" s="139"/>
      <c r="AI157" s="153"/>
    </row>
    <row r="158" spans="1:35" s="154" customFormat="1" ht="13.15" customHeight="1" outlineLevel="1">
      <c r="A158" s="142"/>
      <c r="B158" s="143"/>
      <c r="C158" s="231"/>
      <c r="D158" s="129" t="s">
        <v>600</v>
      </c>
      <c r="E158" s="46"/>
      <c r="F158" s="144"/>
      <c r="G158" s="144"/>
      <c r="H158" s="145"/>
      <c r="I158" s="146"/>
      <c r="J158" s="147"/>
      <c r="K158" s="148"/>
      <c r="L158" s="149"/>
      <c r="M158" s="136"/>
      <c r="N158" s="549"/>
      <c r="O158" s="150"/>
      <c r="P158" s="146"/>
      <c r="Q158" s="151"/>
      <c r="R158" s="152"/>
      <c r="S158" s="150"/>
      <c r="T158" s="146"/>
      <c r="U158" s="151"/>
      <c r="V158" s="152"/>
      <c r="W158" s="150"/>
      <c r="X158" s="146"/>
      <c r="Y158" s="151"/>
      <c r="Z158" s="152"/>
      <c r="AA158" s="150"/>
      <c r="AB158" s="146"/>
      <c r="AC158" s="151"/>
      <c r="AD158" s="152"/>
      <c r="AE158" s="150"/>
      <c r="AF158" s="146"/>
      <c r="AG158" s="151"/>
      <c r="AH158" s="152"/>
      <c r="AI158" s="153"/>
    </row>
    <row r="159" spans="1:35" s="154" customFormat="1" ht="13.15" customHeight="1" outlineLevel="1">
      <c r="A159" s="142"/>
      <c r="B159" s="143"/>
      <c r="C159" s="231"/>
      <c r="D159" s="129" t="s">
        <v>601</v>
      </c>
      <c r="E159" s="46"/>
      <c r="F159" s="144"/>
      <c r="G159" s="144"/>
      <c r="H159" s="145"/>
      <c r="I159" s="146"/>
      <c r="J159" s="147"/>
      <c r="K159" s="148"/>
      <c r="L159" s="149"/>
      <c r="M159" s="136"/>
      <c r="N159" s="549"/>
      <c r="O159" s="150"/>
      <c r="P159" s="146"/>
      <c r="Q159" s="151"/>
      <c r="R159" s="152"/>
      <c r="S159" s="150"/>
      <c r="T159" s="146"/>
      <c r="U159" s="151"/>
      <c r="V159" s="152"/>
      <c r="W159" s="150"/>
      <c r="X159" s="146"/>
      <c r="Y159" s="151"/>
      <c r="Z159" s="152"/>
      <c r="AA159" s="150"/>
      <c r="AB159" s="146"/>
      <c r="AC159" s="151"/>
      <c r="AD159" s="152"/>
      <c r="AE159" s="150"/>
      <c r="AF159" s="146"/>
      <c r="AG159" s="151"/>
      <c r="AH159" s="152"/>
      <c r="AI159" s="153"/>
    </row>
    <row r="160" spans="1:35" s="154" customFormat="1" ht="13.15" customHeight="1" outlineLevel="1">
      <c r="A160" s="142"/>
      <c r="B160" s="143"/>
      <c r="C160" s="231"/>
      <c r="D160" s="129" t="s">
        <v>602</v>
      </c>
      <c r="E160" s="46"/>
      <c r="F160" s="144"/>
      <c r="G160" s="144"/>
      <c r="H160" s="145"/>
      <c r="I160" s="146"/>
      <c r="J160" s="147"/>
      <c r="K160" s="148"/>
      <c r="L160" s="149"/>
      <c r="M160" s="136"/>
      <c r="N160" s="549"/>
      <c r="O160" s="150"/>
      <c r="P160" s="146"/>
      <c r="Q160" s="151"/>
      <c r="R160" s="152"/>
      <c r="S160" s="150"/>
      <c r="T160" s="146"/>
      <c r="U160" s="151"/>
      <c r="V160" s="152"/>
      <c r="W160" s="150"/>
      <c r="X160" s="146"/>
      <c r="Y160" s="151"/>
      <c r="Z160" s="152"/>
      <c r="AA160" s="150"/>
      <c r="AB160" s="146"/>
      <c r="AC160" s="151"/>
      <c r="AD160" s="152"/>
      <c r="AE160" s="150"/>
      <c r="AF160" s="146"/>
      <c r="AG160" s="151"/>
      <c r="AH160" s="152"/>
      <c r="AI160" s="153"/>
    </row>
    <row r="161" spans="1:35" ht="13.5" customHeight="1">
      <c r="B161" s="232"/>
      <c r="C161" s="233"/>
      <c r="D161" s="45" t="s">
        <v>590</v>
      </c>
      <c r="E161" s="46"/>
      <c r="F161" s="163"/>
      <c r="G161" s="163"/>
      <c r="H161" s="98">
        <v>1</v>
      </c>
      <c r="I161" s="48"/>
      <c r="J161" s="164"/>
      <c r="K161" s="165"/>
      <c r="L161" s="122"/>
      <c r="M161" s="136"/>
      <c r="N161" s="549"/>
      <c r="O161" s="53">
        <v>1</v>
      </c>
      <c r="P161" s="48"/>
      <c r="Q161" s="166"/>
      <c r="R161" s="167"/>
      <c r="S161" s="53">
        <v>1</v>
      </c>
      <c r="T161" s="48"/>
      <c r="U161" s="166"/>
      <c r="V161" s="167"/>
      <c r="W161" s="53">
        <v>1</v>
      </c>
      <c r="X161" s="48"/>
      <c r="Y161" s="166"/>
      <c r="Z161" s="167"/>
      <c r="AA161" s="53">
        <v>1</v>
      </c>
      <c r="AB161" s="48"/>
      <c r="AC161" s="166"/>
      <c r="AD161" s="167"/>
      <c r="AE161" s="53">
        <v>1</v>
      </c>
      <c r="AF161" s="48"/>
      <c r="AG161" s="166"/>
      <c r="AH161" s="167"/>
      <c r="AI161" s="235"/>
    </row>
    <row r="162" spans="1:35" ht="13.5" customHeight="1" thickBot="1">
      <c r="B162" s="232"/>
      <c r="C162" s="233"/>
      <c r="D162" s="58" t="s">
        <v>591</v>
      </c>
      <c r="E162" s="59"/>
      <c r="F162" s="168"/>
      <c r="G162" s="168"/>
      <c r="H162" s="62">
        <v>1</v>
      </c>
      <c r="I162" s="62"/>
      <c r="J162" s="169"/>
      <c r="K162" s="170"/>
      <c r="L162" s="122"/>
      <c r="M162" s="171"/>
      <c r="N162" s="549"/>
      <c r="O162" s="65">
        <v>1</v>
      </c>
      <c r="P162" s="62"/>
      <c r="Q162" s="172"/>
      <c r="R162" s="173"/>
      <c r="S162" s="65">
        <v>1</v>
      </c>
      <c r="T162" s="62"/>
      <c r="U162" s="172"/>
      <c r="V162" s="173"/>
      <c r="W162" s="65">
        <v>1</v>
      </c>
      <c r="X162" s="62"/>
      <c r="Y162" s="172"/>
      <c r="Z162" s="173"/>
      <c r="AA162" s="65">
        <v>1</v>
      </c>
      <c r="AB162" s="62"/>
      <c r="AC162" s="172"/>
      <c r="AD162" s="173"/>
      <c r="AE162" s="65">
        <v>1</v>
      </c>
      <c r="AF162" s="62"/>
      <c r="AG162" s="172"/>
      <c r="AH162" s="173"/>
      <c r="AI162" s="235"/>
    </row>
    <row r="163" spans="1:35" ht="13.5" customHeight="1">
      <c r="B163" s="232"/>
      <c r="C163" s="233"/>
      <c r="D163" s="68" t="s">
        <v>592</v>
      </c>
      <c r="E163" s="112"/>
      <c r="F163" s="174">
        <f>SUM(F150,F155,F161,F162)</f>
        <v>0</v>
      </c>
      <c r="G163" s="174">
        <f>SUM(G150,G155,G161,G162)</f>
        <v>0</v>
      </c>
      <c r="H163" s="175" t="e">
        <f>SUM(H150*$J150,H155*$J155,H161*$J161,H162*$J162)/SUM($J150,$J155,$J161,$J162)</f>
        <v>#DIV/0!</v>
      </c>
      <c r="I163" s="176" t="e">
        <f>SUM(I150*$J150,I155*$J155,I161*$J161,I162*$J162)/SUM($J150,$J155,$J161,$J162)</f>
        <v>#DIV/0!</v>
      </c>
      <c r="J163" s="177">
        <f>SUM(J150,J155,J161,J162)</f>
        <v>0</v>
      </c>
      <c r="K163" s="178">
        <f>SUM(K150,K155,K161,K162)</f>
        <v>0</v>
      </c>
      <c r="L163" s="75"/>
      <c r="M163" s="179"/>
      <c r="N163" s="550"/>
      <c r="O163" s="180" t="e">
        <f>SUM(O150*Q150,O155*Q155,O161*Q161,O162*Q162)/SUM(Q150,Q155,Q161,Q162)</f>
        <v>#DIV/0!</v>
      </c>
      <c r="P163" s="180" t="e">
        <f>SUM(P150*Q150,P155*Q155,P161*Q161,P162*Q162)/SUM(Q150,Q155,Q161,Q162)</f>
        <v>#DIV/0!</v>
      </c>
      <c r="Q163" s="181">
        <f>SUM(Q150,Q155,Q161,Q162)</f>
        <v>0</v>
      </c>
      <c r="R163" s="182">
        <f>SUM(R150,R155,R161,R162)</f>
        <v>0</v>
      </c>
      <c r="S163" s="180" t="e">
        <f>SUM(S150*U150,S155*U155,S161*U161,S162*U162)/SUM(U150,U155,U161,U162)</f>
        <v>#DIV/0!</v>
      </c>
      <c r="T163" s="180" t="e">
        <f>SUM(T150*U150,T155*U155,T161*U161,T162*U162)/SUM(U150,U155,U161,U162)</f>
        <v>#DIV/0!</v>
      </c>
      <c r="U163" s="181">
        <f>SUM(U150,U155,U161,U162)</f>
        <v>0</v>
      </c>
      <c r="V163" s="182">
        <f>SUM(V150,V155,V161,V162)</f>
        <v>0</v>
      </c>
      <c r="W163" s="180" t="e">
        <f>SUM(W150*Y150,W155*Y155,W161*Y161,W162*Y162)/SUM(Y150,Y155,Y161,Y162)</f>
        <v>#DIV/0!</v>
      </c>
      <c r="X163" s="180" t="e">
        <f>SUM(X150*Y150,X155*Y155,X161*Y161,X162*Y162)/SUM(Y150,Y155,Y161,Y162)</f>
        <v>#DIV/0!</v>
      </c>
      <c r="Y163" s="181">
        <f>SUM(Y150,Y155,Y161,Y162)</f>
        <v>0</v>
      </c>
      <c r="Z163" s="182">
        <f>SUM(Z150,Z155,Z161,Z162)</f>
        <v>0</v>
      </c>
      <c r="AA163" s="180" t="e">
        <f>SUM(AA150*AC150,AA155*AC155,AA161*AC161,AA162*AC162)/SUM(AC150,AC155,AC161,AC162)</f>
        <v>#DIV/0!</v>
      </c>
      <c r="AB163" s="180" t="e">
        <f>SUM(AB150*AC150,AB155*AC155,AB161*AC161,AB162*AC162)/SUM(AC150,AC155,AC161,AC162)</f>
        <v>#DIV/0!</v>
      </c>
      <c r="AC163" s="181">
        <f>SUM(AC150,AC155,AC161,AC162)</f>
        <v>0</v>
      </c>
      <c r="AD163" s="182">
        <f>SUM(AD150,AD155,AD161,AD162)</f>
        <v>0</v>
      </c>
      <c r="AE163" s="180" t="e">
        <f>SUM(AE150*AG150,AE155*AG155,AE161*AG161,AE162*AG162)/SUM(AG150,AG155,AG161,AG162)</f>
        <v>#DIV/0!</v>
      </c>
      <c r="AF163" s="180" t="e">
        <f>SUM(AF150*AG150,AF155*AG155,AF161*AG161,AF162*AG162)/SUM(AG150,AG155,AG161,AG162)</f>
        <v>#DIV/0!</v>
      </c>
      <c r="AG163" s="181">
        <f>SUM(AG150,AG155,AG161,AG162)</f>
        <v>0</v>
      </c>
      <c r="AH163" s="182">
        <f>SUM(AH150,AH155,AH161,AH162)</f>
        <v>0</v>
      </c>
      <c r="AI163" s="78"/>
    </row>
    <row r="164" spans="1:35" ht="13.5" customHeight="1">
      <c r="B164" s="232"/>
      <c r="C164" s="233"/>
      <c r="D164" s="79" t="s">
        <v>593</v>
      </c>
      <c r="E164" s="46"/>
      <c r="F164" s="183"/>
      <c r="G164" s="183"/>
      <c r="H164" s="81"/>
      <c r="I164" s="82"/>
      <c r="J164" s="83"/>
      <c r="K164" s="84"/>
      <c r="L164" s="51"/>
      <c r="M164" s="51"/>
      <c r="N164" s="85"/>
      <c r="O164" s="86"/>
      <c r="P164" s="82"/>
      <c r="Q164" s="83"/>
      <c r="R164" s="184"/>
      <c r="S164" s="86"/>
      <c r="T164" s="82"/>
      <c r="U164" s="83"/>
      <c r="V164" s="184"/>
      <c r="W164" s="86"/>
      <c r="X164" s="82"/>
      <c r="Y164" s="83"/>
      <c r="Z164" s="184"/>
      <c r="AA164" s="86"/>
      <c r="AB164" s="82"/>
      <c r="AC164" s="83"/>
      <c r="AD164" s="184"/>
      <c r="AE164" s="86"/>
      <c r="AF164" s="82"/>
      <c r="AG164" s="83"/>
      <c r="AH164" s="184"/>
      <c r="AI164" s="235"/>
    </row>
    <row r="165" spans="1:35" ht="13.5" customHeight="1" thickBot="1">
      <c r="B165" s="232"/>
      <c r="C165" s="233"/>
      <c r="D165" s="89" t="s">
        <v>594</v>
      </c>
      <c r="E165" s="113"/>
      <c r="F165" s="168"/>
      <c r="G165" s="168"/>
      <c r="H165" s="91"/>
      <c r="I165" s="92"/>
      <c r="J165" s="93"/>
      <c r="K165" s="94"/>
      <c r="L165" s="51"/>
      <c r="M165" s="51"/>
      <c r="N165" s="85"/>
      <c r="O165" s="95"/>
      <c r="P165" s="92"/>
      <c r="Q165" s="93"/>
      <c r="R165" s="185"/>
      <c r="S165" s="95"/>
      <c r="T165" s="92"/>
      <c r="U165" s="93"/>
      <c r="V165" s="185"/>
      <c r="W165" s="95"/>
      <c r="X165" s="92"/>
      <c r="Y165" s="93"/>
      <c r="Z165" s="185"/>
      <c r="AA165" s="95"/>
      <c r="AB165" s="92"/>
      <c r="AC165" s="93"/>
      <c r="AD165" s="185"/>
      <c r="AE165" s="95"/>
      <c r="AF165" s="92"/>
      <c r="AG165" s="93"/>
      <c r="AH165" s="185"/>
      <c r="AI165" s="235"/>
    </row>
    <row r="166" spans="1:35" ht="13.5" customHeight="1">
      <c r="B166" s="227" t="s">
        <v>618</v>
      </c>
      <c r="C166" s="228"/>
      <c r="D166" s="32" t="s">
        <v>598</v>
      </c>
      <c r="E166" s="33"/>
      <c r="F166" s="117">
        <f>SUM(F167:F170)</f>
        <v>2265.7307262387121</v>
      </c>
      <c r="G166" s="117">
        <f>SUM(G167:G170)</f>
        <v>0</v>
      </c>
      <c r="H166" s="419">
        <f>SUMPRODUCT(H167:H170,$J167:$J170)/SUM(J167:J170)</f>
        <v>2.0511731751577496E-2</v>
      </c>
      <c r="I166" s="420">
        <f>SUMPRODUCT(J167:J170,$I167:$I170)/SUM(J167:J170)</f>
        <v>0.8999999999999998</v>
      </c>
      <c r="J166" s="120">
        <f>SUM(J167:J170)</f>
        <v>2265.7307262387121</v>
      </c>
      <c r="K166" s="121">
        <f>SUM(K167:K170)</f>
        <v>41.826654790123804</v>
      </c>
      <c r="L166" s="122"/>
      <c r="M166" s="123"/>
      <c r="N166" s="548"/>
      <c r="O166" s="124" t="e">
        <f>SUMPRODUCT(O167:O170,Q167:Q170)/SUM(Q167:Q170)</f>
        <v>#DIV/0!</v>
      </c>
      <c r="P166" s="119" t="e">
        <f>SUMPRODUCT(Q167:Q170,$P167:$P170)/SUM(Q167:Q170)</f>
        <v>#DIV/0!</v>
      </c>
      <c r="Q166" s="125">
        <f>SUM(Q167:Q170)</f>
        <v>0</v>
      </c>
      <c r="R166" s="126">
        <f>SUM(R167:R170)</f>
        <v>0</v>
      </c>
      <c r="S166" s="124" t="e">
        <f>SUMPRODUCT(S167:S170,U167:U170)/SUM(U167:U170)</f>
        <v>#DIV/0!</v>
      </c>
      <c r="T166" s="119" t="e">
        <f>SUMPRODUCT(U167:U170,$T167:$T170)/SUM(U167:U170)</f>
        <v>#DIV/0!</v>
      </c>
      <c r="U166" s="125">
        <f>SUM(U167:U170)</f>
        <v>0</v>
      </c>
      <c r="V166" s="126">
        <f>SUM(V167:V170)</f>
        <v>0</v>
      </c>
      <c r="W166" s="124" t="e">
        <f>SUMPRODUCT(W167:W170,Y167:Y170)/SUM(Y167:Y170)</f>
        <v>#DIV/0!</v>
      </c>
      <c r="X166" s="119" t="e">
        <f>SUMPRODUCT(Y167:Y170,$X167:$X170)/SUM(Y167:Y170)</f>
        <v>#DIV/0!</v>
      </c>
      <c r="Y166" s="125">
        <f>SUM(Y167:Y170)</f>
        <v>0</v>
      </c>
      <c r="Z166" s="126">
        <f>SUM(Z167:Z170)</f>
        <v>0</v>
      </c>
      <c r="AA166" s="124" t="e">
        <f>SUMPRODUCT(AA167:AA170,AC167:AC170)/SUM(AC167:AC170)</f>
        <v>#DIV/0!</v>
      </c>
      <c r="AB166" s="119" t="e">
        <f>SUMPRODUCT(AC167:AC170,$AB167:$AB170)/SUM(AC167:AC170)</f>
        <v>#DIV/0!</v>
      </c>
      <c r="AC166" s="125">
        <f>SUM(AC167:AC170)</f>
        <v>0</v>
      </c>
      <c r="AD166" s="126">
        <f>SUM(AD167:AD170)</f>
        <v>0</v>
      </c>
      <c r="AE166" s="124" t="e">
        <f>SUMPRODUCT(AE167:AE170,AG167:AG170)/SUM(AG167:AG170)</f>
        <v>#DIV/0!</v>
      </c>
      <c r="AF166" s="119" t="e">
        <f>SUMPRODUCT(AG167:AG170,$AF167:$AF170)/SUM(AG167:AG170)</f>
        <v>#DIV/0!</v>
      </c>
      <c r="AG166" s="125">
        <f>SUM(AG167:AG170)</f>
        <v>0</v>
      </c>
      <c r="AH166" s="126">
        <f>SUM(AH167:AH170)</f>
        <v>0</v>
      </c>
      <c r="AI166" s="229"/>
    </row>
    <row r="167" spans="1:35" s="154" customFormat="1" ht="13.15" customHeight="1" outlineLevel="1">
      <c r="A167" s="142"/>
      <c r="B167" s="230" t="s">
        <v>619</v>
      </c>
      <c r="C167" s="231"/>
      <c r="D167" s="129" t="s">
        <v>599</v>
      </c>
      <c r="E167" s="46"/>
      <c r="F167" s="144"/>
      <c r="G167" s="144"/>
      <c r="H167" s="145"/>
      <c r="I167" s="146"/>
      <c r="J167" s="147"/>
      <c r="K167" s="148"/>
      <c r="L167" s="149"/>
      <c r="M167" s="136"/>
      <c r="N167" s="549"/>
      <c r="O167" s="137"/>
      <c r="P167" s="133"/>
      <c r="Q167" s="138"/>
      <c r="R167" s="139"/>
      <c r="S167" s="137"/>
      <c r="T167" s="133"/>
      <c r="U167" s="138"/>
      <c r="V167" s="139"/>
      <c r="W167" s="137"/>
      <c r="X167" s="133"/>
      <c r="Y167" s="138"/>
      <c r="Z167" s="139"/>
      <c r="AA167" s="137"/>
      <c r="AB167" s="133"/>
      <c r="AC167" s="138"/>
      <c r="AD167" s="139"/>
      <c r="AE167" s="137"/>
      <c r="AF167" s="133"/>
      <c r="AG167" s="138"/>
      <c r="AH167" s="139"/>
      <c r="AI167" s="153"/>
    </row>
    <row r="168" spans="1:35" s="154" customFormat="1" ht="13.15" customHeight="1" outlineLevel="1">
      <c r="A168" s="142"/>
      <c r="B168" s="143"/>
      <c r="C168" s="231"/>
      <c r="D168" s="129" t="s">
        <v>600</v>
      </c>
      <c r="E168" s="46"/>
      <c r="F168" s="144"/>
      <c r="G168" s="144"/>
      <c r="H168" s="145"/>
      <c r="I168" s="146"/>
      <c r="J168" s="147"/>
      <c r="K168" s="148"/>
      <c r="L168" s="149"/>
      <c r="M168" s="136"/>
      <c r="N168" s="549"/>
      <c r="O168" s="137"/>
      <c r="P168" s="133"/>
      <c r="Q168" s="138"/>
      <c r="R168" s="139"/>
      <c r="S168" s="137"/>
      <c r="T168" s="133"/>
      <c r="U168" s="138"/>
      <c r="V168" s="139"/>
      <c r="W168" s="137"/>
      <c r="X168" s="133"/>
      <c r="Y168" s="138"/>
      <c r="Z168" s="139"/>
      <c r="AA168" s="137"/>
      <c r="AB168" s="133"/>
      <c r="AC168" s="138"/>
      <c r="AD168" s="139"/>
      <c r="AE168" s="137"/>
      <c r="AF168" s="133"/>
      <c r="AG168" s="138"/>
      <c r="AH168" s="139"/>
      <c r="AI168" s="153"/>
    </row>
    <row r="169" spans="1:35" s="154" customFormat="1" ht="13.15" customHeight="1" outlineLevel="1">
      <c r="A169" s="142"/>
      <c r="B169" s="143"/>
      <c r="C169" s="231"/>
      <c r="D169" s="129" t="s">
        <v>601</v>
      </c>
      <c r="E169" s="46"/>
      <c r="F169" s="144"/>
      <c r="G169" s="144"/>
      <c r="H169" s="145"/>
      <c r="I169" s="146"/>
      <c r="J169" s="147"/>
      <c r="K169" s="148"/>
      <c r="L169" s="149"/>
      <c r="M169" s="136"/>
      <c r="N169" s="549"/>
      <c r="O169" s="150"/>
      <c r="P169" s="146"/>
      <c r="Q169" s="151"/>
      <c r="R169" s="152"/>
      <c r="S169" s="150"/>
      <c r="T169" s="146"/>
      <c r="U169" s="151"/>
      <c r="V169" s="152"/>
      <c r="W169" s="150"/>
      <c r="X169" s="146"/>
      <c r="Y169" s="151"/>
      <c r="Z169" s="152"/>
      <c r="AA169" s="150"/>
      <c r="AB169" s="146"/>
      <c r="AC169" s="151"/>
      <c r="AD169" s="152"/>
      <c r="AE169" s="150"/>
      <c r="AF169" s="146"/>
      <c r="AG169" s="151"/>
      <c r="AH169" s="152"/>
      <c r="AI169" s="153"/>
    </row>
    <row r="170" spans="1:35" s="154" customFormat="1" ht="13.15" customHeight="1" outlineLevel="1">
      <c r="A170" s="142"/>
      <c r="B170" s="143"/>
      <c r="C170" s="231"/>
      <c r="D170" s="129" t="s">
        <v>602</v>
      </c>
      <c r="E170" s="46"/>
      <c r="F170" s="144">
        <f>SUMIFS(Port!AP:AP,Port!E:E,"6.4 Personal Loan 10",Port!H:H,1)/1000000</f>
        <v>2265.7307262387121</v>
      </c>
      <c r="G170" s="144"/>
      <c r="H170" s="145">
        <f>(SUMIFS(Port!AL:AL,Port!E:E,"6.4 Personal Loan 10",Port!H:H,1)+SUMIFS(Port!AM:AM,Port!E:E,"6.4 Personal Loan 10",Port!H:H,1)) / (SUMIFS(Port!AF:AF,Port!E:E,"6.4 Personal Loan 10",Port!H:H,1)+SUMIFS(Port!AG:AG,Port!E:E,"6.4 Personal Loan 10",Port!H:H,1))</f>
        <v>2.0511731751577496E-2</v>
      </c>
      <c r="I170" s="146">
        <f>(SUMIFS(Port!AN:AN,Port!E:E,"6.4 Personal Loan 10",Port!H:H,1)+SUMIFS(Port!AO:AO,Port!E:E,"6.4 Personal Loan 10",Port!H:H,1)) / (SUMIFS(Port!AF:AF,Port!E:E,"6.4 Personal Loan 10",Port!H:H,1)+SUMIFS(Port!AG:AG,Port!E:E,"6.4 Personal Loan 10",Port!H:H,1))</f>
        <v>0.8999999999999998</v>
      </c>
      <c r="J170" s="147">
        <f>(SUMIFS(Port!AF:AF,Port!E:E,"6.4 Personal Loan 10",Port!H:H,1)+SUMIFS(Port!AG:AG,Port!E:E,"6.4 Personal Loan 10",Port!H:H,1))/1000000</f>
        <v>2265.7307262387121</v>
      </c>
      <c r="K170" s="148">
        <f>(SUMIFS(Port!AJ:AJ,Port!E:E,"6.4 Personal Loan 10",Port!H:H,1)+SUMIFS(Port!AK:AK,Port!E:E,"6.4 Personal Loan 10",Port!H:H,1))/1000000</f>
        <v>41.826654790123804</v>
      </c>
      <c r="L170" s="149"/>
      <c r="M170" s="136"/>
      <c r="N170" s="549"/>
      <c r="O170" s="150"/>
      <c r="P170" s="146"/>
      <c r="Q170" s="151"/>
      <c r="R170" s="152"/>
      <c r="S170" s="150"/>
      <c r="T170" s="146"/>
      <c r="U170" s="151"/>
      <c r="V170" s="152"/>
      <c r="W170" s="150"/>
      <c r="X170" s="146"/>
      <c r="Y170" s="151"/>
      <c r="Z170" s="152"/>
      <c r="AA170" s="150"/>
      <c r="AB170" s="146"/>
      <c r="AC170" s="151"/>
      <c r="AD170" s="152"/>
      <c r="AE170" s="150"/>
      <c r="AF170" s="146"/>
      <c r="AG170" s="151"/>
      <c r="AH170" s="152"/>
      <c r="AI170" s="153"/>
    </row>
    <row r="171" spans="1:35" ht="13.5" customHeight="1">
      <c r="B171" s="232"/>
      <c r="C171" s="233"/>
      <c r="D171" s="45" t="s">
        <v>603</v>
      </c>
      <c r="E171" s="46"/>
      <c r="F171" s="155">
        <f>SUM(F172:F176)</f>
        <v>0</v>
      </c>
      <c r="G171" s="155">
        <f>SUM(G172:G176)</f>
        <v>0</v>
      </c>
      <c r="H171" s="417" t="e">
        <f>SUMPRODUCT(H172:H176,$J172:$J176)/SUM(J172:J176)</f>
        <v>#DIV/0!</v>
      </c>
      <c r="I171" s="418" t="e">
        <f>SUMPRODUCT(J172:J176,$I172:$I176)/SUM(J172:J176)</f>
        <v>#DIV/0!</v>
      </c>
      <c r="J171" s="158">
        <f>SUM(J172:J176)</f>
        <v>0</v>
      </c>
      <c r="K171" s="159">
        <f>SUM(K172:K176)</f>
        <v>0</v>
      </c>
      <c r="L171" s="122"/>
      <c r="M171" s="123"/>
      <c r="N171" s="549"/>
      <c r="O171" s="160" t="e">
        <f>SUMPRODUCT(O172:O176,Q172:Q176)/SUM(Q172:Q176)</f>
        <v>#DIV/0!</v>
      </c>
      <c r="P171" s="157" t="e">
        <f>SUMPRODUCT(Q172:Q176,$P172:$P176)/SUM(Q172:Q176)</f>
        <v>#DIV/0!</v>
      </c>
      <c r="Q171" s="161">
        <f>SUM(Q172:Q176)</f>
        <v>0</v>
      </c>
      <c r="R171" s="162">
        <f>SUM(R172:R176)</f>
        <v>0</v>
      </c>
      <c r="S171" s="160" t="e">
        <f>SUMPRODUCT(S172:S176,U172:U176)/SUM(U172:U176)</f>
        <v>#DIV/0!</v>
      </c>
      <c r="T171" s="157" t="e">
        <f>SUMPRODUCT(U172:U176,$T172:$T176)/SUM(U172:U176)</f>
        <v>#DIV/0!</v>
      </c>
      <c r="U171" s="161">
        <f>SUM(U172:U176)</f>
        <v>0</v>
      </c>
      <c r="V171" s="162">
        <f>SUM(V172:V176)</f>
        <v>0</v>
      </c>
      <c r="W171" s="160" t="e">
        <f>SUMPRODUCT(W172:W176,Y172:Y176)/SUM(Y172:Y176)</f>
        <v>#DIV/0!</v>
      </c>
      <c r="X171" s="157" t="e">
        <f>SUMPRODUCT(Y172:Y176,$X172:$X176)/SUM(Y172:Y176)</f>
        <v>#DIV/0!</v>
      </c>
      <c r="Y171" s="161">
        <f>SUM(Y172:Y176)</f>
        <v>0</v>
      </c>
      <c r="Z171" s="162">
        <f>SUM(Z172:Z176)</f>
        <v>0</v>
      </c>
      <c r="AA171" s="160" t="e">
        <f>SUMPRODUCT(AA172:AA176,AC172:AC176)/SUM(AC172:AC176)</f>
        <v>#DIV/0!</v>
      </c>
      <c r="AB171" s="157" t="e">
        <f>SUMPRODUCT(AC172:AC176,$AB172:$AB176)/SUM(AC172:AC176)</f>
        <v>#DIV/0!</v>
      </c>
      <c r="AC171" s="161">
        <f>SUM(AC172:AC176)</f>
        <v>0</v>
      </c>
      <c r="AD171" s="162">
        <f>SUM(AD172:AD176)</f>
        <v>0</v>
      </c>
      <c r="AE171" s="160" t="e">
        <f>SUMPRODUCT(AE172:AE176,AG172:AG176)/SUM(AG172:AG176)</f>
        <v>#DIV/0!</v>
      </c>
      <c r="AF171" s="157" t="e">
        <f>SUMPRODUCT(AG172:AG176,$AF172:$AF176)/SUM(AG172:AG176)</f>
        <v>#DIV/0!</v>
      </c>
      <c r="AG171" s="161">
        <f>SUM(AG172:AG176)</f>
        <v>0</v>
      </c>
      <c r="AH171" s="162">
        <f>SUM(AH172:AH176)</f>
        <v>0</v>
      </c>
      <c r="AI171" s="234"/>
    </row>
    <row r="172" spans="1:35" s="154" customFormat="1" ht="13.15" customHeight="1" outlineLevel="1">
      <c r="A172" s="142"/>
      <c r="B172" s="143"/>
      <c r="C172" s="231"/>
      <c r="D172" s="129" t="s">
        <v>604</v>
      </c>
      <c r="E172" s="46"/>
      <c r="F172" s="144">
        <f>SUMIFS(Port!AP:AP,Port!E:E,"6.4 Personal Loan 10",Port!H:H,2)/1000000</f>
        <v>0</v>
      </c>
      <c r="G172" s="144"/>
      <c r="H172" s="145" t="e">
        <f>(SUMIFS(Port!AL:AL,Port!E:E,"6.4 Personal Loan 10",Port!H:H,2)+SUMIFS(Port!AM:AM,Port!E:E,"6.4 Personal Loan 10",Port!H:H,2)) / (SUMIFS(Port!AF:AF,Port!E:E,"6.4 Personal Loan 10",Port!H:H,2)+SUMIFS(Port!AG:AG,Port!E:E,"6.4 Personal Loan 10",Port!H:H,2))</f>
        <v>#DIV/0!</v>
      </c>
      <c r="I172" s="146" t="e">
        <f>(SUMIFS(Port!AN:AN,Port!E:E,"6.4 Personal Loan 10",Port!H:H,2)+SUMIFS(Port!AO:AO,Port!E:E,"6.4 Personal Loan 10",Port!H:H,2)) / (SUMIFS(Port!AF:AF,Port!E:E,"6.4 Personal Loan 10",Port!H:H,2)+SUMIFS(Port!AG:AG,Port!E:E,"6.4 Personal Loan 10",Port!H:H,2))</f>
        <v>#DIV/0!</v>
      </c>
      <c r="J172" s="147">
        <f>(SUMIFS(Port!AF:AF,Port!E:E,"6.4 Personal Loan 10",Port!H:H,2)+SUMIFS(Port!AG:AG,Port!E:E,"6.4 Personal Loan 10",Port!H:H,2))/1000000</f>
        <v>0</v>
      </c>
      <c r="K172" s="148">
        <f>(SUMIFS(Port!AJ:AJ,Port!E:E,"6.4 Personal Loan 10",Port!H:H,2)+SUMIFS(Port!AK:AK,Port!E:E,"6.4 Personal Loan 10",Port!H:H,2))/1000000</f>
        <v>0</v>
      </c>
      <c r="L172" s="149"/>
      <c r="M172" s="136"/>
      <c r="N172" s="549"/>
      <c r="O172" s="137"/>
      <c r="P172" s="133"/>
      <c r="Q172" s="138"/>
      <c r="R172" s="139"/>
      <c r="S172" s="137"/>
      <c r="T172" s="133"/>
      <c r="U172" s="138"/>
      <c r="V172" s="139"/>
      <c r="W172" s="137"/>
      <c r="X172" s="133"/>
      <c r="Y172" s="138"/>
      <c r="Z172" s="139"/>
      <c r="AA172" s="137"/>
      <c r="AB172" s="133"/>
      <c r="AC172" s="138"/>
      <c r="AD172" s="139"/>
      <c r="AE172" s="137"/>
      <c r="AF172" s="133"/>
      <c r="AG172" s="138"/>
      <c r="AH172" s="139"/>
      <c r="AI172" s="153"/>
    </row>
    <row r="173" spans="1:35" s="154" customFormat="1" ht="13.15" customHeight="1" outlineLevel="1">
      <c r="A173" s="142"/>
      <c r="B173" s="143"/>
      <c r="C173" s="231"/>
      <c r="D173" s="129" t="s">
        <v>599</v>
      </c>
      <c r="E173" s="46"/>
      <c r="F173" s="144"/>
      <c r="G173" s="144"/>
      <c r="H173" s="145"/>
      <c r="I173" s="146"/>
      <c r="J173" s="147"/>
      <c r="K173" s="148"/>
      <c r="L173" s="149"/>
      <c r="M173" s="136"/>
      <c r="N173" s="549"/>
      <c r="O173" s="137"/>
      <c r="P173" s="133"/>
      <c r="Q173" s="138"/>
      <c r="R173" s="139"/>
      <c r="S173" s="137"/>
      <c r="T173" s="133"/>
      <c r="U173" s="138"/>
      <c r="V173" s="139"/>
      <c r="W173" s="137"/>
      <c r="X173" s="133"/>
      <c r="Y173" s="138"/>
      <c r="Z173" s="139"/>
      <c r="AA173" s="137"/>
      <c r="AB173" s="133"/>
      <c r="AC173" s="138"/>
      <c r="AD173" s="139"/>
      <c r="AE173" s="137"/>
      <c r="AF173" s="133"/>
      <c r="AG173" s="138"/>
      <c r="AH173" s="139"/>
      <c r="AI173" s="153"/>
    </row>
    <row r="174" spans="1:35" s="154" customFormat="1" ht="13.15" customHeight="1" outlineLevel="1">
      <c r="A174" s="142"/>
      <c r="B174" s="143"/>
      <c r="C174" s="231"/>
      <c r="D174" s="129" t="s">
        <v>600</v>
      </c>
      <c r="E174" s="46"/>
      <c r="F174" s="144"/>
      <c r="G174" s="144"/>
      <c r="H174" s="145"/>
      <c r="I174" s="146"/>
      <c r="J174" s="147"/>
      <c r="K174" s="148"/>
      <c r="L174" s="149"/>
      <c r="M174" s="136"/>
      <c r="N174" s="549"/>
      <c r="O174" s="150"/>
      <c r="P174" s="146"/>
      <c r="Q174" s="151"/>
      <c r="R174" s="152"/>
      <c r="S174" s="150"/>
      <c r="T174" s="146"/>
      <c r="U174" s="151"/>
      <c r="V174" s="152"/>
      <c r="W174" s="150"/>
      <c r="X174" s="146"/>
      <c r="Y174" s="151"/>
      <c r="Z174" s="152"/>
      <c r="AA174" s="150"/>
      <c r="AB174" s="146"/>
      <c r="AC174" s="151"/>
      <c r="AD174" s="152"/>
      <c r="AE174" s="150"/>
      <c r="AF174" s="146"/>
      <c r="AG174" s="151"/>
      <c r="AH174" s="152"/>
      <c r="AI174" s="153"/>
    </row>
    <row r="175" spans="1:35" s="154" customFormat="1" ht="13.15" customHeight="1" outlineLevel="1">
      <c r="A175" s="142"/>
      <c r="B175" s="143"/>
      <c r="C175" s="231"/>
      <c r="D175" s="129" t="s">
        <v>601</v>
      </c>
      <c r="E175" s="46"/>
      <c r="F175" s="144"/>
      <c r="G175" s="144"/>
      <c r="H175" s="145"/>
      <c r="I175" s="146"/>
      <c r="J175" s="147"/>
      <c r="K175" s="148"/>
      <c r="L175" s="149"/>
      <c r="M175" s="136"/>
      <c r="N175" s="549"/>
      <c r="O175" s="150"/>
      <c r="P175" s="146"/>
      <c r="Q175" s="151"/>
      <c r="R175" s="152"/>
      <c r="S175" s="150"/>
      <c r="T175" s="146"/>
      <c r="U175" s="151"/>
      <c r="V175" s="152"/>
      <c r="W175" s="150"/>
      <c r="X175" s="146"/>
      <c r="Y175" s="151"/>
      <c r="Z175" s="152"/>
      <c r="AA175" s="150"/>
      <c r="AB175" s="146"/>
      <c r="AC175" s="151"/>
      <c r="AD175" s="152"/>
      <c r="AE175" s="150"/>
      <c r="AF175" s="146"/>
      <c r="AG175" s="151"/>
      <c r="AH175" s="152"/>
      <c r="AI175" s="153"/>
    </row>
    <row r="176" spans="1:35" s="154" customFormat="1" ht="13.15" customHeight="1" outlineLevel="1">
      <c r="A176" s="142"/>
      <c r="B176" s="143"/>
      <c r="C176" s="231"/>
      <c r="D176" s="129" t="s">
        <v>602</v>
      </c>
      <c r="E176" s="46"/>
      <c r="F176" s="144"/>
      <c r="G176" s="144"/>
      <c r="H176" s="145"/>
      <c r="I176" s="146"/>
      <c r="J176" s="147"/>
      <c r="K176" s="148"/>
      <c r="L176" s="149"/>
      <c r="M176" s="136"/>
      <c r="N176" s="549"/>
      <c r="O176" s="150"/>
      <c r="P176" s="146"/>
      <c r="Q176" s="151"/>
      <c r="R176" s="152"/>
      <c r="S176" s="150"/>
      <c r="T176" s="146"/>
      <c r="U176" s="151"/>
      <c r="V176" s="152"/>
      <c r="W176" s="150"/>
      <c r="X176" s="146"/>
      <c r="Y176" s="151"/>
      <c r="Z176" s="152"/>
      <c r="AA176" s="150"/>
      <c r="AB176" s="146"/>
      <c r="AC176" s="151"/>
      <c r="AD176" s="152"/>
      <c r="AE176" s="150"/>
      <c r="AF176" s="146"/>
      <c r="AG176" s="151"/>
      <c r="AH176" s="152"/>
      <c r="AI176" s="153"/>
    </row>
    <row r="177" spans="1:35" ht="13.5" customHeight="1">
      <c r="B177" s="232"/>
      <c r="C177" s="233"/>
      <c r="D177" s="45" t="s">
        <v>590</v>
      </c>
      <c r="E177" s="46"/>
      <c r="F177" s="163">
        <f>SUMIFS(Port!AP:AP,Port!E:E,"6.4 Personal Loan 10",Port!H:H,3)/1000000</f>
        <v>0</v>
      </c>
      <c r="G177" s="163"/>
      <c r="H177" s="98">
        <v>1</v>
      </c>
      <c r="I177" s="48"/>
      <c r="J177" s="164"/>
      <c r="K177" s="165"/>
      <c r="L177" s="122"/>
      <c r="M177" s="136"/>
      <c r="N177" s="549"/>
      <c r="O177" s="53">
        <v>1</v>
      </c>
      <c r="P177" s="48"/>
      <c r="Q177" s="166"/>
      <c r="R177" s="167"/>
      <c r="S177" s="53">
        <v>1</v>
      </c>
      <c r="T177" s="48"/>
      <c r="U177" s="166"/>
      <c r="V177" s="167"/>
      <c r="W177" s="53">
        <v>1</v>
      </c>
      <c r="X177" s="48"/>
      <c r="Y177" s="166"/>
      <c r="Z177" s="167"/>
      <c r="AA177" s="53">
        <v>1</v>
      </c>
      <c r="AB177" s="48"/>
      <c r="AC177" s="166"/>
      <c r="AD177" s="167"/>
      <c r="AE177" s="53">
        <v>1</v>
      </c>
      <c r="AF177" s="48"/>
      <c r="AG177" s="166"/>
      <c r="AH177" s="167"/>
      <c r="AI177" s="235"/>
    </row>
    <row r="178" spans="1:35" ht="13.5" customHeight="1" thickBot="1">
      <c r="B178" s="232"/>
      <c r="C178" s="233"/>
      <c r="D178" s="58" t="s">
        <v>591</v>
      </c>
      <c r="E178" s="59"/>
      <c r="F178" s="168"/>
      <c r="G178" s="168"/>
      <c r="H178" s="62">
        <v>1</v>
      </c>
      <c r="I178" s="62"/>
      <c r="J178" s="169"/>
      <c r="K178" s="170"/>
      <c r="L178" s="122"/>
      <c r="M178" s="171"/>
      <c r="N178" s="549"/>
      <c r="O178" s="65">
        <v>1</v>
      </c>
      <c r="P178" s="62"/>
      <c r="Q178" s="172"/>
      <c r="R178" s="173"/>
      <c r="S178" s="65">
        <v>1</v>
      </c>
      <c r="T178" s="62"/>
      <c r="U178" s="172"/>
      <c r="V178" s="173"/>
      <c r="W178" s="65">
        <v>1</v>
      </c>
      <c r="X178" s="62"/>
      <c r="Y178" s="172"/>
      <c r="Z178" s="173"/>
      <c r="AA178" s="65">
        <v>1</v>
      </c>
      <c r="AB178" s="62"/>
      <c r="AC178" s="172"/>
      <c r="AD178" s="173"/>
      <c r="AE178" s="65">
        <v>1</v>
      </c>
      <c r="AF178" s="62"/>
      <c r="AG178" s="172"/>
      <c r="AH178" s="173"/>
      <c r="AI178" s="235"/>
    </row>
    <row r="179" spans="1:35" ht="13.5" customHeight="1">
      <c r="B179" s="232"/>
      <c r="C179" s="233"/>
      <c r="D179" s="68" t="s">
        <v>592</v>
      </c>
      <c r="E179" s="112"/>
      <c r="F179" s="174">
        <f>SUM(F166,F171,F177,F178)</f>
        <v>2265.7307262387121</v>
      </c>
      <c r="G179" s="174">
        <f>SUM(G166,G171,G177,G178)</f>
        <v>0</v>
      </c>
      <c r="H179" s="175" t="e">
        <f>SUM(H166*$J166,H171*$J171,H177*$J177,H178*$J178)/SUM($J166,$J171,$J177,$J178)</f>
        <v>#DIV/0!</v>
      </c>
      <c r="I179" s="176" t="e">
        <f>SUM(I166*$J166,I171*$J171,I177*$J177,I178*$J178)/SUM($J166,$J171,$J177,$J178)</f>
        <v>#DIV/0!</v>
      </c>
      <c r="J179" s="177">
        <f>SUM(J166,J171,J177,J178)</f>
        <v>2265.7307262387121</v>
      </c>
      <c r="K179" s="178">
        <f>SUM(K166,K171,K177,K178)</f>
        <v>41.826654790123804</v>
      </c>
      <c r="L179" s="75"/>
      <c r="M179" s="179"/>
      <c r="N179" s="550"/>
      <c r="O179" s="180" t="e">
        <f>SUM(O166*Q166,O171*Q171,O177*Q177,O178*Q178)/SUM(Q166,Q171,Q177,Q178)</f>
        <v>#DIV/0!</v>
      </c>
      <c r="P179" s="180" t="e">
        <f>SUM(P166*Q166,P171*Q171,P177*Q177,P178*Q178)/SUM(Q166,Q171,Q177,Q178)</f>
        <v>#DIV/0!</v>
      </c>
      <c r="Q179" s="181">
        <f>SUM(Q166,Q171,Q177,Q178)</f>
        <v>0</v>
      </c>
      <c r="R179" s="182">
        <f>SUM(R166,R171,R177,R178)</f>
        <v>0</v>
      </c>
      <c r="S179" s="180" t="e">
        <f>SUM(S166*U166,S171*U171,S177*U177,S178*U178)/SUM(U166,U171,U177,U178)</f>
        <v>#DIV/0!</v>
      </c>
      <c r="T179" s="180" t="e">
        <f>SUM(T166*U166,T171*U171,T177*U177,T178*U178)/SUM(U166,U171,U177,U178)</f>
        <v>#DIV/0!</v>
      </c>
      <c r="U179" s="181">
        <f>SUM(U166,U171,U177,U178)</f>
        <v>0</v>
      </c>
      <c r="V179" s="182">
        <f>SUM(V166,V171,V177,V178)</f>
        <v>0</v>
      </c>
      <c r="W179" s="180" t="e">
        <f>SUM(W166*Y166,W171*Y171,W177*Y177,W178*Y178)/SUM(Y166,Y171,Y177,Y178)</f>
        <v>#DIV/0!</v>
      </c>
      <c r="X179" s="180" t="e">
        <f>SUM(X166*Y166,X171*Y171,X177*Y177,X178*Y178)/SUM(Y166,Y171,Y177,Y178)</f>
        <v>#DIV/0!</v>
      </c>
      <c r="Y179" s="181">
        <f>SUM(Y166,Y171,Y177,Y178)</f>
        <v>0</v>
      </c>
      <c r="Z179" s="182">
        <f>SUM(Z166,Z171,Z177,Z178)</f>
        <v>0</v>
      </c>
      <c r="AA179" s="180" t="e">
        <f>SUM(AA166*AC166,AA171*AC171,AA177*AC177,AA178*AC178)/SUM(AC166,AC171,AC177,AC178)</f>
        <v>#DIV/0!</v>
      </c>
      <c r="AB179" s="180" t="e">
        <f>SUM(AB166*AC166,AB171*AC171,AB177*AC177,AB178*AC178)/SUM(AC166,AC171,AC177,AC178)</f>
        <v>#DIV/0!</v>
      </c>
      <c r="AC179" s="181">
        <f>SUM(AC166,AC171,AC177,AC178)</f>
        <v>0</v>
      </c>
      <c r="AD179" s="182">
        <f>SUM(AD166,AD171,AD177,AD178)</f>
        <v>0</v>
      </c>
      <c r="AE179" s="180" t="e">
        <f>SUM(AE166*AG166,AE171*AG171,AE177*AG177,AE178*AG178)/SUM(AG166,AG171,AG177,AG178)</f>
        <v>#DIV/0!</v>
      </c>
      <c r="AF179" s="180" t="e">
        <f>SUM(AF166*AG166,AF171*AG171,AF177*AG177,AF178*AG178)/SUM(AG166,AG171,AG177,AG178)</f>
        <v>#DIV/0!</v>
      </c>
      <c r="AG179" s="181">
        <f>SUM(AG166,AG171,AG177,AG178)</f>
        <v>0</v>
      </c>
      <c r="AH179" s="182">
        <f>SUM(AH166,AH171,AH177,AH178)</f>
        <v>0</v>
      </c>
      <c r="AI179" s="78"/>
    </row>
    <row r="180" spans="1:35" ht="13.5" customHeight="1">
      <c r="B180" s="232"/>
      <c r="C180" s="233"/>
      <c r="D180" s="79" t="s">
        <v>593</v>
      </c>
      <c r="E180" s="46"/>
      <c r="F180" s="183"/>
      <c r="G180" s="183"/>
      <c r="H180" s="81"/>
      <c r="I180" s="82"/>
      <c r="J180" s="83"/>
      <c r="K180" s="84"/>
      <c r="L180" s="51"/>
      <c r="M180" s="51"/>
      <c r="N180" s="85"/>
      <c r="O180" s="86"/>
      <c r="P180" s="82"/>
      <c r="Q180" s="83"/>
      <c r="R180" s="184"/>
      <c r="S180" s="86"/>
      <c r="T180" s="82"/>
      <c r="U180" s="83"/>
      <c r="V180" s="184"/>
      <c r="W180" s="86"/>
      <c r="X180" s="82"/>
      <c r="Y180" s="83"/>
      <c r="Z180" s="184"/>
      <c r="AA180" s="86"/>
      <c r="AB180" s="82"/>
      <c r="AC180" s="83"/>
      <c r="AD180" s="184"/>
      <c r="AE180" s="86"/>
      <c r="AF180" s="82"/>
      <c r="AG180" s="83"/>
      <c r="AH180" s="184"/>
      <c r="AI180" s="235"/>
    </row>
    <row r="181" spans="1:35" ht="13.5" customHeight="1" thickBot="1">
      <c r="B181" s="232"/>
      <c r="C181" s="233"/>
      <c r="D181" s="89" t="s">
        <v>594</v>
      </c>
      <c r="E181" s="113"/>
      <c r="F181" s="168"/>
      <c r="G181" s="168"/>
      <c r="H181" s="91"/>
      <c r="I181" s="92"/>
      <c r="J181" s="93"/>
      <c r="K181" s="94"/>
      <c r="L181" s="51"/>
      <c r="M181" s="51"/>
      <c r="N181" s="85"/>
      <c r="O181" s="95"/>
      <c r="P181" s="92"/>
      <c r="Q181" s="93"/>
      <c r="R181" s="185"/>
      <c r="S181" s="95"/>
      <c r="T181" s="92"/>
      <c r="U181" s="93"/>
      <c r="V181" s="185"/>
      <c r="W181" s="95"/>
      <c r="X181" s="92"/>
      <c r="Y181" s="93"/>
      <c r="Z181" s="185"/>
      <c r="AA181" s="95"/>
      <c r="AB181" s="92"/>
      <c r="AC181" s="93"/>
      <c r="AD181" s="185"/>
      <c r="AE181" s="95"/>
      <c r="AF181" s="92"/>
      <c r="AG181" s="93"/>
      <c r="AH181" s="185"/>
      <c r="AI181" s="235"/>
    </row>
    <row r="182" spans="1:35" ht="13.5" customHeight="1">
      <c r="B182" s="227" t="s">
        <v>620</v>
      </c>
      <c r="C182" s="530"/>
      <c r="D182" s="32" t="s">
        <v>598</v>
      </c>
      <c r="E182" s="33"/>
      <c r="F182" s="117">
        <f>SUM(F183:F186)</f>
        <v>3997.6501284621318</v>
      </c>
      <c r="G182" s="117">
        <f>SUM(G183:G186)</f>
        <v>0</v>
      </c>
      <c r="H182" s="419">
        <f>SUMPRODUCT(H183:H186,$J183:$J186)/SUM(J183:J186)</f>
        <v>3.5311574150678746E-2</v>
      </c>
      <c r="I182" s="420">
        <f>SUMPRODUCT(J183:J186,$I183:$I186)/SUM(J183:J186)</f>
        <v>0.85</v>
      </c>
      <c r="J182" s="120">
        <f>SUM(J183:J186)</f>
        <v>3997.6501284621318</v>
      </c>
      <c r="K182" s="121">
        <f>SUM(K183:K186)</f>
        <v>119.98882109871184</v>
      </c>
      <c r="L182" s="122"/>
      <c r="M182" s="123"/>
      <c r="N182" s="548"/>
      <c r="O182" s="124" t="e">
        <f>SUMPRODUCT(O183:O186,Q183:Q186)/SUM(Q183:Q186)</f>
        <v>#DIV/0!</v>
      </c>
      <c r="P182" s="119" t="e">
        <f>SUMPRODUCT(Q183:Q186,$P183:$P186)/SUM(Q183:Q186)</f>
        <v>#DIV/0!</v>
      </c>
      <c r="Q182" s="125">
        <f>SUM(Q183:Q186)</f>
        <v>0</v>
      </c>
      <c r="R182" s="126">
        <f>SUM(R183:R186)</f>
        <v>0</v>
      </c>
      <c r="S182" s="124" t="e">
        <f>SUMPRODUCT(S183:S186,U183:U186)/SUM(U183:U186)</f>
        <v>#DIV/0!</v>
      </c>
      <c r="T182" s="119" t="e">
        <f>SUMPRODUCT(U183:U186,$T183:$T186)/SUM(U183:U186)</f>
        <v>#DIV/0!</v>
      </c>
      <c r="U182" s="125">
        <f>SUM(U183:U186)</f>
        <v>0</v>
      </c>
      <c r="V182" s="126">
        <f>SUM(V183:V186)</f>
        <v>0</v>
      </c>
      <c r="W182" s="124" t="e">
        <f>SUMPRODUCT(W183:W186,Y183:Y186)/SUM(Y183:Y186)</f>
        <v>#DIV/0!</v>
      </c>
      <c r="X182" s="119" t="e">
        <f>SUMPRODUCT(Y183:Y186,$X183:$X186)/SUM(Y183:Y186)</f>
        <v>#DIV/0!</v>
      </c>
      <c r="Y182" s="125">
        <f>SUM(Y183:Y186)</f>
        <v>0</v>
      </c>
      <c r="Z182" s="126">
        <f>SUM(Z183:Z186)</f>
        <v>0</v>
      </c>
      <c r="AA182" s="124" t="e">
        <f>SUMPRODUCT(AA183:AA186,AC183:AC186)/SUM(AC183:AC186)</f>
        <v>#DIV/0!</v>
      </c>
      <c r="AB182" s="119" t="e">
        <f>SUMPRODUCT(AC183:AC186,$AB183:$AB186)/SUM(AC183:AC186)</f>
        <v>#DIV/0!</v>
      </c>
      <c r="AC182" s="125">
        <f>SUM(AC183:AC186)</f>
        <v>0</v>
      </c>
      <c r="AD182" s="126">
        <f>SUM(AD183:AD186)</f>
        <v>0</v>
      </c>
      <c r="AE182" s="124" t="e">
        <f>SUMPRODUCT(AE183:AE186,AG183:AG186)/SUM(AG183:AG186)</f>
        <v>#DIV/0!</v>
      </c>
      <c r="AF182" s="119" t="e">
        <f>SUMPRODUCT(AG183:AG186,$AF183:$AF186)/SUM(AG183:AG186)</f>
        <v>#DIV/0!</v>
      </c>
      <c r="AG182" s="125">
        <f>SUM(AG183:AG186)</f>
        <v>0</v>
      </c>
      <c r="AH182" s="126">
        <f>SUM(AH183:AH186)</f>
        <v>0</v>
      </c>
      <c r="AI182" s="229"/>
    </row>
    <row r="183" spans="1:35" s="154" customFormat="1" ht="13.15" customHeight="1" outlineLevel="1">
      <c r="A183" s="142"/>
      <c r="B183" s="143"/>
      <c r="C183" s="531"/>
      <c r="D183" s="129" t="s">
        <v>599</v>
      </c>
      <c r="E183" s="46"/>
      <c r="F183" s="144"/>
      <c r="G183" s="144"/>
      <c r="H183" s="145"/>
      <c r="I183" s="146"/>
      <c r="J183" s="147"/>
      <c r="K183" s="148"/>
      <c r="L183" s="149"/>
      <c r="M183" s="136"/>
      <c r="N183" s="549"/>
      <c r="O183" s="137"/>
      <c r="P183" s="133"/>
      <c r="Q183" s="138"/>
      <c r="R183" s="139"/>
      <c r="S183" s="137"/>
      <c r="T183" s="133"/>
      <c r="U183" s="138"/>
      <c r="V183" s="139"/>
      <c r="W183" s="137"/>
      <c r="X183" s="133"/>
      <c r="Y183" s="138"/>
      <c r="Z183" s="139"/>
      <c r="AA183" s="137"/>
      <c r="AB183" s="133"/>
      <c r="AC183" s="138"/>
      <c r="AD183" s="139"/>
      <c r="AE183" s="137"/>
      <c r="AF183" s="133"/>
      <c r="AG183" s="138"/>
      <c r="AH183" s="139"/>
      <c r="AI183" s="153"/>
    </row>
    <row r="184" spans="1:35" s="154" customFormat="1" ht="13.15" customHeight="1" outlineLevel="1">
      <c r="A184" s="142"/>
      <c r="B184" s="143"/>
      <c r="C184" s="531"/>
      <c r="D184" s="129" t="s">
        <v>600</v>
      </c>
      <c r="E184" s="46"/>
      <c r="F184" s="144"/>
      <c r="G184" s="144"/>
      <c r="H184" s="145"/>
      <c r="I184" s="146"/>
      <c r="J184" s="147"/>
      <c r="K184" s="148"/>
      <c r="L184" s="149"/>
      <c r="M184" s="136"/>
      <c r="N184" s="549"/>
      <c r="O184" s="137"/>
      <c r="P184" s="133"/>
      <c r="Q184" s="138"/>
      <c r="R184" s="139"/>
      <c r="S184" s="137"/>
      <c r="T184" s="133"/>
      <c r="U184" s="138"/>
      <c r="V184" s="139"/>
      <c r="W184" s="137"/>
      <c r="X184" s="133"/>
      <c r="Y184" s="138"/>
      <c r="Z184" s="139"/>
      <c r="AA184" s="137"/>
      <c r="AB184" s="133"/>
      <c r="AC184" s="138"/>
      <c r="AD184" s="139"/>
      <c r="AE184" s="137"/>
      <c r="AF184" s="133"/>
      <c r="AG184" s="138"/>
      <c r="AH184" s="139"/>
      <c r="AI184" s="153"/>
    </row>
    <row r="185" spans="1:35" s="154" customFormat="1" ht="13.15" customHeight="1" outlineLevel="1">
      <c r="A185" s="142"/>
      <c r="B185" s="143"/>
      <c r="C185" s="531"/>
      <c r="D185" s="129" t="s">
        <v>601</v>
      </c>
      <c r="E185" s="46"/>
      <c r="F185" s="144"/>
      <c r="G185" s="144"/>
      <c r="H185" s="145"/>
      <c r="I185" s="146"/>
      <c r="J185" s="147"/>
      <c r="K185" s="148"/>
      <c r="L185" s="149"/>
      <c r="M185" s="136"/>
      <c r="N185" s="549"/>
      <c r="O185" s="150"/>
      <c r="P185" s="146"/>
      <c r="Q185" s="151"/>
      <c r="R185" s="152"/>
      <c r="S185" s="150"/>
      <c r="T185" s="146"/>
      <c r="U185" s="151"/>
      <c r="V185" s="152"/>
      <c r="W185" s="150"/>
      <c r="X185" s="146"/>
      <c r="Y185" s="151"/>
      <c r="Z185" s="152"/>
      <c r="AA185" s="150"/>
      <c r="AB185" s="146"/>
      <c r="AC185" s="151"/>
      <c r="AD185" s="152"/>
      <c r="AE185" s="150"/>
      <c r="AF185" s="146"/>
      <c r="AG185" s="151"/>
      <c r="AH185" s="152"/>
      <c r="AI185" s="153"/>
    </row>
    <row r="186" spans="1:35" s="154" customFormat="1" ht="13.15" customHeight="1" outlineLevel="1">
      <c r="A186" s="142"/>
      <c r="B186" s="143"/>
      <c r="C186" s="531"/>
      <c r="D186" s="129" t="s">
        <v>602</v>
      </c>
      <c r="E186" s="46"/>
      <c r="F186" s="144">
        <f>SUMIFS(Port!AP:AP,Port!E:E,"6.5 Other Retail Loan 1 14",Port!H:H,1)/1000000</f>
        <v>3997.6501284621318</v>
      </c>
      <c r="G186" s="144"/>
      <c r="H186" s="145">
        <f>(SUMIFS(Port!AL:AL,Port!E:E,"6.5 Other Retail Loan 1 14",Port!H:H,1)+SUMIFS(Port!AM:AM,Port!E:E,"6.5 Other Retail Loan 1 14",Port!H:H,1)) / (SUMIFS(Port!AF:AF,Port!E:E,"6.5 Other Retail Loan 1 14",Port!H:H,1)+SUMIFS(Port!AG:AG,Port!E:E,"6.5 Other Retail Loan 1 14",Port!H:H,1))</f>
        <v>3.5311574150678746E-2</v>
      </c>
      <c r="I186" s="146">
        <f>(SUMIFS(Port!AN:AN,Port!E:E,"6.5 Other Retail Loan 1 14",Port!H:H,1)+SUMIFS(Port!AO:AO,Port!E:E,"6.5 Other Retail Loan 1 14",Port!H:H,1)) / (SUMIFS(Port!AF:AF,Port!E:E,"6.5 Other Retail Loan 1 14",Port!H:H,1)+SUMIFS(Port!AG:AG,Port!E:E,"6.5 Other Retail Loan 1 14",Port!H:H,1))</f>
        <v>0.85</v>
      </c>
      <c r="J186" s="147">
        <f>(SUMIFS(Port!AF:AF,Port!E:E,"6.5 Other Retail Loan 1 14",Port!H:H,1)+SUMIFS(Port!AG:AG,Port!E:E,"6.5 Other Retail Loan 1 14",Port!H:H,1))/1000000</f>
        <v>3997.6501284621318</v>
      </c>
      <c r="K186" s="148">
        <f>(SUMIFS(Port!AJ:AJ,Port!E:E,"6.5 Other Retail Loan 1 14",Port!H:H,1)+SUMIFS(Port!AK:AK,Port!E:E,"6.5 Other Retail Loan 1 14",Port!H:H,1))/1000000</f>
        <v>119.98882109871184</v>
      </c>
      <c r="L186" s="149"/>
      <c r="M186" s="136"/>
      <c r="N186" s="549"/>
      <c r="O186" s="150"/>
      <c r="P186" s="146"/>
      <c r="Q186" s="151"/>
      <c r="R186" s="152"/>
      <c r="S186" s="150"/>
      <c r="T186" s="146"/>
      <c r="U186" s="151"/>
      <c r="V186" s="152"/>
      <c r="W186" s="150"/>
      <c r="X186" s="146"/>
      <c r="Y186" s="151"/>
      <c r="Z186" s="152"/>
      <c r="AA186" s="150"/>
      <c r="AB186" s="146"/>
      <c r="AC186" s="151"/>
      <c r="AD186" s="152"/>
      <c r="AE186" s="150"/>
      <c r="AF186" s="146"/>
      <c r="AG186" s="151"/>
      <c r="AH186" s="152"/>
      <c r="AI186" s="153"/>
    </row>
    <row r="187" spans="1:35" ht="13.5" customHeight="1">
      <c r="B187" s="232"/>
      <c r="C187" s="531"/>
      <c r="D187" s="45" t="s">
        <v>603</v>
      </c>
      <c r="E187" s="46"/>
      <c r="F187" s="155">
        <f>SUM(F188:F192)</f>
        <v>5.7917464745760006</v>
      </c>
      <c r="G187" s="155">
        <f>SUM(G188:G192)</f>
        <v>0</v>
      </c>
      <c r="H187" s="417">
        <f>SUMPRODUCT(H188:H192,$J188:$J192)/SUM(J188:J192)</f>
        <v>9.8840931499704535E-2</v>
      </c>
      <c r="I187" s="418">
        <f>SUMPRODUCT(J188:J192,$I188:$I192)/SUM(J188:J192)</f>
        <v>0.85000000000000009</v>
      </c>
      <c r="J187" s="158">
        <f>SUM(J188:J192)</f>
        <v>5.7917464745760006</v>
      </c>
      <c r="K187" s="159">
        <f>SUM(K188:K192)</f>
        <v>0.48659237407363848</v>
      </c>
      <c r="L187" s="122"/>
      <c r="M187" s="123"/>
      <c r="N187" s="549"/>
      <c r="O187" s="160" t="e">
        <f>SUMPRODUCT(O188:O192,Q188:Q192)/SUM(Q188:Q192)</f>
        <v>#DIV/0!</v>
      </c>
      <c r="P187" s="157" t="e">
        <f>SUMPRODUCT(Q188:Q192,$P188:$P192)/SUM(Q188:Q192)</f>
        <v>#DIV/0!</v>
      </c>
      <c r="Q187" s="161">
        <f>SUM(Q188:Q192)</f>
        <v>0</v>
      </c>
      <c r="R187" s="162">
        <f>SUM(R188:R192)</f>
        <v>0</v>
      </c>
      <c r="S187" s="160" t="e">
        <f>SUMPRODUCT(S188:S192,U188:U192)/SUM(U188:U192)</f>
        <v>#DIV/0!</v>
      </c>
      <c r="T187" s="157" t="e">
        <f>SUMPRODUCT(U188:U192,$T188:$T192)/SUM(U188:U192)</f>
        <v>#DIV/0!</v>
      </c>
      <c r="U187" s="161">
        <f>SUM(U188:U192)</f>
        <v>0</v>
      </c>
      <c r="V187" s="162">
        <f>SUM(V188:V192)</f>
        <v>0</v>
      </c>
      <c r="W187" s="160" t="e">
        <f>SUMPRODUCT(W188:W192,Y188:Y192)/SUM(Y188:Y192)</f>
        <v>#DIV/0!</v>
      </c>
      <c r="X187" s="157" t="e">
        <f>SUMPRODUCT(Y188:Y192,$X188:$X192)/SUM(Y188:Y192)</f>
        <v>#DIV/0!</v>
      </c>
      <c r="Y187" s="161">
        <f>SUM(Y188:Y192)</f>
        <v>0</v>
      </c>
      <c r="Z187" s="162">
        <f>SUM(Z188:Z192)</f>
        <v>0</v>
      </c>
      <c r="AA187" s="160" t="e">
        <f>SUMPRODUCT(AA188:AA192,AC188:AC192)/SUM(AC188:AC192)</f>
        <v>#DIV/0!</v>
      </c>
      <c r="AB187" s="157" t="e">
        <f>SUMPRODUCT(AC188:AC192,$AB188:$AB192)/SUM(AC188:AC192)</f>
        <v>#DIV/0!</v>
      </c>
      <c r="AC187" s="161">
        <f>SUM(AC188:AC192)</f>
        <v>0</v>
      </c>
      <c r="AD187" s="162">
        <f>SUM(AD188:AD192)</f>
        <v>0</v>
      </c>
      <c r="AE187" s="160" t="e">
        <f>SUMPRODUCT(AE188:AE192,AG188:AG192)/SUM(AG188:AG192)</f>
        <v>#DIV/0!</v>
      </c>
      <c r="AF187" s="157" t="e">
        <f>SUMPRODUCT(AG188:AG192,$AF188:$AF192)/SUM(AG188:AG192)</f>
        <v>#DIV/0!</v>
      </c>
      <c r="AG187" s="161">
        <f>SUM(AG188:AG192)</f>
        <v>0</v>
      </c>
      <c r="AH187" s="162">
        <f>SUM(AH188:AH192)</f>
        <v>0</v>
      </c>
      <c r="AI187" s="234"/>
    </row>
    <row r="188" spans="1:35" s="154" customFormat="1" ht="13.15" customHeight="1" outlineLevel="1">
      <c r="A188" s="142"/>
      <c r="B188" s="143"/>
      <c r="C188" s="531"/>
      <c r="D188" s="129" t="s">
        <v>604</v>
      </c>
      <c r="E188" s="46"/>
      <c r="F188" s="144">
        <f>SUMIFS(Port!AP:AP,Port!E:E,"6.5 Other Retail Loan 1 14",Port!H:H,2)/1000000</f>
        <v>5.7917464745760006</v>
      </c>
      <c r="G188" s="144"/>
      <c r="H188" s="145">
        <f>(SUMIFS(Port!AL:AL,Port!E:E,"6.5 Other Retail Loan 1 14",Port!H:H,2)+SUMIFS(Port!AM:AM,Port!E:E,"6.5 Other Retail Loan 1 14",Port!H:H,2)) / (SUMIFS(Port!AF:AF,Port!E:E,"6.5 Other Retail Loan 1 14",Port!H:H,2)+SUMIFS(Port!AG:AG,Port!E:E,"6.5 Other Retail Loan 1 14",Port!H:H,2))</f>
        <v>9.8840931499704535E-2</v>
      </c>
      <c r="I188" s="146">
        <f>(SUMIFS(Port!AN:AN,Port!E:E,"6.5 Other Retail Loan 1 14",Port!H:H,2)+SUMIFS(Port!AO:AO,Port!E:E,"6.5 Other Retail Loan 1 14",Port!H:H,2)) / (SUMIFS(Port!AF:AF,Port!E:E,"6.5 Other Retail Loan 1 14",Port!H:H,2)+SUMIFS(Port!AG:AG,Port!E:E,"6.5 Other Retail Loan 1 14",Port!H:H,2))</f>
        <v>0.85</v>
      </c>
      <c r="J188" s="147">
        <f>(SUMIFS(Port!AF:AF,Port!E:E,"6.5 Other Retail Loan 1 14",Port!H:H,2)+SUMIFS(Port!AG:AG,Port!E:E,"6.5 Other Retail Loan 1 14",Port!H:H,2))/1000000</f>
        <v>5.7917464745760006</v>
      </c>
      <c r="K188" s="148">
        <f>(SUMIFS(Port!AJ:AJ,Port!E:E,"6.5 Other Retail Loan 1 14",Port!H:H,2)+SUMIFS(Port!AK:AK,Port!E:E,"6.5 Other Retail Loan 1 14",Port!H:H,2))/1000000</f>
        <v>0.48659237407363848</v>
      </c>
      <c r="L188" s="149"/>
      <c r="M188" s="136"/>
      <c r="N188" s="549"/>
      <c r="O188" s="137"/>
      <c r="P188" s="133"/>
      <c r="Q188" s="138"/>
      <c r="R188" s="139"/>
      <c r="S188" s="137"/>
      <c r="T188" s="133"/>
      <c r="U188" s="138"/>
      <c r="V188" s="139"/>
      <c r="W188" s="137"/>
      <c r="X188" s="133"/>
      <c r="Y188" s="138"/>
      <c r="Z188" s="139"/>
      <c r="AA188" s="137"/>
      <c r="AB188" s="133"/>
      <c r="AC188" s="138"/>
      <c r="AD188" s="139"/>
      <c r="AE188" s="137"/>
      <c r="AF188" s="133"/>
      <c r="AG188" s="138"/>
      <c r="AH188" s="139"/>
      <c r="AI188" s="153"/>
    </row>
    <row r="189" spans="1:35" s="154" customFormat="1" ht="13.15" customHeight="1" outlineLevel="1">
      <c r="A189" s="142"/>
      <c r="B189" s="143"/>
      <c r="C189" s="531"/>
      <c r="D189" s="129" t="s">
        <v>599</v>
      </c>
      <c r="E189" s="46"/>
      <c r="F189" s="144"/>
      <c r="G189" s="144"/>
      <c r="H189" s="145"/>
      <c r="I189" s="146"/>
      <c r="J189" s="147"/>
      <c r="K189" s="148"/>
      <c r="L189" s="149"/>
      <c r="M189" s="136"/>
      <c r="N189" s="549"/>
      <c r="O189" s="137"/>
      <c r="P189" s="133"/>
      <c r="Q189" s="138"/>
      <c r="R189" s="139"/>
      <c r="S189" s="137"/>
      <c r="T189" s="133"/>
      <c r="U189" s="138"/>
      <c r="V189" s="139"/>
      <c r="W189" s="137"/>
      <c r="X189" s="133"/>
      <c r="Y189" s="138"/>
      <c r="Z189" s="139"/>
      <c r="AA189" s="137"/>
      <c r="AB189" s="133"/>
      <c r="AC189" s="138"/>
      <c r="AD189" s="139"/>
      <c r="AE189" s="137"/>
      <c r="AF189" s="133"/>
      <c r="AG189" s="138"/>
      <c r="AH189" s="139"/>
      <c r="AI189" s="153"/>
    </row>
    <row r="190" spans="1:35" s="154" customFormat="1" ht="13.15" customHeight="1" outlineLevel="1">
      <c r="A190" s="142"/>
      <c r="B190" s="143"/>
      <c r="C190" s="531"/>
      <c r="D190" s="129" t="s">
        <v>600</v>
      </c>
      <c r="E190" s="46"/>
      <c r="F190" s="144"/>
      <c r="G190" s="144"/>
      <c r="H190" s="145"/>
      <c r="I190" s="146"/>
      <c r="J190" s="147"/>
      <c r="K190" s="148"/>
      <c r="L190" s="149"/>
      <c r="M190" s="136"/>
      <c r="N190" s="549"/>
      <c r="O190" s="150"/>
      <c r="P190" s="146"/>
      <c r="Q190" s="151"/>
      <c r="R190" s="152"/>
      <c r="S190" s="150"/>
      <c r="T190" s="146"/>
      <c r="U190" s="151"/>
      <c r="V190" s="152"/>
      <c r="W190" s="150"/>
      <c r="X190" s="146"/>
      <c r="Y190" s="151"/>
      <c r="Z190" s="152"/>
      <c r="AA190" s="150"/>
      <c r="AB190" s="146"/>
      <c r="AC190" s="151"/>
      <c r="AD190" s="152"/>
      <c r="AE190" s="150"/>
      <c r="AF190" s="146"/>
      <c r="AG190" s="151"/>
      <c r="AH190" s="152"/>
      <c r="AI190" s="153"/>
    </row>
    <row r="191" spans="1:35" s="154" customFormat="1" ht="13.15" customHeight="1" outlineLevel="1">
      <c r="A191" s="142"/>
      <c r="B191" s="143"/>
      <c r="C191" s="531"/>
      <c r="D191" s="129" t="s">
        <v>601</v>
      </c>
      <c r="E191" s="46"/>
      <c r="F191" s="144"/>
      <c r="G191" s="144"/>
      <c r="H191" s="145"/>
      <c r="I191" s="146"/>
      <c r="J191" s="147"/>
      <c r="K191" s="148"/>
      <c r="L191" s="149"/>
      <c r="M191" s="136"/>
      <c r="N191" s="549"/>
      <c r="O191" s="150"/>
      <c r="P191" s="146"/>
      <c r="Q191" s="151"/>
      <c r="R191" s="152"/>
      <c r="S191" s="150"/>
      <c r="T191" s="146"/>
      <c r="U191" s="151"/>
      <c r="V191" s="152"/>
      <c r="W191" s="150"/>
      <c r="X191" s="146"/>
      <c r="Y191" s="151"/>
      <c r="Z191" s="152"/>
      <c r="AA191" s="150"/>
      <c r="AB191" s="146"/>
      <c r="AC191" s="151"/>
      <c r="AD191" s="152"/>
      <c r="AE191" s="150"/>
      <c r="AF191" s="146"/>
      <c r="AG191" s="151"/>
      <c r="AH191" s="152"/>
      <c r="AI191" s="153"/>
    </row>
    <row r="192" spans="1:35" s="154" customFormat="1" ht="13.15" customHeight="1" outlineLevel="1">
      <c r="A192" s="142"/>
      <c r="B192" s="143"/>
      <c r="C192" s="531"/>
      <c r="D192" s="129" t="s">
        <v>602</v>
      </c>
      <c r="E192" s="46"/>
      <c r="F192" s="144"/>
      <c r="G192" s="144"/>
      <c r="H192" s="145"/>
      <c r="I192" s="146"/>
      <c r="J192" s="147"/>
      <c r="K192" s="148"/>
      <c r="L192" s="149"/>
      <c r="M192" s="136"/>
      <c r="N192" s="549"/>
      <c r="O192" s="150"/>
      <c r="P192" s="146"/>
      <c r="Q192" s="151"/>
      <c r="R192" s="152"/>
      <c r="S192" s="150"/>
      <c r="T192" s="146"/>
      <c r="U192" s="151"/>
      <c r="V192" s="152"/>
      <c r="W192" s="150"/>
      <c r="X192" s="146"/>
      <c r="Y192" s="151"/>
      <c r="Z192" s="152"/>
      <c r="AA192" s="150"/>
      <c r="AB192" s="146"/>
      <c r="AC192" s="151"/>
      <c r="AD192" s="152"/>
      <c r="AE192" s="150"/>
      <c r="AF192" s="146"/>
      <c r="AG192" s="151"/>
      <c r="AH192" s="152"/>
      <c r="AI192" s="153"/>
    </row>
    <row r="193" spans="1:35" ht="13.5" customHeight="1">
      <c r="B193" s="232"/>
      <c r="C193" s="531"/>
      <c r="D193" s="45" t="s">
        <v>590</v>
      </c>
      <c r="E193" s="46"/>
      <c r="F193" s="163">
        <f>SUMIFS(Port!AP:AP,Port!E:E,"6.5 Other Retail Loan 1 14",Port!H:H,3)/1000000</f>
        <v>0</v>
      </c>
      <c r="G193" s="163"/>
      <c r="H193" s="98">
        <v>1</v>
      </c>
      <c r="I193" s="48"/>
      <c r="J193" s="164"/>
      <c r="K193" s="165"/>
      <c r="L193" s="122"/>
      <c r="M193" s="136"/>
      <c r="N193" s="549"/>
      <c r="O193" s="53">
        <v>1</v>
      </c>
      <c r="P193" s="48"/>
      <c r="Q193" s="166"/>
      <c r="R193" s="167"/>
      <c r="S193" s="53">
        <v>1</v>
      </c>
      <c r="T193" s="48"/>
      <c r="U193" s="166"/>
      <c r="V193" s="167"/>
      <c r="W193" s="53">
        <v>1</v>
      </c>
      <c r="X193" s="48"/>
      <c r="Y193" s="166"/>
      <c r="Z193" s="167"/>
      <c r="AA193" s="53">
        <v>1</v>
      </c>
      <c r="AB193" s="48"/>
      <c r="AC193" s="166"/>
      <c r="AD193" s="167"/>
      <c r="AE193" s="53">
        <v>1</v>
      </c>
      <c r="AF193" s="48"/>
      <c r="AG193" s="166"/>
      <c r="AH193" s="167"/>
      <c r="AI193" s="235"/>
    </row>
    <row r="194" spans="1:35" ht="13.5" customHeight="1" thickBot="1">
      <c r="B194" s="232"/>
      <c r="C194" s="531"/>
      <c r="D194" s="58" t="s">
        <v>591</v>
      </c>
      <c r="E194" s="59"/>
      <c r="F194" s="168"/>
      <c r="G194" s="168"/>
      <c r="H194" s="62">
        <v>1</v>
      </c>
      <c r="I194" s="62"/>
      <c r="J194" s="169"/>
      <c r="K194" s="170"/>
      <c r="L194" s="122"/>
      <c r="M194" s="171"/>
      <c r="N194" s="549"/>
      <c r="O194" s="65">
        <v>1</v>
      </c>
      <c r="P194" s="62"/>
      <c r="Q194" s="172"/>
      <c r="R194" s="173"/>
      <c r="S194" s="65">
        <v>1</v>
      </c>
      <c r="T194" s="62"/>
      <c r="U194" s="172"/>
      <c r="V194" s="173"/>
      <c r="W194" s="65">
        <v>1</v>
      </c>
      <c r="X194" s="62"/>
      <c r="Y194" s="172"/>
      <c r="Z194" s="173"/>
      <c r="AA194" s="65">
        <v>1</v>
      </c>
      <c r="AB194" s="62"/>
      <c r="AC194" s="172"/>
      <c r="AD194" s="173"/>
      <c r="AE194" s="65">
        <v>1</v>
      </c>
      <c r="AF194" s="62"/>
      <c r="AG194" s="172"/>
      <c r="AH194" s="173"/>
      <c r="AI194" s="235"/>
    </row>
    <row r="195" spans="1:35" ht="13.5" customHeight="1">
      <c r="B195" s="232"/>
      <c r="C195" s="531"/>
      <c r="D195" s="68" t="s">
        <v>592</v>
      </c>
      <c r="E195" s="112"/>
      <c r="F195" s="174">
        <f>SUM(F182,F187,F193,F194)</f>
        <v>4003.4418749367078</v>
      </c>
      <c r="G195" s="174">
        <f>SUM(G182,G187,G193,G194)</f>
        <v>0</v>
      </c>
      <c r="H195" s="175">
        <f>SUM(H182*$J182,H187*$J187,H193*$J193,H194*$J194)/SUM($J182,$J187,$J193,$J194)</f>
        <v>3.5403481550099682E-2</v>
      </c>
      <c r="I195" s="176">
        <f>SUM(I182*$J182,I187*$J187,I193*$J193,I194*$J194)/SUM($J182,$J187,$J193,$J194)</f>
        <v>0.85000000000000009</v>
      </c>
      <c r="J195" s="177">
        <f>SUM(J182,J187,J193,J194)</f>
        <v>4003.4418749367078</v>
      </c>
      <c r="K195" s="178">
        <f>SUM(K182,K187,K193,K194)</f>
        <v>120.47541347278548</v>
      </c>
      <c r="L195" s="75"/>
      <c r="M195" s="179"/>
      <c r="N195" s="550"/>
      <c r="O195" s="180" t="e">
        <f>SUM(O182*Q182,O187*Q187,O193*Q193,O194*Q194)/SUM(Q182,Q187,Q193,Q194)</f>
        <v>#DIV/0!</v>
      </c>
      <c r="P195" s="180" t="e">
        <f>SUM(P182*Q182,P187*Q187,P193*Q193,P194*Q194)/SUM(Q182,Q187,Q193,Q194)</f>
        <v>#DIV/0!</v>
      </c>
      <c r="Q195" s="181">
        <f>SUM(Q182,Q187,Q193,Q194)</f>
        <v>0</v>
      </c>
      <c r="R195" s="182">
        <f>SUM(R182,R187,R193,R194)</f>
        <v>0</v>
      </c>
      <c r="S195" s="180" t="e">
        <f>SUM(S182*U182,S187*U187,S193*U193,S194*U194)/SUM(U182,U187,U193,U194)</f>
        <v>#DIV/0!</v>
      </c>
      <c r="T195" s="180" t="e">
        <f>SUM(T182*U182,T187*U187,T193*U193,T194*U194)/SUM(U182,U187,U193,U194)</f>
        <v>#DIV/0!</v>
      </c>
      <c r="U195" s="181">
        <f>SUM(U182,U187,U193,U194)</f>
        <v>0</v>
      </c>
      <c r="V195" s="182">
        <f>SUM(V182,V187,V193,V194)</f>
        <v>0</v>
      </c>
      <c r="W195" s="180" t="e">
        <f>SUM(W182*Y182,W187*Y187,W193*Y193,W194*Y194)/SUM(Y182,Y187,Y193,Y194)</f>
        <v>#DIV/0!</v>
      </c>
      <c r="X195" s="180" t="e">
        <f>SUM(X182*Y182,X187*Y187,X193*Y193,X194*Y194)/SUM(Y182,Y187,Y193,Y194)</f>
        <v>#DIV/0!</v>
      </c>
      <c r="Y195" s="181">
        <f>SUM(Y182,Y187,Y193,Y194)</f>
        <v>0</v>
      </c>
      <c r="Z195" s="182">
        <f>SUM(Z182,Z187,Z193,Z194)</f>
        <v>0</v>
      </c>
      <c r="AA195" s="180" t="e">
        <f>SUM(AA182*AC182,AA187*AC187,AA193*AC193,AA194*AC194)/SUM(AC182,AC187,AC193,AC194)</f>
        <v>#DIV/0!</v>
      </c>
      <c r="AB195" s="180" t="e">
        <f>SUM(AB182*AC182,AB187*AC187,AB193*AC193,AB194*AC194)/SUM(AC182,AC187,AC193,AC194)</f>
        <v>#DIV/0!</v>
      </c>
      <c r="AC195" s="181">
        <f>SUM(AC182,AC187,AC193,AC194)</f>
        <v>0</v>
      </c>
      <c r="AD195" s="182">
        <f>SUM(AD182,AD187,AD193,AD194)</f>
        <v>0</v>
      </c>
      <c r="AE195" s="180" t="e">
        <f>SUM(AE182*AG182,AE187*AG187,AE193*AG193,AE194*AG194)/SUM(AG182,AG187,AG193,AG194)</f>
        <v>#DIV/0!</v>
      </c>
      <c r="AF195" s="180" t="e">
        <f>SUM(AF182*AG182,AF187*AG187,AF193*AG193,AF194*AG194)/SUM(AG182,AG187,AG193,AG194)</f>
        <v>#DIV/0!</v>
      </c>
      <c r="AG195" s="181">
        <f>SUM(AG182,AG187,AG193,AG194)</f>
        <v>0</v>
      </c>
      <c r="AH195" s="182">
        <f>SUM(AH182,AH187,AH193,AH194)</f>
        <v>0</v>
      </c>
      <c r="AI195" s="78"/>
    </row>
    <row r="196" spans="1:35" ht="13.5" customHeight="1">
      <c r="B196" s="232"/>
      <c r="C196" s="531"/>
      <c r="D196" s="79" t="s">
        <v>593</v>
      </c>
      <c r="E196" s="46"/>
      <c r="F196" s="183"/>
      <c r="G196" s="183"/>
      <c r="H196" s="81"/>
      <c r="I196" s="82"/>
      <c r="J196" s="83"/>
      <c r="K196" s="84"/>
      <c r="L196" s="51"/>
      <c r="M196" s="51"/>
      <c r="N196" s="85"/>
      <c r="O196" s="86"/>
      <c r="P196" s="82"/>
      <c r="Q196" s="83"/>
      <c r="R196" s="184"/>
      <c r="S196" s="86"/>
      <c r="T196" s="82"/>
      <c r="U196" s="83"/>
      <c r="V196" s="184"/>
      <c r="W196" s="86"/>
      <c r="X196" s="82"/>
      <c r="Y196" s="83"/>
      <c r="Z196" s="184"/>
      <c r="AA196" s="86"/>
      <c r="AB196" s="82"/>
      <c r="AC196" s="83"/>
      <c r="AD196" s="184"/>
      <c r="AE196" s="86"/>
      <c r="AF196" s="82"/>
      <c r="AG196" s="83"/>
      <c r="AH196" s="184"/>
      <c r="AI196" s="235"/>
    </row>
    <row r="197" spans="1:35" ht="13.5" customHeight="1" thickBot="1">
      <c r="B197" s="232"/>
      <c r="C197" s="531"/>
      <c r="D197" s="89" t="s">
        <v>594</v>
      </c>
      <c r="E197" s="113"/>
      <c r="F197" s="168"/>
      <c r="G197" s="168"/>
      <c r="H197" s="91"/>
      <c r="I197" s="92"/>
      <c r="J197" s="93"/>
      <c r="K197" s="94"/>
      <c r="L197" s="51"/>
      <c r="M197" s="51"/>
      <c r="N197" s="85"/>
      <c r="O197" s="95"/>
      <c r="P197" s="92"/>
      <c r="Q197" s="93"/>
      <c r="R197" s="185"/>
      <c r="S197" s="95"/>
      <c r="T197" s="92"/>
      <c r="U197" s="93"/>
      <c r="V197" s="185"/>
      <c r="W197" s="95"/>
      <c r="X197" s="92"/>
      <c r="Y197" s="93"/>
      <c r="Z197" s="185"/>
      <c r="AA197" s="95"/>
      <c r="AB197" s="92"/>
      <c r="AC197" s="93"/>
      <c r="AD197" s="185"/>
      <c r="AE197" s="95"/>
      <c r="AF197" s="92"/>
      <c r="AG197" s="93"/>
      <c r="AH197" s="185"/>
      <c r="AI197" s="235"/>
    </row>
    <row r="198" spans="1:35" ht="13.5" customHeight="1">
      <c r="B198" s="227" t="s">
        <v>621</v>
      </c>
      <c r="C198" s="228"/>
      <c r="D198" s="32" t="s">
        <v>598</v>
      </c>
      <c r="E198" s="33"/>
      <c r="F198" s="117">
        <f>SUM(F199:F202)</f>
        <v>0</v>
      </c>
      <c r="G198" s="117">
        <f>SUM(G199:G202)</f>
        <v>0</v>
      </c>
      <c r="H198" s="186" t="e">
        <f>SUMPRODUCT(H199:H202,$J199:$J202)/SUM(J199:J202)</f>
        <v>#DIV/0!</v>
      </c>
      <c r="I198" s="119" t="e">
        <f>SUMPRODUCT(J199:J202,$I199:$I202)/SUM(J199:J202)</f>
        <v>#DIV/0!</v>
      </c>
      <c r="J198" s="120">
        <f>SUM(J199:J202)</f>
        <v>0</v>
      </c>
      <c r="K198" s="121">
        <f>SUM(K199:K202)</f>
        <v>0</v>
      </c>
      <c r="L198" s="122"/>
      <c r="M198" s="123"/>
      <c r="N198" s="548"/>
      <c r="O198" s="124" t="e">
        <f>SUMPRODUCT(O199:O202,Q199:Q202)/SUM(Q199:Q202)</f>
        <v>#DIV/0!</v>
      </c>
      <c r="P198" s="119" t="e">
        <f>SUMPRODUCT(Q199:Q202,$P199:$P202)/SUM(Q199:Q202)</f>
        <v>#DIV/0!</v>
      </c>
      <c r="Q198" s="125">
        <f>SUM(Q199:Q202)</f>
        <v>0</v>
      </c>
      <c r="R198" s="126">
        <f>SUM(R199:R202)</f>
        <v>0</v>
      </c>
      <c r="S198" s="124" t="e">
        <f>SUMPRODUCT(S199:S202,U199:U202)/SUM(U199:U202)</f>
        <v>#DIV/0!</v>
      </c>
      <c r="T198" s="119" t="e">
        <f>SUMPRODUCT(U199:U202,$T199:$T202)/SUM(U199:U202)</f>
        <v>#DIV/0!</v>
      </c>
      <c r="U198" s="125">
        <f>SUM(U199:U202)</f>
        <v>0</v>
      </c>
      <c r="V198" s="126">
        <f>SUM(V199:V202)</f>
        <v>0</v>
      </c>
      <c r="W198" s="124" t="e">
        <f>SUMPRODUCT(W199:W202,Y199:Y202)/SUM(Y199:Y202)</f>
        <v>#DIV/0!</v>
      </c>
      <c r="X198" s="119" t="e">
        <f>SUMPRODUCT(Y199:Y202,$X199:$X202)/SUM(Y199:Y202)</f>
        <v>#DIV/0!</v>
      </c>
      <c r="Y198" s="125">
        <f>SUM(Y199:Y202)</f>
        <v>0</v>
      </c>
      <c r="Z198" s="126">
        <f>SUM(Z199:Z202)</f>
        <v>0</v>
      </c>
      <c r="AA198" s="124" t="e">
        <f>SUMPRODUCT(AA199:AA202,AC199:AC202)/SUM(AC199:AC202)</f>
        <v>#DIV/0!</v>
      </c>
      <c r="AB198" s="119" t="e">
        <f>SUMPRODUCT(AC199:AC202,$AB199:$AB202)/SUM(AC199:AC202)</f>
        <v>#DIV/0!</v>
      </c>
      <c r="AC198" s="125">
        <f>SUM(AC199:AC202)</f>
        <v>0</v>
      </c>
      <c r="AD198" s="126">
        <f>SUM(AD199:AD202)</f>
        <v>0</v>
      </c>
      <c r="AE198" s="124" t="e">
        <f>SUMPRODUCT(AE199:AE202,AG199:AG202)/SUM(AG199:AG202)</f>
        <v>#DIV/0!</v>
      </c>
      <c r="AF198" s="119" t="e">
        <f>SUMPRODUCT(AG199:AG202,$AF199:$AF202)/SUM(AG199:AG202)</f>
        <v>#DIV/0!</v>
      </c>
      <c r="AG198" s="125">
        <f>SUM(AG199:AG202)</f>
        <v>0</v>
      </c>
      <c r="AH198" s="126">
        <f>SUM(AH199:AH202)</f>
        <v>0</v>
      </c>
      <c r="AI198" s="229"/>
    </row>
    <row r="199" spans="1:35" s="154" customFormat="1" ht="13.15" customHeight="1" outlineLevel="1">
      <c r="A199" s="142"/>
      <c r="B199" s="143"/>
      <c r="C199" s="231"/>
      <c r="D199" s="129" t="s">
        <v>599</v>
      </c>
      <c r="E199" s="46"/>
      <c r="F199" s="144"/>
      <c r="G199" s="144"/>
      <c r="H199" s="145"/>
      <c r="I199" s="146"/>
      <c r="J199" s="147"/>
      <c r="K199" s="148"/>
      <c r="L199" s="149"/>
      <c r="M199" s="136"/>
      <c r="N199" s="549"/>
      <c r="O199" s="137"/>
      <c r="P199" s="133"/>
      <c r="Q199" s="138"/>
      <c r="R199" s="139"/>
      <c r="S199" s="137"/>
      <c r="T199" s="133"/>
      <c r="U199" s="138"/>
      <c r="V199" s="139"/>
      <c r="W199" s="137"/>
      <c r="X199" s="133"/>
      <c r="Y199" s="138"/>
      <c r="Z199" s="139"/>
      <c r="AA199" s="137"/>
      <c r="AB199" s="133"/>
      <c r="AC199" s="138"/>
      <c r="AD199" s="139"/>
      <c r="AE199" s="137"/>
      <c r="AF199" s="133"/>
      <c r="AG199" s="138"/>
      <c r="AH199" s="139"/>
      <c r="AI199" s="153"/>
    </row>
    <row r="200" spans="1:35" s="154" customFormat="1" ht="13.15" customHeight="1" outlineLevel="1">
      <c r="A200" s="142"/>
      <c r="B200" s="143"/>
      <c r="C200" s="231"/>
      <c r="D200" s="129" t="s">
        <v>600</v>
      </c>
      <c r="E200" s="46"/>
      <c r="F200" s="144"/>
      <c r="G200" s="144"/>
      <c r="H200" s="145"/>
      <c r="I200" s="146"/>
      <c r="J200" s="147"/>
      <c r="K200" s="148"/>
      <c r="L200" s="149"/>
      <c r="M200" s="136"/>
      <c r="N200" s="549"/>
      <c r="O200" s="137"/>
      <c r="P200" s="133"/>
      <c r="Q200" s="138"/>
      <c r="R200" s="139"/>
      <c r="S200" s="137"/>
      <c r="T200" s="133"/>
      <c r="U200" s="138"/>
      <c r="V200" s="139"/>
      <c r="W200" s="137"/>
      <c r="X200" s="133"/>
      <c r="Y200" s="138"/>
      <c r="Z200" s="139"/>
      <c r="AA200" s="137"/>
      <c r="AB200" s="133"/>
      <c r="AC200" s="138"/>
      <c r="AD200" s="139"/>
      <c r="AE200" s="137"/>
      <c r="AF200" s="133"/>
      <c r="AG200" s="138"/>
      <c r="AH200" s="139"/>
      <c r="AI200" s="153"/>
    </row>
    <row r="201" spans="1:35" s="154" customFormat="1" ht="13.15" customHeight="1" outlineLevel="1">
      <c r="A201" s="142"/>
      <c r="B201" s="143"/>
      <c r="C201" s="231"/>
      <c r="D201" s="129" t="s">
        <v>601</v>
      </c>
      <c r="E201" s="46"/>
      <c r="F201" s="144"/>
      <c r="G201" s="144"/>
      <c r="H201" s="145"/>
      <c r="I201" s="146"/>
      <c r="J201" s="147"/>
      <c r="K201" s="148"/>
      <c r="L201" s="149"/>
      <c r="M201" s="136"/>
      <c r="N201" s="549"/>
      <c r="O201" s="150"/>
      <c r="P201" s="146"/>
      <c r="Q201" s="151"/>
      <c r="R201" s="152"/>
      <c r="S201" s="150"/>
      <c r="T201" s="146"/>
      <c r="U201" s="151"/>
      <c r="V201" s="152"/>
      <c r="W201" s="150"/>
      <c r="X201" s="146"/>
      <c r="Y201" s="151"/>
      <c r="Z201" s="152"/>
      <c r="AA201" s="150"/>
      <c r="AB201" s="146"/>
      <c r="AC201" s="151"/>
      <c r="AD201" s="152"/>
      <c r="AE201" s="150"/>
      <c r="AF201" s="146"/>
      <c r="AG201" s="151"/>
      <c r="AH201" s="152"/>
      <c r="AI201" s="153"/>
    </row>
    <row r="202" spans="1:35" s="154" customFormat="1" ht="13.15" customHeight="1" outlineLevel="1">
      <c r="A202" s="142"/>
      <c r="B202" s="143"/>
      <c r="C202" s="231"/>
      <c r="D202" s="129" t="s">
        <v>602</v>
      </c>
      <c r="E202" s="46"/>
      <c r="F202" s="144"/>
      <c r="G202" s="144"/>
      <c r="H202" s="145"/>
      <c r="I202" s="146"/>
      <c r="J202" s="147"/>
      <c r="K202" s="148"/>
      <c r="L202" s="149"/>
      <c r="M202" s="136"/>
      <c r="N202" s="549"/>
      <c r="O202" s="150"/>
      <c r="P202" s="146"/>
      <c r="Q202" s="151"/>
      <c r="R202" s="152"/>
      <c r="S202" s="150"/>
      <c r="T202" s="146"/>
      <c r="U202" s="151"/>
      <c r="V202" s="152"/>
      <c r="W202" s="150"/>
      <c r="X202" s="146"/>
      <c r="Y202" s="151"/>
      <c r="Z202" s="152"/>
      <c r="AA202" s="150"/>
      <c r="AB202" s="146"/>
      <c r="AC202" s="151"/>
      <c r="AD202" s="152"/>
      <c r="AE202" s="150"/>
      <c r="AF202" s="146"/>
      <c r="AG202" s="151"/>
      <c r="AH202" s="152"/>
      <c r="AI202" s="153"/>
    </row>
    <row r="203" spans="1:35" ht="13.5" customHeight="1">
      <c r="B203" s="232"/>
      <c r="C203" s="233"/>
      <c r="D203" s="45" t="s">
        <v>603</v>
      </c>
      <c r="E203" s="46"/>
      <c r="F203" s="155">
        <f>SUM(F204:F208)</f>
        <v>0</v>
      </c>
      <c r="G203" s="155">
        <f>SUM(G204:G208)</f>
        <v>0</v>
      </c>
      <c r="H203" s="156" t="e">
        <f>SUMPRODUCT(H204:H208,$J204:$J208)/SUM(J204:J208)</f>
        <v>#DIV/0!</v>
      </c>
      <c r="I203" s="157" t="e">
        <f>SUMPRODUCT(J204:J208,$I204:$I208)/SUM(J204:J208)</f>
        <v>#DIV/0!</v>
      </c>
      <c r="J203" s="158">
        <f>SUM(J204:J208)</f>
        <v>0</v>
      </c>
      <c r="K203" s="159">
        <f>SUM(K204:K208)</f>
        <v>0</v>
      </c>
      <c r="L203" s="122"/>
      <c r="M203" s="123"/>
      <c r="N203" s="549"/>
      <c r="O203" s="160" t="e">
        <f>SUMPRODUCT(O204:O208,Q204:Q208)/SUM(Q204:Q208)</f>
        <v>#DIV/0!</v>
      </c>
      <c r="P203" s="157" t="e">
        <f>SUMPRODUCT(Q204:Q208,$P204:$P208)/SUM(Q204:Q208)</f>
        <v>#DIV/0!</v>
      </c>
      <c r="Q203" s="161">
        <f>SUM(Q204:Q208)</f>
        <v>0</v>
      </c>
      <c r="R203" s="162">
        <f>SUM(R204:R208)</f>
        <v>0</v>
      </c>
      <c r="S203" s="160" t="e">
        <f>SUMPRODUCT(S204:S208,U204:U208)/SUM(U204:U208)</f>
        <v>#DIV/0!</v>
      </c>
      <c r="T203" s="157" t="e">
        <f>SUMPRODUCT(U204:U208,$T204:$T208)/SUM(U204:U208)</f>
        <v>#DIV/0!</v>
      </c>
      <c r="U203" s="161">
        <f>SUM(U204:U208)</f>
        <v>0</v>
      </c>
      <c r="V203" s="162">
        <f>SUM(V204:V208)</f>
        <v>0</v>
      </c>
      <c r="W203" s="160" t="e">
        <f>SUMPRODUCT(W204:W208,Y204:Y208)/SUM(Y204:Y208)</f>
        <v>#DIV/0!</v>
      </c>
      <c r="X203" s="157" t="e">
        <f>SUMPRODUCT(Y204:Y208,$X204:$X208)/SUM(Y204:Y208)</f>
        <v>#DIV/0!</v>
      </c>
      <c r="Y203" s="161">
        <f>SUM(Y204:Y208)</f>
        <v>0</v>
      </c>
      <c r="Z203" s="162">
        <f>SUM(Z204:Z208)</f>
        <v>0</v>
      </c>
      <c r="AA203" s="160" t="e">
        <f>SUMPRODUCT(AA204:AA208,AC204:AC208)/SUM(AC204:AC208)</f>
        <v>#DIV/0!</v>
      </c>
      <c r="AB203" s="157" t="e">
        <f>SUMPRODUCT(AC204:AC208,$AB204:$AB208)/SUM(AC204:AC208)</f>
        <v>#DIV/0!</v>
      </c>
      <c r="AC203" s="161">
        <f>SUM(AC204:AC208)</f>
        <v>0</v>
      </c>
      <c r="AD203" s="162">
        <f>SUM(AD204:AD208)</f>
        <v>0</v>
      </c>
      <c r="AE203" s="160" t="e">
        <f>SUMPRODUCT(AE204:AE208,AG204:AG208)/SUM(AG204:AG208)</f>
        <v>#DIV/0!</v>
      </c>
      <c r="AF203" s="157" t="e">
        <f>SUMPRODUCT(AG204:AG208,$AF204:$AF208)/SUM(AG204:AG208)</f>
        <v>#DIV/0!</v>
      </c>
      <c r="AG203" s="161">
        <f>SUM(AG204:AG208)</f>
        <v>0</v>
      </c>
      <c r="AH203" s="162">
        <f>SUM(AH204:AH208)</f>
        <v>0</v>
      </c>
      <c r="AI203" s="234"/>
    </row>
    <row r="204" spans="1:35" s="154" customFormat="1" ht="13.15" customHeight="1" outlineLevel="1">
      <c r="A204" s="142"/>
      <c r="B204" s="143"/>
      <c r="C204" s="231"/>
      <c r="D204" s="129" t="s">
        <v>604</v>
      </c>
      <c r="E204" s="46"/>
      <c r="F204" s="144"/>
      <c r="G204" s="144"/>
      <c r="H204" s="145"/>
      <c r="I204" s="146"/>
      <c r="J204" s="147"/>
      <c r="K204" s="148"/>
      <c r="L204" s="149"/>
      <c r="M204" s="136"/>
      <c r="N204" s="549"/>
      <c r="O204" s="137"/>
      <c r="P204" s="133"/>
      <c r="Q204" s="138"/>
      <c r="R204" s="139"/>
      <c r="S204" s="137"/>
      <c r="T204" s="133"/>
      <c r="U204" s="138"/>
      <c r="V204" s="139"/>
      <c r="W204" s="137"/>
      <c r="X204" s="133"/>
      <c r="Y204" s="138"/>
      <c r="Z204" s="139"/>
      <c r="AA204" s="137"/>
      <c r="AB204" s="133"/>
      <c r="AC204" s="138"/>
      <c r="AD204" s="139"/>
      <c r="AE204" s="137"/>
      <c r="AF204" s="133"/>
      <c r="AG204" s="138"/>
      <c r="AH204" s="139"/>
      <c r="AI204" s="153"/>
    </row>
    <row r="205" spans="1:35" s="154" customFormat="1" ht="13.15" customHeight="1" outlineLevel="1">
      <c r="A205" s="142"/>
      <c r="B205" s="143"/>
      <c r="C205" s="231"/>
      <c r="D205" s="129" t="s">
        <v>599</v>
      </c>
      <c r="E205" s="46"/>
      <c r="F205" s="144"/>
      <c r="G205" s="144"/>
      <c r="H205" s="145"/>
      <c r="I205" s="146"/>
      <c r="J205" s="147"/>
      <c r="K205" s="148"/>
      <c r="L205" s="149"/>
      <c r="M205" s="136"/>
      <c r="N205" s="549"/>
      <c r="O205" s="137"/>
      <c r="P205" s="133"/>
      <c r="Q205" s="138"/>
      <c r="R205" s="139"/>
      <c r="S205" s="137"/>
      <c r="T205" s="133"/>
      <c r="U205" s="138"/>
      <c r="V205" s="139"/>
      <c r="W205" s="137"/>
      <c r="X205" s="133"/>
      <c r="Y205" s="138"/>
      <c r="Z205" s="139"/>
      <c r="AA205" s="137"/>
      <c r="AB205" s="133"/>
      <c r="AC205" s="138"/>
      <c r="AD205" s="139"/>
      <c r="AE205" s="137"/>
      <c r="AF205" s="133"/>
      <c r="AG205" s="138"/>
      <c r="AH205" s="139"/>
      <c r="AI205" s="153"/>
    </row>
    <row r="206" spans="1:35" s="154" customFormat="1" ht="13.15" customHeight="1" outlineLevel="1">
      <c r="A206" s="142"/>
      <c r="B206" s="143"/>
      <c r="C206" s="231"/>
      <c r="D206" s="129" t="s">
        <v>600</v>
      </c>
      <c r="E206" s="46"/>
      <c r="F206" s="144"/>
      <c r="G206" s="144"/>
      <c r="H206" s="145"/>
      <c r="I206" s="146"/>
      <c r="J206" s="147"/>
      <c r="K206" s="148"/>
      <c r="L206" s="149"/>
      <c r="M206" s="136"/>
      <c r="N206" s="549"/>
      <c r="O206" s="150"/>
      <c r="P206" s="146"/>
      <c r="Q206" s="151"/>
      <c r="R206" s="152"/>
      <c r="S206" s="150"/>
      <c r="T206" s="146"/>
      <c r="U206" s="151"/>
      <c r="V206" s="152"/>
      <c r="W206" s="150"/>
      <c r="X206" s="146"/>
      <c r="Y206" s="151"/>
      <c r="Z206" s="152"/>
      <c r="AA206" s="150"/>
      <c r="AB206" s="146"/>
      <c r="AC206" s="151"/>
      <c r="AD206" s="152"/>
      <c r="AE206" s="150"/>
      <c r="AF206" s="146"/>
      <c r="AG206" s="151"/>
      <c r="AH206" s="152"/>
      <c r="AI206" s="153"/>
    </row>
    <row r="207" spans="1:35" s="154" customFormat="1" ht="13.15" customHeight="1" outlineLevel="1">
      <c r="A207" s="142"/>
      <c r="B207" s="143"/>
      <c r="C207" s="231"/>
      <c r="D207" s="129" t="s">
        <v>601</v>
      </c>
      <c r="E207" s="46"/>
      <c r="F207" s="144"/>
      <c r="G207" s="144"/>
      <c r="H207" s="145"/>
      <c r="I207" s="146"/>
      <c r="J207" s="147"/>
      <c r="K207" s="148"/>
      <c r="L207" s="149"/>
      <c r="M207" s="136"/>
      <c r="N207" s="549"/>
      <c r="O207" s="150"/>
      <c r="P207" s="146"/>
      <c r="Q207" s="151"/>
      <c r="R207" s="152"/>
      <c r="S207" s="150"/>
      <c r="T207" s="146"/>
      <c r="U207" s="151"/>
      <c r="V207" s="152"/>
      <c r="W207" s="150"/>
      <c r="X207" s="146"/>
      <c r="Y207" s="151"/>
      <c r="Z207" s="152"/>
      <c r="AA207" s="150"/>
      <c r="AB207" s="146"/>
      <c r="AC207" s="151"/>
      <c r="AD207" s="152"/>
      <c r="AE207" s="150"/>
      <c r="AF207" s="146"/>
      <c r="AG207" s="151"/>
      <c r="AH207" s="152"/>
      <c r="AI207" s="153"/>
    </row>
    <row r="208" spans="1:35" s="154" customFormat="1" ht="13.15" customHeight="1" outlineLevel="1">
      <c r="A208" s="142"/>
      <c r="B208" s="143"/>
      <c r="C208" s="231"/>
      <c r="D208" s="129" t="s">
        <v>602</v>
      </c>
      <c r="E208" s="46"/>
      <c r="F208" s="144"/>
      <c r="G208" s="144"/>
      <c r="H208" s="145"/>
      <c r="I208" s="146"/>
      <c r="J208" s="147"/>
      <c r="K208" s="148"/>
      <c r="L208" s="149"/>
      <c r="M208" s="136"/>
      <c r="N208" s="549"/>
      <c r="O208" s="150"/>
      <c r="P208" s="146"/>
      <c r="Q208" s="151"/>
      <c r="R208" s="152"/>
      <c r="S208" s="150"/>
      <c r="T208" s="146"/>
      <c r="U208" s="151"/>
      <c r="V208" s="152"/>
      <c r="W208" s="150"/>
      <c r="X208" s="146"/>
      <c r="Y208" s="151"/>
      <c r="Z208" s="152"/>
      <c r="AA208" s="150"/>
      <c r="AB208" s="146"/>
      <c r="AC208" s="151"/>
      <c r="AD208" s="152"/>
      <c r="AE208" s="150"/>
      <c r="AF208" s="146"/>
      <c r="AG208" s="151"/>
      <c r="AH208" s="152"/>
      <c r="AI208" s="153"/>
    </row>
    <row r="209" spans="1:35" ht="13.5" customHeight="1">
      <c r="B209" s="232"/>
      <c r="C209" s="233"/>
      <c r="D209" s="45" t="s">
        <v>590</v>
      </c>
      <c r="E209" s="46"/>
      <c r="F209" s="163"/>
      <c r="G209" s="163"/>
      <c r="H209" s="98">
        <v>1</v>
      </c>
      <c r="I209" s="48"/>
      <c r="J209" s="164"/>
      <c r="K209" s="165"/>
      <c r="L209" s="122"/>
      <c r="M209" s="136"/>
      <c r="N209" s="549"/>
      <c r="O209" s="53">
        <v>1</v>
      </c>
      <c r="P209" s="48"/>
      <c r="Q209" s="166"/>
      <c r="R209" s="167"/>
      <c r="S209" s="53">
        <v>1</v>
      </c>
      <c r="T209" s="48"/>
      <c r="U209" s="166"/>
      <c r="V209" s="167"/>
      <c r="W209" s="53">
        <v>1</v>
      </c>
      <c r="X209" s="48"/>
      <c r="Y209" s="166"/>
      <c r="Z209" s="167"/>
      <c r="AA209" s="53">
        <v>1</v>
      </c>
      <c r="AB209" s="48"/>
      <c r="AC209" s="166"/>
      <c r="AD209" s="167"/>
      <c r="AE209" s="53">
        <v>1</v>
      </c>
      <c r="AF209" s="48"/>
      <c r="AG209" s="166"/>
      <c r="AH209" s="167"/>
      <c r="AI209" s="235"/>
    </row>
    <row r="210" spans="1:35" ht="13.5" customHeight="1" thickBot="1">
      <c r="B210" s="232"/>
      <c r="C210" s="233"/>
      <c r="D210" s="58" t="s">
        <v>591</v>
      </c>
      <c r="E210" s="59"/>
      <c r="F210" s="168"/>
      <c r="G210" s="168"/>
      <c r="H210" s="62">
        <v>1</v>
      </c>
      <c r="I210" s="62"/>
      <c r="J210" s="169"/>
      <c r="K210" s="170"/>
      <c r="L210" s="122"/>
      <c r="M210" s="171"/>
      <c r="N210" s="549"/>
      <c r="O210" s="65">
        <v>1</v>
      </c>
      <c r="P210" s="62"/>
      <c r="Q210" s="172"/>
      <c r="R210" s="173"/>
      <c r="S210" s="65">
        <v>1</v>
      </c>
      <c r="T210" s="62"/>
      <c r="U210" s="172"/>
      <c r="V210" s="173"/>
      <c r="W210" s="65">
        <v>1</v>
      </c>
      <c r="X210" s="62"/>
      <c r="Y210" s="172"/>
      <c r="Z210" s="173"/>
      <c r="AA210" s="65">
        <v>1</v>
      </c>
      <c r="AB210" s="62"/>
      <c r="AC210" s="172"/>
      <c r="AD210" s="173"/>
      <c r="AE210" s="65">
        <v>1</v>
      </c>
      <c r="AF210" s="62"/>
      <c r="AG210" s="172"/>
      <c r="AH210" s="173"/>
      <c r="AI210" s="235"/>
    </row>
    <row r="211" spans="1:35" ht="13.5" customHeight="1">
      <c r="B211" s="232"/>
      <c r="C211" s="233"/>
      <c r="D211" s="68" t="s">
        <v>592</v>
      </c>
      <c r="E211" s="112"/>
      <c r="F211" s="174">
        <f>SUM(F198,F203,F209,F210)</f>
        <v>0</v>
      </c>
      <c r="G211" s="174">
        <f>SUM(G198,G203,G209,G210)</f>
        <v>0</v>
      </c>
      <c r="H211" s="175" t="e">
        <f>SUM(H198*$J198,H203*$J203,H209*$J209,H210*$J210)/SUM($J198,$J203,$J209,$J210)</f>
        <v>#DIV/0!</v>
      </c>
      <c r="I211" s="176" t="e">
        <f>SUM(I198*$J198,I203*$J203,I209*$J209,I210*$J210)/SUM($J198,$J203,$J209,$J210)</f>
        <v>#DIV/0!</v>
      </c>
      <c r="J211" s="177">
        <f>SUM(J198,J203,J209,J210)</f>
        <v>0</v>
      </c>
      <c r="K211" s="178">
        <f>SUM(K198,K203,K209,K210)</f>
        <v>0</v>
      </c>
      <c r="L211" s="75"/>
      <c r="M211" s="179"/>
      <c r="N211" s="550"/>
      <c r="O211" s="180" t="e">
        <f>SUM(O198*Q198,O203*Q203,O209*Q209,O210*Q210)/SUM(Q198,Q203,Q209,Q210)</f>
        <v>#DIV/0!</v>
      </c>
      <c r="P211" s="180" t="e">
        <f>SUM(P198*Q198,P203*Q203,P209*Q209,P210*Q210)/SUM(Q198,Q203,Q209,Q210)</f>
        <v>#DIV/0!</v>
      </c>
      <c r="Q211" s="181">
        <f>SUM(Q198,Q203,Q209,Q210)</f>
        <v>0</v>
      </c>
      <c r="R211" s="182">
        <f>SUM(R198,R203,R209,R210)</f>
        <v>0</v>
      </c>
      <c r="S211" s="180" t="e">
        <f>SUM(S198*U198,S203*U203,S209*U209,S210*U210)/SUM(U198,U203,U209,U210)</f>
        <v>#DIV/0!</v>
      </c>
      <c r="T211" s="180" t="e">
        <f>SUM(T198*U198,T203*U203,T209*U209,T210*U210)/SUM(U198,U203,U209,U210)</f>
        <v>#DIV/0!</v>
      </c>
      <c r="U211" s="181">
        <f>SUM(U198,U203,U209,U210)</f>
        <v>0</v>
      </c>
      <c r="V211" s="182">
        <f>SUM(V198,V203,V209,V210)</f>
        <v>0</v>
      </c>
      <c r="W211" s="180" t="e">
        <f>SUM(W198*Y198,W203*Y203,W209*Y209,W210*Y210)/SUM(Y198,Y203,Y209,Y210)</f>
        <v>#DIV/0!</v>
      </c>
      <c r="X211" s="180" t="e">
        <f>SUM(X198*Y198,X203*Y203,X209*Y209,X210*Y210)/SUM(Y198,Y203,Y209,Y210)</f>
        <v>#DIV/0!</v>
      </c>
      <c r="Y211" s="181">
        <f>SUM(Y198,Y203,Y209,Y210)</f>
        <v>0</v>
      </c>
      <c r="Z211" s="182">
        <f>SUM(Z198,Z203,Z209,Z210)</f>
        <v>0</v>
      </c>
      <c r="AA211" s="180" t="e">
        <f>SUM(AA198*AC198,AA203*AC203,AA209*AC209,AA210*AC210)/SUM(AC198,AC203,AC209,AC210)</f>
        <v>#DIV/0!</v>
      </c>
      <c r="AB211" s="180" t="e">
        <f>SUM(AB198*AC198,AB203*AC203,AB209*AC209,AB210*AC210)/SUM(AC198,AC203,AC209,AC210)</f>
        <v>#DIV/0!</v>
      </c>
      <c r="AC211" s="181">
        <f>SUM(AC198,AC203,AC209,AC210)</f>
        <v>0</v>
      </c>
      <c r="AD211" s="182">
        <f>SUM(AD198,AD203,AD209,AD210)</f>
        <v>0</v>
      </c>
      <c r="AE211" s="180" t="e">
        <f>SUM(AE198*AG198,AE203*AG203,AE209*AG209,AE210*AG210)/SUM(AG198,AG203,AG209,AG210)</f>
        <v>#DIV/0!</v>
      </c>
      <c r="AF211" s="180" t="e">
        <f>SUM(AF198*AG198,AF203*AG203,AF209*AG209,AF210*AG210)/SUM(AG198,AG203,AG209,AG210)</f>
        <v>#DIV/0!</v>
      </c>
      <c r="AG211" s="181">
        <f>SUM(AG198,AG203,AG209,AG210)</f>
        <v>0</v>
      </c>
      <c r="AH211" s="182">
        <f>SUM(AH198,AH203,AH209,AH210)</f>
        <v>0</v>
      </c>
      <c r="AI211" s="78"/>
    </row>
    <row r="212" spans="1:35" ht="13.5" customHeight="1">
      <c r="B212" s="232"/>
      <c r="C212" s="233"/>
      <c r="D212" s="79" t="s">
        <v>593</v>
      </c>
      <c r="E212" s="46"/>
      <c r="F212" s="183"/>
      <c r="G212" s="183"/>
      <c r="H212" s="81"/>
      <c r="I212" s="82"/>
      <c r="J212" s="83"/>
      <c r="K212" s="84"/>
      <c r="L212" s="51"/>
      <c r="M212" s="51"/>
      <c r="N212" s="85"/>
      <c r="O212" s="86"/>
      <c r="P212" s="82"/>
      <c r="Q212" s="83"/>
      <c r="R212" s="184"/>
      <c r="S212" s="86"/>
      <c r="T212" s="82"/>
      <c r="U212" s="83"/>
      <c r="V212" s="184"/>
      <c r="W212" s="86"/>
      <c r="X212" s="82"/>
      <c r="Y212" s="83"/>
      <c r="Z212" s="184"/>
      <c r="AA212" s="86"/>
      <c r="AB212" s="82"/>
      <c r="AC212" s="83"/>
      <c r="AD212" s="184"/>
      <c r="AE212" s="86"/>
      <c r="AF212" s="82"/>
      <c r="AG212" s="83"/>
      <c r="AH212" s="184"/>
      <c r="AI212" s="235"/>
    </row>
    <row r="213" spans="1:35" ht="13.5" customHeight="1" thickBot="1">
      <c r="B213" s="232"/>
      <c r="C213" s="233"/>
      <c r="D213" s="89" t="s">
        <v>594</v>
      </c>
      <c r="E213" s="113"/>
      <c r="F213" s="168"/>
      <c r="G213" s="168"/>
      <c r="H213" s="91"/>
      <c r="I213" s="92"/>
      <c r="J213" s="93"/>
      <c r="K213" s="94"/>
      <c r="L213" s="51"/>
      <c r="M213" s="51"/>
      <c r="N213" s="85"/>
      <c r="O213" s="95"/>
      <c r="P213" s="92"/>
      <c r="Q213" s="93"/>
      <c r="R213" s="185"/>
      <c r="S213" s="95"/>
      <c r="T213" s="92"/>
      <c r="U213" s="93"/>
      <c r="V213" s="185"/>
      <c r="W213" s="95"/>
      <c r="X213" s="92"/>
      <c r="Y213" s="93"/>
      <c r="Z213" s="185"/>
      <c r="AA213" s="95"/>
      <c r="AB213" s="92"/>
      <c r="AC213" s="93"/>
      <c r="AD213" s="185"/>
      <c r="AE213" s="95"/>
      <c r="AF213" s="92"/>
      <c r="AG213" s="93"/>
      <c r="AH213" s="185"/>
      <c r="AI213" s="235"/>
    </row>
    <row r="214" spans="1:35" ht="13.5" customHeight="1">
      <c r="B214" s="227" t="s">
        <v>622</v>
      </c>
      <c r="C214" s="228"/>
      <c r="D214" s="32" t="s">
        <v>598</v>
      </c>
      <c r="E214" s="33"/>
      <c r="F214" s="117">
        <f>SUM(F215:F218)</f>
        <v>0</v>
      </c>
      <c r="G214" s="117">
        <f>SUM(G215:G218)</f>
        <v>0</v>
      </c>
      <c r="H214" s="186" t="e">
        <f>SUMPRODUCT(H215:H218,$J215:$J218)/SUM(J215:J218)</f>
        <v>#DIV/0!</v>
      </c>
      <c r="I214" s="119" t="e">
        <f>SUMPRODUCT(J215:J218,$I215:$I218)/SUM(J215:J218)</f>
        <v>#DIV/0!</v>
      </c>
      <c r="J214" s="120">
        <f>SUM(J215:J218)</f>
        <v>0</v>
      </c>
      <c r="K214" s="121">
        <f>SUM(K215:K218)</f>
        <v>0</v>
      </c>
      <c r="L214" s="122"/>
      <c r="M214" s="123"/>
      <c r="N214" s="548"/>
      <c r="O214" s="124" t="e">
        <f>SUMPRODUCT(O215:O218,Q215:Q218)/SUM(Q215:Q218)</f>
        <v>#DIV/0!</v>
      </c>
      <c r="P214" s="119" t="e">
        <f>SUMPRODUCT(Q215:Q218,$P215:$P218)/SUM(Q215:Q218)</f>
        <v>#DIV/0!</v>
      </c>
      <c r="Q214" s="125">
        <f>SUM(Q215:Q218)</f>
        <v>0</v>
      </c>
      <c r="R214" s="126">
        <f>SUM(R215:R218)</f>
        <v>0</v>
      </c>
      <c r="S214" s="124" t="e">
        <f>SUMPRODUCT(S215:S218,U215:U218)/SUM(U215:U218)</f>
        <v>#DIV/0!</v>
      </c>
      <c r="T214" s="119" t="e">
        <f>SUMPRODUCT(U215:U218,$T215:$T218)/SUM(U215:U218)</f>
        <v>#DIV/0!</v>
      </c>
      <c r="U214" s="125">
        <f>SUM(U215:U218)</f>
        <v>0</v>
      </c>
      <c r="V214" s="126">
        <f>SUM(V215:V218)</f>
        <v>0</v>
      </c>
      <c r="W214" s="124" t="e">
        <f>SUMPRODUCT(W215:W218,Y215:Y218)/SUM(Y215:Y218)</f>
        <v>#DIV/0!</v>
      </c>
      <c r="X214" s="119" t="e">
        <f>SUMPRODUCT(Y215:Y218,$X215:$X218)/SUM(Y215:Y218)</f>
        <v>#DIV/0!</v>
      </c>
      <c r="Y214" s="125">
        <f>SUM(Y215:Y218)</f>
        <v>0</v>
      </c>
      <c r="Z214" s="126">
        <f>SUM(Z215:Z218)</f>
        <v>0</v>
      </c>
      <c r="AA214" s="124" t="e">
        <f>SUMPRODUCT(AA215:AA218,AC215:AC218)/SUM(AC215:AC218)</f>
        <v>#DIV/0!</v>
      </c>
      <c r="AB214" s="119" t="e">
        <f>SUMPRODUCT(AC215:AC218,$AB215:$AB218)/SUM(AC215:AC218)</f>
        <v>#DIV/0!</v>
      </c>
      <c r="AC214" s="125">
        <f>SUM(AC215:AC218)</f>
        <v>0</v>
      </c>
      <c r="AD214" s="126">
        <f>SUM(AD215:AD218)</f>
        <v>0</v>
      </c>
      <c r="AE214" s="124" t="e">
        <f>SUMPRODUCT(AE215:AE218,AG215:AG218)/SUM(AG215:AG218)</f>
        <v>#DIV/0!</v>
      </c>
      <c r="AF214" s="119" t="e">
        <f>SUMPRODUCT(AG215:AG218,$AF215:$AF218)/SUM(AG215:AG218)</f>
        <v>#DIV/0!</v>
      </c>
      <c r="AG214" s="125">
        <f>SUM(AG215:AG218)</f>
        <v>0</v>
      </c>
      <c r="AH214" s="126">
        <f>SUM(AH215:AH218)</f>
        <v>0</v>
      </c>
      <c r="AI214" s="229"/>
    </row>
    <row r="215" spans="1:35" s="154" customFormat="1" ht="13.15" customHeight="1" outlineLevel="1">
      <c r="A215" s="142"/>
      <c r="B215" s="143"/>
      <c r="C215" s="231"/>
      <c r="D215" s="129" t="s">
        <v>599</v>
      </c>
      <c r="E215" s="46"/>
      <c r="F215" s="144"/>
      <c r="G215" s="144"/>
      <c r="H215" s="145"/>
      <c r="I215" s="146"/>
      <c r="J215" s="147"/>
      <c r="K215" s="148"/>
      <c r="L215" s="149"/>
      <c r="M215" s="136"/>
      <c r="N215" s="549"/>
      <c r="O215" s="137"/>
      <c r="P215" s="133"/>
      <c r="Q215" s="138"/>
      <c r="R215" s="139"/>
      <c r="S215" s="137"/>
      <c r="T215" s="133"/>
      <c r="U215" s="138"/>
      <c r="V215" s="139"/>
      <c r="W215" s="137"/>
      <c r="X215" s="133"/>
      <c r="Y215" s="138"/>
      <c r="Z215" s="139"/>
      <c r="AA215" s="137"/>
      <c r="AB215" s="133"/>
      <c r="AC215" s="138"/>
      <c r="AD215" s="139"/>
      <c r="AE215" s="137"/>
      <c r="AF215" s="133"/>
      <c r="AG215" s="138"/>
      <c r="AH215" s="139"/>
      <c r="AI215" s="153"/>
    </row>
    <row r="216" spans="1:35" s="154" customFormat="1" ht="13.15" customHeight="1" outlineLevel="1">
      <c r="A216" s="142"/>
      <c r="B216" s="143"/>
      <c r="C216" s="231"/>
      <c r="D216" s="129" t="s">
        <v>600</v>
      </c>
      <c r="E216" s="46"/>
      <c r="F216" s="144"/>
      <c r="G216" s="144"/>
      <c r="H216" s="145"/>
      <c r="I216" s="146"/>
      <c r="J216" s="147"/>
      <c r="K216" s="148"/>
      <c r="L216" s="149"/>
      <c r="M216" s="136"/>
      <c r="N216" s="549"/>
      <c r="O216" s="137"/>
      <c r="P216" s="133"/>
      <c r="Q216" s="138"/>
      <c r="R216" s="139"/>
      <c r="S216" s="137"/>
      <c r="T216" s="133"/>
      <c r="U216" s="138"/>
      <c r="V216" s="139"/>
      <c r="W216" s="137"/>
      <c r="X216" s="133"/>
      <c r="Y216" s="138"/>
      <c r="Z216" s="139"/>
      <c r="AA216" s="137"/>
      <c r="AB216" s="133"/>
      <c r="AC216" s="138"/>
      <c r="AD216" s="139"/>
      <c r="AE216" s="137"/>
      <c r="AF216" s="133"/>
      <c r="AG216" s="138"/>
      <c r="AH216" s="139"/>
      <c r="AI216" s="153"/>
    </row>
    <row r="217" spans="1:35" s="154" customFormat="1" ht="13.15" customHeight="1" outlineLevel="1">
      <c r="A217" s="142"/>
      <c r="B217" s="143"/>
      <c r="C217" s="231"/>
      <c r="D217" s="129" t="s">
        <v>601</v>
      </c>
      <c r="E217" s="46"/>
      <c r="F217" s="144"/>
      <c r="G217" s="144"/>
      <c r="H217" s="145"/>
      <c r="I217" s="146"/>
      <c r="J217" s="147"/>
      <c r="K217" s="148"/>
      <c r="L217" s="149"/>
      <c r="M217" s="136"/>
      <c r="N217" s="549"/>
      <c r="O217" s="150"/>
      <c r="P217" s="146"/>
      <c r="Q217" s="151"/>
      <c r="R217" s="152"/>
      <c r="S217" s="150"/>
      <c r="T217" s="146"/>
      <c r="U217" s="151"/>
      <c r="V217" s="152"/>
      <c r="W217" s="150"/>
      <c r="X217" s="146"/>
      <c r="Y217" s="151"/>
      <c r="Z217" s="152"/>
      <c r="AA217" s="150"/>
      <c r="AB217" s="146"/>
      <c r="AC217" s="151"/>
      <c r="AD217" s="152"/>
      <c r="AE217" s="150"/>
      <c r="AF217" s="146"/>
      <c r="AG217" s="151"/>
      <c r="AH217" s="152"/>
      <c r="AI217" s="153"/>
    </row>
    <row r="218" spans="1:35" s="154" customFormat="1" ht="13.15" customHeight="1" outlineLevel="1">
      <c r="A218" s="142"/>
      <c r="B218" s="143"/>
      <c r="C218" s="231"/>
      <c r="D218" s="129" t="s">
        <v>602</v>
      </c>
      <c r="E218" s="46"/>
      <c r="F218" s="144"/>
      <c r="G218" s="144"/>
      <c r="H218" s="145"/>
      <c r="I218" s="146"/>
      <c r="J218" s="147"/>
      <c r="K218" s="148"/>
      <c r="L218" s="149"/>
      <c r="M218" s="136"/>
      <c r="N218" s="549"/>
      <c r="O218" s="150"/>
      <c r="P218" s="146"/>
      <c r="Q218" s="151"/>
      <c r="R218" s="152"/>
      <c r="S218" s="150"/>
      <c r="T218" s="146"/>
      <c r="U218" s="151"/>
      <c r="V218" s="152"/>
      <c r="W218" s="150"/>
      <c r="X218" s="146"/>
      <c r="Y218" s="151"/>
      <c r="Z218" s="152"/>
      <c r="AA218" s="150"/>
      <c r="AB218" s="146"/>
      <c r="AC218" s="151"/>
      <c r="AD218" s="152"/>
      <c r="AE218" s="150"/>
      <c r="AF218" s="146"/>
      <c r="AG218" s="151"/>
      <c r="AH218" s="152"/>
      <c r="AI218" s="153"/>
    </row>
    <row r="219" spans="1:35" ht="13.15" customHeight="1">
      <c r="B219" s="232"/>
      <c r="C219" s="233"/>
      <c r="D219" s="45" t="s">
        <v>603</v>
      </c>
      <c r="E219" s="46"/>
      <c r="F219" s="155">
        <f>SUM(F220:F224)</f>
        <v>0</v>
      </c>
      <c r="G219" s="155">
        <f>SUM(G220:G224)</f>
        <v>0</v>
      </c>
      <c r="H219" s="156" t="e">
        <f>SUMPRODUCT(H220:H224,$J220:$J224)/SUM(J220:J224)</f>
        <v>#DIV/0!</v>
      </c>
      <c r="I219" s="157" t="e">
        <f>SUMPRODUCT(J220:J224,$I220:$I224)/SUM(J220:J224)</f>
        <v>#DIV/0!</v>
      </c>
      <c r="J219" s="158">
        <f>SUM(J220:J224)</f>
        <v>0</v>
      </c>
      <c r="K219" s="159">
        <f>SUM(K220:K224)</f>
        <v>0</v>
      </c>
      <c r="L219" s="122"/>
      <c r="M219" s="123"/>
      <c r="N219" s="549"/>
      <c r="O219" s="160" t="e">
        <f>SUMPRODUCT(O220:O224,Q220:Q224)/SUM(Q220:Q224)</f>
        <v>#DIV/0!</v>
      </c>
      <c r="P219" s="157" t="e">
        <f>SUMPRODUCT(Q220:Q224,$P220:$P224)/SUM(Q220:Q224)</f>
        <v>#DIV/0!</v>
      </c>
      <c r="Q219" s="161">
        <f>SUM(Q220:Q224)</f>
        <v>0</v>
      </c>
      <c r="R219" s="162">
        <f>SUM(R220:R224)</f>
        <v>0</v>
      </c>
      <c r="S219" s="160" t="e">
        <f>SUMPRODUCT(S220:S224,U220:U224)/SUM(U220:U224)</f>
        <v>#DIV/0!</v>
      </c>
      <c r="T219" s="157" t="e">
        <f>SUMPRODUCT(U220:U224,$T220:$T224)/SUM(U220:U224)</f>
        <v>#DIV/0!</v>
      </c>
      <c r="U219" s="161">
        <f>SUM(U220:U224)</f>
        <v>0</v>
      </c>
      <c r="V219" s="162">
        <f>SUM(V220:V224)</f>
        <v>0</v>
      </c>
      <c r="W219" s="160" t="e">
        <f>SUMPRODUCT(W220:W224,Y220:Y224)/SUM(Y220:Y224)</f>
        <v>#DIV/0!</v>
      </c>
      <c r="X219" s="157" t="e">
        <f>SUMPRODUCT(Y220:Y224,$X220:$X224)/SUM(Y220:Y224)</f>
        <v>#DIV/0!</v>
      </c>
      <c r="Y219" s="161">
        <f>SUM(Y220:Y224)</f>
        <v>0</v>
      </c>
      <c r="Z219" s="162">
        <f>SUM(Z220:Z224)</f>
        <v>0</v>
      </c>
      <c r="AA219" s="160" t="e">
        <f>SUMPRODUCT(AA220:AA224,AC220:AC224)/SUM(AC220:AC224)</f>
        <v>#DIV/0!</v>
      </c>
      <c r="AB219" s="157" t="e">
        <f>SUMPRODUCT(AC220:AC224,$AB220:$AB224)/SUM(AC220:AC224)</f>
        <v>#DIV/0!</v>
      </c>
      <c r="AC219" s="161">
        <f>SUM(AC220:AC224)</f>
        <v>0</v>
      </c>
      <c r="AD219" s="162">
        <f>SUM(AD220:AD224)</f>
        <v>0</v>
      </c>
      <c r="AE219" s="160" t="e">
        <f>SUMPRODUCT(AE220:AE224,AG220:AG224)/SUM(AG220:AG224)</f>
        <v>#DIV/0!</v>
      </c>
      <c r="AF219" s="157" t="e">
        <f>SUMPRODUCT(AG220:AG224,$AF220:$AF224)/SUM(AG220:AG224)</f>
        <v>#DIV/0!</v>
      </c>
      <c r="AG219" s="161">
        <f>SUM(AG220:AG224)</f>
        <v>0</v>
      </c>
      <c r="AH219" s="162">
        <f>SUM(AH220:AH224)</f>
        <v>0</v>
      </c>
      <c r="AI219" s="234"/>
    </row>
    <row r="220" spans="1:35" s="154" customFormat="1" ht="13.15" customHeight="1" outlineLevel="1">
      <c r="A220" s="142"/>
      <c r="B220" s="143"/>
      <c r="C220" s="231"/>
      <c r="D220" s="129" t="s">
        <v>604</v>
      </c>
      <c r="E220" s="46"/>
      <c r="F220" s="144"/>
      <c r="G220" s="144"/>
      <c r="H220" s="145"/>
      <c r="I220" s="146"/>
      <c r="J220" s="147"/>
      <c r="K220" s="148"/>
      <c r="L220" s="149"/>
      <c r="M220" s="136"/>
      <c r="N220" s="549"/>
      <c r="O220" s="137"/>
      <c r="P220" s="133"/>
      <c r="Q220" s="138"/>
      <c r="R220" s="139"/>
      <c r="S220" s="137"/>
      <c r="T220" s="133"/>
      <c r="U220" s="138"/>
      <c r="V220" s="139"/>
      <c r="W220" s="137"/>
      <c r="X220" s="133"/>
      <c r="Y220" s="138"/>
      <c r="Z220" s="139"/>
      <c r="AA220" s="137"/>
      <c r="AB220" s="133"/>
      <c r="AC220" s="138"/>
      <c r="AD220" s="139"/>
      <c r="AE220" s="137"/>
      <c r="AF220" s="133"/>
      <c r="AG220" s="138"/>
      <c r="AH220" s="139"/>
      <c r="AI220" s="153"/>
    </row>
    <row r="221" spans="1:35" s="154" customFormat="1" ht="13.15" customHeight="1" outlineLevel="1">
      <c r="A221" s="142"/>
      <c r="B221" s="143"/>
      <c r="C221" s="231"/>
      <c r="D221" s="129" t="s">
        <v>599</v>
      </c>
      <c r="E221" s="46"/>
      <c r="F221" s="144"/>
      <c r="G221" s="144"/>
      <c r="H221" s="145"/>
      <c r="I221" s="146"/>
      <c r="J221" s="147"/>
      <c r="K221" s="148"/>
      <c r="L221" s="149"/>
      <c r="M221" s="136"/>
      <c r="N221" s="549"/>
      <c r="O221" s="137"/>
      <c r="P221" s="133"/>
      <c r="Q221" s="138"/>
      <c r="R221" s="139"/>
      <c r="S221" s="137"/>
      <c r="T221" s="133"/>
      <c r="U221" s="138"/>
      <c r="V221" s="139"/>
      <c r="W221" s="137"/>
      <c r="X221" s="133"/>
      <c r="Y221" s="138"/>
      <c r="Z221" s="139"/>
      <c r="AA221" s="137"/>
      <c r="AB221" s="133"/>
      <c r="AC221" s="138"/>
      <c r="AD221" s="139"/>
      <c r="AE221" s="137"/>
      <c r="AF221" s="133"/>
      <c r="AG221" s="138"/>
      <c r="AH221" s="139"/>
      <c r="AI221" s="153"/>
    </row>
    <row r="222" spans="1:35" s="154" customFormat="1" ht="13.15" customHeight="1" outlineLevel="1">
      <c r="A222" s="142"/>
      <c r="B222" s="143"/>
      <c r="C222" s="231"/>
      <c r="D222" s="129" t="s">
        <v>600</v>
      </c>
      <c r="E222" s="46"/>
      <c r="F222" s="144"/>
      <c r="G222" s="144"/>
      <c r="H222" s="145"/>
      <c r="I222" s="146"/>
      <c r="J222" s="147"/>
      <c r="K222" s="148"/>
      <c r="L222" s="149"/>
      <c r="M222" s="136"/>
      <c r="N222" s="549"/>
      <c r="O222" s="150"/>
      <c r="P222" s="146"/>
      <c r="Q222" s="151"/>
      <c r="R222" s="152"/>
      <c r="S222" s="150"/>
      <c r="T222" s="146"/>
      <c r="U222" s="151"/>
      <c r="V222" s="152"/>
      <c r="W222" s="150"/>
      <c r="X222" s="146"/>
      <c r="Y222" s="151"/>
      <c r="Z222" s="152"/>
      <c r="AA222" s="150"/>
      <c r="AB222" s="146"/>
      <c r="AC222" s="151"/>
      <c r="AD222" s="152"/>
      <c r="AE222" s="150"/>
      <c r="AF222" s="146"/>
      <c r="AG222" s="151"/>
      <c r="AH222" s="152"/>
      <c r="AI222" s="153"/>
    </row>
    <row r="223" spans="1:35" s="154" customFormat="1" ht="13.15" customHeight="1" outlineLevel="1">
      <c r="A223" s="142"/>
      <c r="B223" s="143"/>
      <c r="C223" s="231"/>
      <c r="D223" s="129" t="s">
        <v>601</v>
      </c>
      <c r="E223" s="46"/>
      <c r="F223" s="144"/>
      <c r="G223" s="144"/>
      <c r="H223" s="145"/>
      <c r="I223" s="146"/>
      <c r="J223" s="147"/>
      <c r="K223" s="148"/>
      <c r="L223" s="149"/>
      <c r="M223" s="136"/>
      <c r="N223" s="549"/>
      <c r="O223" s="150"/>
      <c r="P223" s="146"/>
      <c r="Q223" s="151"/>
      <c r="R223" s="152"/>
      <c r="S223" s="150"/>
      <c r="T223" s="146"/>
      <c r="U223" s="151"/>
      <c r="V223" s="152"/>
      <c r="W223" s="150"/>
      <c r="X223" s="146"/>
      <c r="Y223" s="151"/>
      <c r="Z223" s="152"/>
      <c r="AA223" s="150"/>
      <c r="AB223" s="146"/>
      <c r="AC223" s="151"/>
      <c r="AD223" s="152"/>
      <c r="AE223" s="150"/>
      <c r="AF223" s="146"/>
      <c r="AG223" s="151"/>
      <c r="AH223" s="152"/>
      <c r="AI223" s="153"/>
    </row>
    <row r="224" spans="1:35" s="154" customFormat="1" ht="13.15" customHeight="1" outlineLevel="1">
      <c r="A224" s="142"/>
      <c r="B224" s="143"/>
      <c r="C224" s="231"/>
      <c r="D224" s="129" t="s">
        <v>602</v>
      </c>
      <c r="E224" s="46"/>
      <c r="F224" s="144"/>
      <c r="G224" s="144"/>
      <c r="H224" s="145"/>
      <c r="I224" s="146"/>
      <c r="J224" s="147"/>
      <c r="K224" s="148"/>
      <c r="L224" s="149"/>
      <c r="M224" s="136"/>
      <c r="N224" s="549"/>
      <c r="O224" s="150"/>
      <c r="P224" s="146"/>
      <c r="Q224" s="151"/>
      <c r="R224" s="152"/>
      <c r="S224" s="150"/>
      <c r="T224" s="146"/>
      <c r="U224" s="151"/>
      <c r="V224" s="152"/>
      <c r="W224" s="150"/>
      <c r="X224" s="146"/>
      <c r="Y224" s="151"/>
      <c r="Z224" s="152"/>
      <c r="AA224" s="150"/>
      <c r="AB224" s="146"/>
      <c r="AC224" s="151"/>
      <c r="AD224" s="152"/>
      <c r="AE224" s="150"/>
      <c r="AF224" s="146"/>
      <c r="AG224" s="151"/>
      <c r="AH224" s="152"/>
      <c r="AI224" s="153"/>
    </row>
    <row r="225" spans="1:35" ht="13.5" customHeight="1">
      <c r="B225" s="232"/>
      <c r="C225" s="233"/>
      <c r="D225" s="45" t="s">
        <v>590</v>
      </c>
      <c r="E225" s="46"/>
      <c r="F225" s="163"/>
      <c r="G225" s="163"/>
      <c r="H225" s="98">
        <v>1</v>
      </c>
      <c r="I225" s="48"/>
      <c r="J225" s="164"/>
      <c r="K225" s="165"/>
      <c r="L225" s="122"/>
      <c r="M225" s="136"/>
      <c r="N225" s="549"/>
      <c r="O225" s="53">
        <v>1</v>
      </c>
      <c r="P225" s="48"/>
      <c r="Q225" s="166"/>
      <c r="R225" s="167"/>
      <c r="S225" s="53">
        <v>1</v>
      </c>
      <c r="T225" s="48"/>
      <c r="U225" s="166"/>
      <c r="V225" s="167"/>
      <c r="W225" s="53">
        <v>1</v>
      </c>
      <c r="X225" s="48"/>
      <c r="Y225" s="166"/>
      <c r="Z225" s="167"/>
      <c r="AA225" s="53">
        <v>1</v>
      </c>
      <c r="AB225" s="48"/>
      <c r="AC225" s="166"/>
      <c r="AD225" s="167"/>
      <c r="AE225" s="53">
        <v>1</v>
      </c>
      <c r="AF225" s="48"/>
      <c r="AG225" s="166"/>
      <c r="AH225" s="167"/>
      <c r="AI225" s="235"/>
    </row>
    <row r="226" spans="1:35" ht="13.5" customHeight="1" thickBot="1">
      <c r="B226" s="232"/>
      <c r="C226" s="233"/>
      <c r="D226" s="58" t="s">
        <v>591</v>
      </c>
      <c r="E226" s="59"/>
      <c r="F226" s="168"/>
      <c r="G226" s="168"/>
      <c r="H226" s="62">
        <v>1</v>
      </c>
      <c r="I226" s="62"/>
      <c r="J226" s="169"/>
      <c r="K226" s="170"/>
      <c r="L226" s="122"/>
      <c r="M226" s="171"/>
      <c r="N226" s="549"/>
      <c r="O226" s="65">
        <v>1</v>
      </c>
      <c r="P226" s="62"/>
      <c r="Q226" s="172"/>
      <c r="R226" s="173"/>
      <c r="S226" s="65">
        <v>1</v>
      </c>
      <c r="T226" s="62"/>
      <c r="U226" s="172"/>
      <c r="V226" s="173"/>
      <c r="W226" s="65">
        <v>1</v>
      </c>
      <c r="X226" s="62"/>
      <c r="Y226" s="172"/>
      <c r="Z226" s="173"/>
      <c r="AA226" s="65">
        <v>1</v>
      </c>
      <c r="AB226" s="62"/>
      <c r="AC226" s="172"/>
      <c r="AD226" s="173"/>
      <c r="AE226" s="65">
        <v>1</v>
      </c>
      <c r="AF226" s="62"/>
      <c r="AG226" s="172"/>
      <c r="AH226" s="173"/>
      <c r="AI226" s="235"/>
    </row>
    <row r="227" spans="1:35" ht="13.5" customHeight="1">
      <c r="B227" s="232"/>
      <c r="C227" s="233"/>
      <c r="D227" s="68" t="s">
        <v>592</v>
      </c>
      <c r="E227" s="112"/>
      <c r="F227" s="174">
        <f>SUM(F214,F219,F225,F226)</f>
        <v>0</v>
      </c>
      <c r="G227" s="174">
        <f>SUM(G214,G219,G225,G226)</f>
        <v>0</v>
      </c>
      <c r="H227" s="175" t="e">
        <f>SUM(H214*$J214,H219*$J219,H225*$J225,H226*$J226)/SUM($J214,$J219,$J225,$J226)</f>
        <v>#DIV/0!</v>
      </c>
      <c r="I227" s="176" t="e">
        <f>SUM(I214*$J214,I219*$J219,I225*$J225,I226*$J226)/SUM($J214,$J219,$J225,$J226)</f>
        <v>#DIV/0!</v>
      </c>
      <c r="J227" s="177">
        <f>SUM(J214,J219,J225,J226)</f>
        <v>0</v>
      </c>
      <c r="K227" s="178">
        <f>SUM(K214,K219,K225,K226)</f>
        <v>0</v>
      </c>
      <c r="L227" s="75"/>
      <c r="M227" s="179"/>
      <c r="N227" s="550"/>
      <c r="O227" s="180" t="e">
        <f>SUM(O214*Q214,O219*Q219,O225*Q225,O226*Q226)/SUM(Q214,Q219,Q225,Q226)</f>
        <v>#DIV/0!</v>
      </c>
      <c r="P227" s="180" t="e">
        <f>SUM(P214*Q214,P219*Q219,P225*Q225,P226*Q226)/SUM(Q214,Q219,Q225,Q226)</f>
        <v>#DIV/0!</v>
      </c>
      <c r="Q227" s="181">
        <f>SUM(Q214,Q219,Q225,Q226)</f>
        <v>0</v>
      </c>
      <c r="R227" s="182">
        <f>SUM(R214,R219,R225,R226)</f>
        <v>0</v>
      </c>
      <c r="S227" s="180" t="e">
        <f>SUM(S214*U214,S219*U219,S225*U225,S226*U226)/SUM(U214,U219,U225,U226)</f>
        <v>#DIV/0!</v>
      </c>
      <c r="T227" s="180" t="e">
        <f>SUM(T214*U214,T219*U219,T225*U225,T226*U226)/SUM(U214,U219,U225,U226)</f>
        <v>#DIV/0!</v>
      </c>
      <c r="U227" s="181">
        <f>SUM(U214,U219,U225,U226)</f>
        <v>0</v>
      </c>
      <c r="V227" s="182">
        <f>SUM(V214,V219,V225,V226)</f>
        <v>0</v>
      </c>
      <c r="W227" s="180" t="e">
        <f>SUM(W214*Y214,W219*Y219,W225*Y225,W226*Y226)/SUM(Y214,Y219,Y225,Y226)</f>
        <v>#DIV/0!</v>
      </c>
      <c r="X227" s="180" t="e">
        <f>SUM(X214*Y214,X219*Y219,X225*Y225,X226*Y226)/SUM(Y214,Y219,Y225,Y226)</f>
        <v>#DIV/0!</v>
      </c>
      <c r="Y227" s="181">
        <f>SUM(Y214,Y219,Y225,Y226)</f>
        <v>0</v>
      </c>
      <c r="Z227" s="182">
        <f>SUM(Z214,Z219,Z225,Z226)</f>
        <v>0</v>
      </c>
      <c r="AA227" s="180" t="e">
        <f>SUM(AA214*AC214,AA219*AC219,AA225*AC225,AA226*AC226)/SUM(AC214,AC219,AC225,AC226)</f>
        <v>#DIV/0!</v>
      </c>
      <c r="AB227" s="180" t="e">
        <f>SUM(AB214*AC214,AB219*AC219,AB225*AC225,AB226*AC226)/SUM(AC214,AC219,AC225,AC226)</f>
        <v>#DIV/0!</v>
      </c>
      <c r="AC227" s="181">
        <f>SUM(AC214,AC219,AC225,AC226)</f>
        <v>0</v>
      </c>
      <c r="AD227" s="182">
        <f>SUM(AD214,AD219,AD225,AD226)</f>
        <v>0</v>
      </c>
      <c r="AE227" s="180" t="e">
        <f>SUM(AE214*AG214,AE219*AG219,AE225*AG225,AE226*AG226)/SUM(AG214,AG219,AG225,AG226)</f>
        <v>#DIV/0!</v>
      </c>
      <c r="AF227" s="180" t="e">
        <f>SUM(AF214*AG214,AF219*AG219,AF225*AG225,AF226*AG226)/SUM(AG214,AG219,AG225,AG226)</f>
        <v>#DIV/0!</v>
      </c>
      <c r="AG227" s="181">
        <f>SUM(AG214,AG219,AG225,AG226)</f>
        <v>0</v>
      </c>
      <c r="AH227" s="182">
        <f>SUM(AH214,AH219,AH225,AH226)</f>
        <v>0</v>
      </c>
      <c r="AI227" s="78"/>
    </row>
    <row r="228" spans="1:35" ht="13.5" customHeight="1">
      <c r="B228" s="232"/>
      <c r="C228" s="233"/>
      <c r="D228" s="79" t="s">
        <v>593</v>
      </c>
      <c r="E228" s="46"/>
      <c r="F228" s="183"/>
      <c r="G228" s="183"/>
      <c r="H228" s="81"/>
      <c r="I228" s="82"/>
      <c r="J228" s="83"/>
      <c r="K228" s="84"/>
      <c r="L228" s="51"/>
      <c r="M228" s="51"/>
      <c r="N228" s="85"/>
      <c r="O228" s="86"/>
      <c r="P228" s="82"/>
      <c r="Q228" s="83"/>
      <c r="R228" s="184"/>
      <c r="S228" s="86"/>
      <c r="T228" s="82"/>
      <c r="U228" s="83"/>
      <c r="V228" s="184"/>
      <c r="W228" s="86"/>
      <c r="X228" s="82"/>
      <c r="Y228" s="83"/>
      <c r="Z228" s="184"/>
      <c r="AA228" s="86"/>
      <c r="AB228" s="82"/>
      <c r="AC228" s="83"/>
      <c r="AD228" s="184"/>
      <c r="AE228" s="86"/>
      <c r="AF228" s="82"/>
      <c r="AG228" s="83"/>
      <c r="AH228" s="184"/>
      <c r="AI228" s="235"/>
    </row>
    <row r="229" spans="1:35" ht="13.5" customHeight="1" thickBot="1">
      <c r="B229" s="232"/>
      <c r="C229" s="233"/>
      <c r="D229" s="89" t="s">
        <v>594</v>
      </c>
      <c r="E229" s="113"/>
      <c r="F229" s="168"/>
      <c r="G229" s="168"/>
      <c r="H229" s="91"/>
      <c r="I229" s="92"/>
      <c r="J229" s="93"/>
      <c r="K229" s="94"/>
      <c r="L229" s="51"/>
      <c r="M229" s="51"/>
      <c r="N229" s="85"/>
      <c r="O229" s="95"/>
      <c r="P229" s="92"/>
      <c r="Q229" s="93"/>
      <c r="R229" s="185"/>
      <c r="S229" s="95"/>
      <c r="T229" s="92"/>
      <c r="U229" s="93"/>
      <c r="V229" s="185"/>
      <c r="W229" s="95"/>
      <c r="X229" s="92"/>
      <c r="Y229" s="93"/>
      <c r="Z229" s="185"/>
      <c r="AA229" s="95"/>
      <c r="AB229" s="92"/>
      <c r="AC229" s="93"/>
      <c r="AD229" s="185"/>
      <c r="AE229" s="95"/>
      <c r="AF229" s="92"/>
      <c r="AG229" s="93"/>
      <c r="AH229" s="185"/>
      <c r="AI229" s="235"/>
    </row>
    <row r="230" spans="1:35" ht="13.5" customHeight="1">
      <c r="B230" s="227" t="s">
        <v>623</v>
      </c>
      <c r="C230" s="228"/>
      <c r="D230" s="32" t="s">
        <v>598</v>
      </c>
      <c r="E230" s="33"/>
      <c r="F230" s="117">
        <f>SUM(F231:F234)</f>
        <v>0</v>
      </c>
      <c r="G230" s="117">
        <f>SUM(G231:G234)</f>
        <v>0</v>
      </c>
      <c r="H230" s="186" t="e">
        <f>SUMPRODUCT(H231:H234,$J231:$J234)/SUM(J231:J234)</f>
        <v>#DIV/0!</v>
      </c>
      <c r="I230" s="119" t="e">
        <f>SUMPRODUCT(J231:J234,$I231:$I234)/SUM(J231:J234)</f>
        <v>#DIV/0!</v>
      </c>
      <c r="J230" s="120">
        <f>SUM(J231:J234)</f>
        <v>0</v>
      </c>
      <c r="K230" s="121">
        <f>SUM(K231:K234)</f>
        <v>0</v>
      </c>
      <c r="L230" s="122"/>
      <c r="M230" s="123"/>
      <c r="N230" s="548"/>
      <c r="O230" s="124" t="e">
        <f>SUMPRODUCT(O231:O234,Q231:Q234)/SUM(Q231:Q234)</f>
        <v>#DIV/0!</v>
      </c>
      <c r="P230" s="119" t="e">
        <f>SUMPRODUCT(Q231:Q234,$P231:$P234)/SUM(Q231:Q234)</f>
        <v>#DIV/0!</v>
      </c>
      <c r="Q230" s="125">
        <f>SUM(Q231:Q234)</f>
        <v>0</v>
      </c>
      <c r="R230" s="126">
        <f>SUM(R231:R234)</f>
        <v>0</v>
      </c>
      <c r="S230" s="124" t="e">
        <f>SUMPRODUCT(S231:S234,U231:U234)/SUM(U231:U234)</f>
        <v>#DIV/0!</v>
      </c>
      <c r="T230" s="119" t="e">
        <f>SUMPRODUCT(U231:U234,$T231:$T234)/SUM(U231:U234)</f>
        <v>#DIV/0!</v>
      </c>
      <c r="U230" s="125">
        <f>SUM(U231:U234)</f>
        <v>0</v>
      </c>
      <c r="V230" s="126">
        <f>SUM(V231:V234)</f>
        <v>0</v>
      </c>
      <c r="W230" s="124" t="e">
        <f>SUMPRODUCT(W231:W234,Y231:Y234)/SUM(Y231:Y234)</f>
        <v>#DIV/0!</v>
      </c>
      <c r="X230" s="119" t="e">
        <f>SUMPRODUCT(Y231:Y234,$X231:$X234)/SUM(Y231:Y234)</f>
        <v>#DIV/0!</v>
      </c>
      <c r="Y230" s="125">
        <f>SUM(Y231:Y234)</f>
        <v>0</v>
      </c>
      <c r="Z230" s="126">
        <f>SUM(Z231:Z234)</f>
        <v>0</v>
      </c>
      <c r="AA230" s="124" t="e">
        <f>SUMPRODUCT(AA231:AA234,AC231:AC234)/SUM(AC231:AC234)</f>
        <v>#DIV/0!</v>
      </c>
      <c r="AB230" s="119" t="e">
        <f>SUMPRODUCT(AC231:AC234,$AB231:$AB234)/SUM(AC231:AC234)</f>
        <v>#DIV/0!</v>
      </c>
      <c r="AC230" s="125">
        <f>SUM(AC231:AC234)</f>
        <v>0</v>
      </c>
      <c r="AD230" s="126">
        <f>SUM(AD231:AD234)</f>
        <v>0</v>
      </c>
      <c r="AE230" s="124" t="e">
        <f>SUMPRODUCT(AE231:AE234,AG231:AG234)/SUM(AG231:AG234)</f>
        <v>#DIV/0!</v>
      </c>
      <c r="AF230" s="119" t="e">
        <f>SUMPRODUCT(AG231:AG234,$AF231:$AF234)/SUM(AG231:AG234)</f>
        <v>#DIV/0!</v>
      </c>
      <c r="AG230" s="125">
        <f>SUM(AG231:AG234)</f>
        <v>0</v>
      </c>
      <c r="AH230" s="126">
        <f>SUM(AH231:AH234)</f>
        <v>0</v>
      </c>
      <c r="AI230" s="229"/>
    </row>
    <row r="231" spans="1:35" s="154" customFormat="1" ht="13.15" customHeight="1" outlineLevel="1">
      <c r="A231" s="142"/>
      <c r="B231" s="143"/>
      <c r="C231" s="231"/>
      <c r="D231" s="129" t="s">
        <v>599</v>
      </c>
      <c r="E231" s="46"/>
      <c r="F231" s="144"/>
      <c r="G231" s="144"/>
      <c r="H231" s="145"/>
      <c r="I231" s="146"/>
      <c r="J231" s="147"/>
      <c r="K231" s="148"/>
      <c r="L231" s="149"/>
      <c r="M231" s="136"/>
      <c r="N231" s="549"/>
      <c r="O231" s="137"/>
      <c r="P231" s="133"/>
      <c r="Q231" s="138"/>
      <c r="R231" s="139"/>
      <c r="S231" s="137"/>
      <c r="T231" s="133"/>
      <c r="U231" s="138"/>
      <c r="V231" s="139"/>
      <c r="W231" s="137"/>
      <c r="X231" s="133"/>
      <c r="Y231" s="138"/>
      <c r="Z231" s="139"/>
      <c r="AA231" s="137"/>
      <c r="AB231" s="133"/>
      <c r="AC231" s="138"/>
      <c r="AD231" s="139"/>
      <c r="AE231" s="137"/>
      <c r="AF231" s="133"/>
      <c r="AG231" s="138"/>
      <c r="AH231" s="139"/>
      <c r="AI231" s="153"/>
    </row>
    <row r="232" spans="1:35" s="154" customFormat="1" ht="13.15" customHeight="1" outlineLevel="1">
      <c r="A232" s="142"/>
      <c r="B232" s="143"/>
      <c r="C232" s="231"/>
      <c r="D232" s="129" t="s">
        <v>600</v>
      </c>
      <c r="E232" s="46"/>
      <c r="F232" s="144"/>
      <c r="G232" s="144"/>
      <c r="H232" s="145"/>
      <c r="I232" s="146"/>
      <c r="J232" s="147"/>
      <c r="K232" s="148"/>
      <c r="L232" s="149"/>
      <c r="M232" s="136"/>
      <c r="N232" s="549"/>
      <c r="O232" s="137"/>
      <c r="P232" s="133"/>
      <c r="Q232" s="138"/>
      <c r="R232" s="139"/>
      <c r="S232" s="137"/>
      <c r="T232" s="133"/>
      <c r="U232" s="138"/>
      <c r="V232" s="139"/>
      <c r="W232" s="137"/>
      <c r="X232" s="133"/>
      <c r="Y232" s="138"/>
      <c r="Z232" s="139"/>
      <c r="AA232" s="137"/>
      <c r="AB232" s="133"/>
      <c r="AC232" s="138"/>
      <c r="AD232" s="139"/>
      <c r="AE232" s="137"/>
      <c r="AF232" s="133"/>
      <c r="AG232" s="138"/>
      <c r="AH232" s="139"/>
      <c r="AI232" s="153"/>
    </row>
    <row r="233" spans="1:35" s="154" customFormat="1" ht="13.15" customHeight="1" outlineLevel="1">
      <c r="A233" s="142"/>
      <c r="B233" s="143"/>
      <c r="C233" s="231"/>
      <c r="D233" s="129" t="s">
        <v>601</v>
      </c>
      <c r="E233" s="46"/>
      <c r="F233" s="144"/>
      <c r="G233" s="144"/>
      <c r="H233" s="145"/>
      <c r="I233" s="146"/>
      <c r="J233" s="147"/>
      <c r="K233" s="148"/>
      <c r="L233" s="149"/>
      <c r="M233" s="136"/>
      <c r="N233" s="549"/>
      <c r="O233" s="150"/>
      <c r="P233" s="146"/>
      <c r="Q233" s="151"/>
      <c r="R233" s="152"/>
      <c r="S233" s="150"/>
      <c r="T233" s="146"/>
      <c r="U233" s="151"/>
      <c r="V233" s="152"/>
      <c r="W233" s="150"/>
      <c r="X233" s="146"/>
      <c r="Y233" s="151"/>
      <c r="Z233" s="152"/>
      <c r="AA233" s="150"/>
      <c r="AB233" s="146"/>
      <c r="AC233" s="151"/>
      <c r="AD233" s="152"/>
      <c r="AE233" s="150"/>
      <c r="AF233" s="146"/>
      <c r="AG233" s="151"/>
      <c r="AH233" s="152"/>
      <c r="AI233" s="153"/>
    </row>
    <row r="234" spans="1:35" s="154" customFormat="1" ht="13.15" customHeight="1" outlineLevel="1">
      <c r="A234" s="142"/>
      <c r="B234" s="143"/>
      <c r="C234" s="231"/>
      <c r="D234" s="129" t="s">
        <v>602</v>
      </c>
      <c r="E234" s="46"/>
      <c r="F234" s="144"/>
      <c r="G234" s="144"/>
      <c r="H234" s="145"/>
      <c r="I234" s="146"/>
      <c r="J234" s="147"/>
      <c r="K234" s="148"/>
      <c r="L234" s="149"/>
      <c r="M234" s="136"/>
      <c r="N234" s="549"/>
      <c r="O234" s="150"/>
      <c r="P234" s="146"/>
      <c r="Q234" s="151"/>
      <c r="R234" s="152"/>
      <c r="S234" s="150"/>
      <c r="T234" s="146"/>
      <c r="U234" s="151"/>
      <c r="V234" s="152"/>
      <c r="W234" s="150"/>
      <c r="X234" s="146"/>
      <c r="Y234" s="151"/>
      <c r="Z234" s="152"/>
      <c r="AA234" s="150"/>
      <c r="AB234" s="146"/>
      <c r="AC234" s="151"/>
      <c r="AD234" s="152"/>
      <c r="AE234" s="150"/>
      <c r="AF234" s="146"/>
      <c r="AG234" s="151"/>
      <c r="AH234" s="152"/>
      <c r="AI234" s="153"/>
    </row>
    <row r="235" spans="1:35" ht="13.5" customHeight="1">
      <c r="B235" s="232"/>
      <c r="C235" s="233"/>
      <c r="D235" s="45" t="s">
        <v>603</v>
      </c>
      <c r="E235" s="46"/>
      <c r="F235" s="155">
        <f>SUM(F236:F240)</f>
        <v>0</v>
      </c>
      <c r="G235" s="155">
        <f>SUM(G236:G240)</f>
        <v>0</v>
      </c>
      <c r="H235" s="156" t="e">
        <f>SUMPRODUCT(H236:H240,$J236:$J240)/SUM(J236:J240)</f>
        <v>#DIV/0!</v>
      </c>
      <c r="I235" s="157" t="e">
        <f>SUMPRODUCT(J236:J240,$I236:$I240)/SUM(J236:J240)</f>
        <v>#DIV/0!</v>
      </c>
      <c r="J235" s="158">
        <f>SUM(J236:J240)</f>
        <v>0</v>
      </c>
      <c r="K235" s="159">
        <f>SUM(K236:K240)</f>
        <v>0</v>
      </c>
      <c r="L235" s="122"/>
      <c r="M235" s="123"/>
      <c r="N235" s="549"/>
      <c r="O235" s="160" t="e">
        <f>SUMPRODUCT(O236:O240,Q236:Q240)/SUM(Q236:Q240)</f>
        <v>#DIV/0!</v>
      </c>
      <c r="P235" s="157" t="e">
        <f>SUMPRODUCT(Q236:Q240,$P236:$P240)/SUM(Q236:Q240)</f>
        <v>#DIV/0!</v>
      </c>
      <c r="Q235" s="161">
        <f>SUM(Q236:Q240)</f>
        <v>0</v>
      </c>
      <c r="R235" s="162">
        <f>SUM(R236:R240)</f>
        <v>0</v>
      </c>
      <c r="S235" s="160" t="e">
        <f>SUMPRODUCT(S236:S240,U236:U240)/SUM(U236:U240)</f>
        <v>#DIV/0!</v>
      </c>
      <c r="T235" s="157" t="e">
        <f>SUMPRODUCT(U236:U240,$T236:$T240)/SUM(U236:U240)</f>
        <v>#DIV/0!</v>
      </c>
      <c r="U235" s="161">
        <f>SUM(U236:U240)</f>
        <v>0</v>
      </c>
      <c r="V235" s="162">
        <f>SUM(V236:V240)</f>
        <v>0</v>
      </c>
      <c r="W235" s="160" t="e">
        <f>SUMPRODUCT(W236:W240,Y236:Y240)/SUM(Y236:Y240)</f>
        <v>#DIV/0!</v>
      </c>
      <c r="X235" s="157" t="e">
        <f>SUMPRODUCT(Y236:Y240,$X236:$X240)/SUM(Y236:Y240)</f>
        <v>#DIV/0!</v>
      </c>
      <c r="Y235" s="161">
        <f>SUM(Y236:Y240)</f>
        <v>0</v>
      </c>
      <c r="Z235" s="162">
        <f>SUM(Z236:Z240)</f>
        <v>0</v>
      </c>
      <c r="AA235" s="160" t="e">
        <f>SUMPRODUCT(AA236:AA240,AC236:AC240)/SUM(AC236:AC240)</f>
        <v>#DIV/0!</v>
      </c>
      <c r="AB235" s="157" t="e">
        <f>SUMPRODUCT(AC236:AC240,$AB236:$AB240)/SUM(AC236:AC240)</f>
        <v>#DIV/0!</v>
      </c>
      <c r="AC235" s="161">
        <f>SUM(AC236:AC240)</f>
        <v>0</v>
      </c>
      <c r="AD235" s="162">
        <f>SUM(AD236:AD240)</f>
        <v>0</v>
      </c>
      <c r="AE235" s="160" t="e">
        <f>SUMPRODUCT(AE236:AE240,AG236:AG240)/SUM(AG236:AG240)</f>
        <v>#DIV/0!</v>
      </c>
      <c r="AF235" s="157" t="e">
        <f>SUMPRODUCT(AG236:AG240,$AF236:$AF240)/SUM(AG236:AG240)</f>
        <v>#DIV/0!</v>
      </c>
      <c r="AG235" s="161">
        <f>SUM(AG236:AG240)</f>
        <v>0</v>
      </c>
      <c r="AH235" s="162">
        <f>SUM(AH236:AH240)</f>
        <v>0</v>
      </c>
      <c r="AI235" s="234"/>
    </row>
    <row r="236" spans="1:35" s="154" customFormat="1" ht="13.15" customHeight="1" outlineLevel="1">
      <c r="A236" s="142"/>
      <c r="B236" s="143"/>
      <c r="C236" s="231"/>
      <c r="D236" s="129" t="s">
        <v>604</v>
      </c>
      <c r="E236" s="46"/>
      <c r="F236" s="144"/>
      <c r="G236" s="144"/>
      <c r="H236" s="145"/>
      <c r="I236" s="146"/>
      <c r="J236" s="147"/>
      <c r="K236" s="148"/>
      <c r="L236" s="149"/>
      <c r="M236" s="136"/>
      <c r="N236" s="549"/>
      <c r="O236" s="137"/>
      <c r="P236" s="133"/>
      <c r="Q236" s="138"/>
      <c r="R236" s="139"/>
      <c r="S236" s="137"/>
      <c r="T236" s="133"/>
      <c r="U236" s="138"/>
      <c r="V236" s="139"/>
      <c r="W236" s="137"/>
      <c r="X236" s="133"/>
      <c r="Y236" s="138"/>
      <c r="Z236" s="139"/>
      <c r="AA236" s="137"/>
      <c r="AB236" s="133"/>
      <c r="AC236" s="138"/>
      <c r="AD236" s="139"/>
      <c r="AE236" s="137"/>
      <c r="AF236" s="133"/>
      <c r="AG236" s="138"/>
      <c r="AH236" s="139"/>
      <c r="AI236" s="153"/>
    </row>
    <row r="237" spans="1:35" s="154" customFormat="1" ht="13.15" customHeight="1" outlineLevel="1">
      <c r="A237" s="142"/>
      <c r="B237" s="143"/>
      <c r="C237" s="231"/>
      <c r="D237" s="129" t="s">
        <v>599</v>
      </c>
      <c r="E237" s="46"/>
      <c r="F237" s="144"/>
      <c r="G237" s="144"/>
      <c r="H237" s="145"/>
      <c r="I237" s="146"/>
      <c r="J237" s="147"/>
      <c r="K237" s="148"/>
      <c r="L237" s="149"/>
      <c r="M237" s="136"/>
      <c r="N237" s="549"/>
      <c r="O237" s="137"/>
      <c r="P237" s="133"/>
      <c r="Q237" s="138"/>
      <c r="R237" s="139"/>
      <c r="S237" s="137"/>
      <c r="T237" s="133"/>
      <c r="U237" s="138"/>
      <c r="V237" s="139"/>
      <c r="W237" s="137"/>
      <c r="X237" s="133"/>
      <c r="Y237" s="138"/>
      <c r="Z237" s="139"/>
      <c r="AA237" s="137"/>
      <c r="AB237" s="133"/>
      <c r="AC237" s="138"/>
      <c r="AD237" s="139"/>
      <c r="AE237" s="137"/>
      <c r="AF237" s="133"/>
      <c r="AG237" s="138"/>
      <c r="AH237" s="139"/>
      <c r="AI237" s="153"/>
    </row>
    <row r="238" spans="1:35" s="154" customFormat="1" ht="13.15" customHeight="1" outlineLevel="1">
      <c r="A238" s="142"/>
      <c r="B238" s="143"/>
      <c r="C238" s="231"/>
      <c r="D238" s="129" t="s">
        <v>600</v>
      </c>
      <c r="E238" s="46"/>
      <c r="F238" s="144"/>
      <c r="G238" s="144"/>
      <c r="H238" s="145"/>
      <c r="I238" s="146"/>
      <c r="J238" s="147"/>
      <c r="K238" s="148"/>
      <c r="L238" s="149"/>
      <c r="M238" s="136"/>
      <c r="N238" s="549"/>
      <c r="O238" s="150"/>
      <c r="P238" s="146"/>
      <c r="Q238" s="151"/>
      <c r="R238" s="152"/>
      <c r="S238" s="150"/>
      <c r="T238" s="146"/>
      <c r="U238" s="151"/>
      <c r="V238" s="152"/>
      <c r="W238" s="150"/>
      <c r="X238" s="146"/>
      <c r="Y238" s="151"/>
      <c r="Z238" s="152"/>
      <c r="AA238" s="150"/>
      <c r="AB238" s="146"/>
      <c r="AC238" s="151"/>
      <c r="AD238" s="152"/>
      <c r="AE238" s="150"/>
      <c r="AF238" s="146"/>
      <c r="AG238" s="151"/>
      <c r="AH238" s="152"/>
      <c r="AI238" s="153"/>
    </row>
    <row r="239" spans="1:35" s="154" customFormat="1" ht="13.15" customHeight="1" outlineLevel="1">
      <c r="A239" s="142"/>
      <c r="B239" s="143"/>
      <c r="C239" s="231"/>
      <c r="D239" s="129" t="s">
        <v>601</v>
      </c>
      <c r="E239" s="46"/>
      <c r="F239" s="144"/>
      <c r="G239" s="144"/>
      <c r="H239" s="145"/>
      <c r="I239" s="146"/>
      <c r="J239" s="147"/>
      <c r="K239" s="148"/>
      <c r="L239" s="149"/>
      <c r="M239" s="136"/>
      <c r="N239" s="549"/>
      <c r="O239" s="150"/>
      <c r="P239" s="146"/>
      <c r="Q239" s="151"/>
      <c r="R239" s="152"/>
      <c r="S239" s="150"/>
      <c r="T239" s="146"/>
      <c r="U239" s="151"/>
      <c r="V239" s="152"/>
      <c r="W239" s="150"/>
      <c r="X239" s="146"/>
      <c r="Y239" s="151"/>
      <c r="Z239" s="152"/>
      <c r="AA239" s="150"/>
      <c r="AB239" s="146"/>
      <c r="AC239" s="151"/>
      <c r="AD239" s="152"/>
      <c r="AE239" s="150"/>
      <c r="AF239" s="146"/>
      <c r="AG239" s="151"/>
      <c r="AH239" s="152"/>
      <c r="AI239" s="153"/>
    </row>
    <row r="240" spans="1:35" s="154" customFormat="1" ht="13.15" customHeight="1" outlineLevel="1">
      <c r="A240" s="142"/>
      <c r="B240" s="143"/>
      <c r="C240" s="231"/>
      <c r="D240" s="129" t="s">
        <v>602</v>
      </c>
      <c r="E240" s="46"/>
      <c r="F240" s="144"/>
      <c r="G240" s="144"/>
      <c r="H240" s="145"/>
      <c r="I240" s="146"/>
      <c r="J240" s="147"/>
      <c r="K240" s="148"/>
      <c r="L240" s="149"/>
      <c r="M240" s="136"/>
      <c r="N240" s="549"/>
      <c r="O240" s="150"/>
      <c r="P240" s="146"/>
      <c r="Q240" s="151"/>
      <c r="R240" s="152"/>
      <c r="S240" s="150"/>
      <c r="T240" s="146"/>
      <c r="U240" s="151"/>
      <c r="V240" s="152"/>
      <c r="W240" s="150"/>
      <c r="X240" s="146"/>
      <c r="Y240" s="151"/>
      <c r="Z240" s="152"/>
      <c r="AA240" s="150"/>
      <c r="AB240" s="146"/>
      <c r="AC240" s="151"/>
      <c r="AD240" s="152"/>
      <c r="AE240" s="150"/>
      <c r="AF240" s="146"/>
      <c r="AG240" s="151"/>
      <c r="AH240" s="152"/>
      <c r="AI240" s="153"/>
    </row>
    <row r="241" spans="1:35" ht="13.5" customHeight="1">
      <c r="B241" s="232"/>
      <c r="C241" s="233"/>
      <c r="D241" s="45" t="s">
        <v>590</v>
      </c>
      <c r="E241" s="46"/>
      <c r="F241" s="163"/>
      <c r="G241" s="163"/>
      <c r="H241" s="98">
        <v>1</v>
      </c>
      <c r="I241" s="48"/>
      <c r="J241" s="164"/>
      <c r="K241" s="165"/>
      <c r="L241" s="122"/>
      <c r="M241" s="136"/>
      <c r="N241" s="549"/>
      <c r="O241" s="53">
        <v>1</v>
      </c>
      <c r="P241" s="48"/>
      <c r="Q241" s="166"/>
      <c r="R241" s="167"/>
      <c r="S241" s="53">
        <v>1</v>
      </c>
      <c r="T241" s="48"/>
      <c r="U241" s="166"/>
      <c r="V241" s="167"/>
      <c r="W241" s="53">
        <v>1</v>
      </c>
      <c r="X241" s="48"/>
      <c r="Y241" s="166"/>
      <c r="Z241" s="167"/>
      <c r="AA241" s="53">
        <v>1</v>
      </c>
      <c r="AB241" s="48"/>
      <c r="AC241" s="166"/>
      <c r="AD241" s="167"/>
      <c r="AE241" s="53">
        <v>1</v>
      </c>
      <c r="AF241" s="48"/>
      <c r="AG241" s="166"/>
      <c r="AH241" s="167"/>
      <c r="AI241" s="235"/>
    </row>
    <row r="242" spans="1:35" ht="13.15" customHeight="1" thickBot="1">
      <c r="B242" s="232"/>
      <c r="C242" s="233"/>
      <c r="D242" s="58" t="s">
        <v>591</v>
      </c>
      <c r="E242" s="59"/>
      <c r="F242" s="168"/>
      <c r="G242" s="168"/>
      <c r="H242" s="62">
        <v>1</v>
      </c>
      <c r="I242" s="62"/>
      <c r="J242" s="169"/>
      <c r="K242" s="170"/>
      <c r="L242" s="122"/>
      <c r="M242" s="171"/>
      <c r="N242" s="549"/>
      <c r="O242" s="65">
        <v>1</v>
      </c>
      <c r="P242" s="62"/>
      <c r="Q242" s="172"/>
      <c r="R242" s="173"/>
      <c r="S242" s="65">
        <v>1</v>
      </c>
      <c r="T242" s="62"/>
      <c r="U242" s="172"/>
      <c r="V242" s="173"/>
      <c r="W242" s="65">
        <v>1</v>
      </c>
      <c r="X242" s="62"/>
      <c r="Y242" s="172"/>
      <c r="Z242" s="173"/>
      <c r="AA242" s="65">
        <v>1</v>
      </c>
      <c r="AB242" s="62"/>
      <c r="AC242" s="172"/>
      <c r="AD242" s="173"/>
      <c r="AE242" s="65">
        <v>1</v>
      </c>
      <c r="AF242" s="62"/>
      <c r="AG242" s="172"/>
      <c r="AH242" s="173"/>
      <c r="AI242" s="235"/>
    </row>
    <row r="243" spans="1:35" ht="13.5" customHeight="1">
      <c r="B243" s="232"/>
      <c r="C243" s="233"/>
      <c r="D243" s="68" t="s">
        <v>592</v>
      </c>
      <c r="E243" s="112"/>
      <c r="F243" s="174">
        <f>SUM(F230,F235,F241,F242)</f>
        <v>0</v>
      </c>
      <c r="G243" s="174">
        <f>SUM(G230,G235,G241,G242)</f>
        <v>0</v>
      </c>
      <c r="H243" s="175" t="e">
        <f>SUM(H230*$J230,H235*$J235,H241*$J241,H242*$J242)/SUM($J230,$J235,$J241,$J242)</f>
        <v>#DIV/0!</v>
      </c>
      <c r="I243" s="176" t="e">
        <f>SUM(I230*$J230,I235*$J235,I241*$J241,I242*$J242)/SUM($J230,$J235,$J241,$J242)</f>
        <v>#DIV/0!</v>
      </c>
      <c r="J243" s="177">
        <f>SUM(J230,J235,J241,J242)</f>
        <v>0</v>
      </c>
      <c r="K243" s="178">
        <f>SUM(K230,K235,K241,K242)</f>
        <v>0</v>
      </c>
      <c r="L243" s="75"/>
      <c r="M243" s="179"/>
      <c r="N243" s="550"/>
      <c r="O243" s="180" t="e">
        <f>SUM(O230*Q230,O235*Q235,O241*Q241,O242*Q242)/SUM(Q230,Q235,Q241,Q242)</f>
        <v>#DIV/0!</v>
      </c>
      <c r="P243" s="180" t="e">
        <f>SUM(P230*Q230,P235*Q235,P241*Q241,P242*Q242)/SUM(Q230,Q235,Q241,Q242)</f>
        <v>#DIV/0!</v>
      </c>
      <c r="Q243" s="181">
        <f>SUM(Q230,Q235,Q241,Q242)</f>
        <v>0</v>
      </c>
      <c r="R243" s="182">
        <f>SUM(R230,R235,R241,R242)</f>
        <v>0</v>
      </c>
      <c r="S243" s="180" t="e">
        <f>SUM(S230*U230,S235*U235,S241*U241,S242*U242)/SUM(U230,U235,U241,U242)</f>
        <v>#DIV/0!</v>
      </c>
      <c r="T243" s="180" t="e">
        <f>SUM(T230*U230,T235*U235,T241*U241,T242*U242)/SUM(U230,U235,U241,U242)</f>
        <v>#DIV/0!</v>
      </c>
      <c r="U243" s="181">
        <f>SUM(U230,U235,U241,U242)</f>
        <v>0</v>
      </c>
      <c r="V243" s="182">
        <f>SUM(V230,V235,V241,V242)</f>
        <v>0</v>
      </c>
      <c r="W243" s="180" t="e">
        <f>SUM(W230*Y230,W235*Y235,W241*Y241,W242*Y242)/SUM(Y230,Y235,Y241,Y242)</f>
        <v>#DIV/0!</v>
      </c>
      <c r="X243" s="180" t="e">
        <f>SUM(X230*Y230,X235*Y235,X241*Y241,X242*Y242)/SUM(Y230,Y235,Y241,Y242)</f>
        <v>#DIV/0!</v>
      </c>
      <c r="Y243" s="181">
        <f>SUM(Y230,Y235,Y241,Y242)</f>
        <v>0</v>
      </c>
      <c r="Z243" s="182">
        <f>SUM(Z230,Z235,Z241,Z242)</f>
        <v>0</v>
      </c>
      <c r="AA243" s="180" t="e">
        <f>SUM(AA230*AC230,AA235*AC235,AA241*AC241,AA242*AC242)/SUM(AC230,AC235,AC241,AC242)</f>
        <v>#DIV/0!</v>
      </c>
      <c r="AB243" s="180" t="e">
        <f>SUM(AB230*AC230,AB235*AC235,AB241*AC241,AB242*AC242)/SUM(AC230,AC235,AC241,AC242)</f>
        <v>#DIV/0!</v>
      </c>
      <c r="AC243" s="181">
        <f>SUM(AC230,AC235,AC241,AC242)</f>
        <v>0</v>
      </c>
      <c r="AD243" s="182">
        <f>SUM(AD230,AD235,AD241,AD242)</f>
        <v>0</v>
      </c>
      <c r="AE243" s="180" t="e">
        <f>SUM(AE230*AG230,AE235*AG235,AE241*AG241,AE242*AG242)/SUM(AG230,AG235,AG241,AG242)</f>
        <v>#DIV/0!</v>
      </c>
      <c r="AF243" s="180" t="e">
        <f>SUM(AF230*AG230,AF235*AG235,AF241*AG241,AF242*AG242)/SUM(AG230,AG235,AG241,AG242)</f>
        <v>#DIV/0!</v>
      </c>
      <c r="AG243" s="181">
        <f>SUM(AG230,AG235,AG241,AG242)</f>
        <v>0</v>
      </c>
      <c r="AH243" s="182">
        <f>SUM(AH230,AH235,AH241,AH242)</f>
        <v>0</v>
      </c>
      <c r="AI243" s="78"/>
    </row>
    <row r="244" spans="1:35" ht="13.5" customHeight="1">
      <c r="B244" s="232"/>
      <c r="C244" s="233"/>
      <c r="D244" s="79" t="s">
        <v>593</v>
      </c>
      <c r="E244" s="46"/>
      <c r="F244" s="183"/>
      <c r="G244" s="183"/>
      <c r="H244" s="81"/>
      <c r="I244" s="82"/>
      <c r="J244" s="83"/>
      <c r="K244" s="84"/>
      <c r="L244" s="51"/>
      <c r="M244" s="51"/>
      <c r="N244" s="85"/>
      <c r="O244" s="86"/>
      <c r="P244" s="82"/>
      <c r="Q244" s="83"/>
      <c r="R244" s="184"/>
      <c r="S244" s="86"/>
      <c r="T244" s="82"/>
      <c r="U244" s="83"/>
      <c r="V244" s="184"/>
      <c r="W244" s="86"/>
      <c r="X244" s="82"/>
      <c r="Y244" s="83"/>
      <c r="Z244" s="184"/>
      <c r="AA244" s="86"/>
      <c r="AB244" s="82"/>
      <c r="AC244" s="83"/>
      <c r="AD244" s="184"/>
      <c r="AE244" s="86"/>
      <c r="AF244" s="82"/>
      <c r="AG244" s="83"/>
      <c r="AH244" s="184"/>
      <c r="AI244" s="235"/>
    </row>
    <row r="245" spans="1:35" ht="13.5" customHeight="1" thickBot="1">
      <c r="B245" s="232"/>
      <c r="C245" s="233"/>
      <c r="D245" s="89" t="s">
        <v>594</v>
      </c>
      <c r="E245" s="113"/>
      <c r="F245" s="168"/>
      <c r="G245" s="168"/>
      <c r="H245" s="91"/>
      <c r="I245" s="92"/>
      <c r="J245" s="93"/>
      <c r="K245" s="94"/>
      <c r="L245" s="51"/>
      <c r="M245" s="51"/>
      <c r="N245" s="85"/>
      <c r="O245" s="95"/>
      <c r="P245" s="92"/>
      <c r="Q245" s="93"/>
      <c r="R245" s="185"/>
      <c r="S245" s="95"/>
      <c r="T245" s="92"/>
      <c r="U245" s="93"/>
      <c r="V245" s="185"/>
      <c r="W245" s="95"/>
      <c r="X245" s="92"/>
      <c r="Y245" s="93"/>
      <c r="Z245" s="185"/>
      <c r="AA245" s="95"/>
      <c r="AB245" s="92"/>
      <c r="AC245" s="93"/>
      <c r="AD245" s="185"/>
      <c r="AE245" s="95"/>
      <c r="AF245" s="92"/>
      <c r="AG245" s="93"/>
      <c r="AH245" s="185"/>
      <c r="AI245" s="235"/>
    </row>
    <row r="246" spans="1:35" ht="13.5" customHeight="1">
      <c r="B246" s="227" t="s">
        <v>624</v>
      </c>
      <c r="C246" s="228"/>
      <c r="D246" s="32" t="s">
        <v>598</v>
      </c>
      <c r="E246" s="33"/>
      <c r="F246" s="117">
        <f>SUM(F247:F250)</f>
        <v>0</v>
      </c>
      <c r="G246" s="117">
        <f>SUM(G247:G250)</f>
        <v>0</v>
      </c>
      <c r="H246" s="186" t="e">
        <f>SUMPRODUCT(H247:H250,$J247:$J250)/SUM(J247:J250)</f>
        <v>#DIV/0!</v>
      </c>
      <c r="I246" s="119" t="e">
        <f>SUMPRODUCT(J247:J250,$I247:$I250)/SUM(J247:J250)</f>
        <v>#DIV/0!</v>
      </c>
      <c r="J246" s="120">
        <f>SUM(J247:J250)</f>
        <v>0</v>
      </c>
      <c r="K246" s="121">
        <f>SUM(K247:K250)</f>
        <v>0</v>
      </c>
      <c r="L246" s="122"/>
      <c r="M246" s="123"/>
      <c r="N246" s="548"/>
      <c r="O246" s="124" t="e">
        <f>SUMPRODUCT(O247:O250,Q247:Q250)/SUM(Q247:Q250)</f>
        <v>#DIV/0!</v>
      </c>
      <c r="P246" s="119" t="e">
        <f>SUMPRODUCT(Q247:Q250,$P247:$P250)/SUM(Q247:Q250)</f>
        <v>#DIV/0!</v>
      </c>
      <c r="Q246" s="125">
        <f>SUM(Q247:Q250)</f>
        <v>0</v>
      </c>
      <c r="R246" s="126">
        <f>SUM(R247:R250)</f>
        <v>0</v>
      </c>
      <c r="S246" s="124" t="e">
        <f>SUMPRODUCT(S247:S250,U247:U250)/SUM(U247:U250)</f>
        <v>#DIV/0!</v>
      </c>
      <c r="T246" s="119" t="e">
        <f>SUMPRODUCT(U247:U250,$T247:$T250)/SUM(U247:U250)</f>
        <v>#DIV/0!</v>
      </c>
      <c r="U246" s="125">
        <f>SUM(U247:U250)</f>
        <v>0</v>
      </c>
      <c r="V246" s="126">
        <f>SUM(V247:V250)</f>
        <v>0</v>
      </c>
      <c r="W246" s="124" t="e">
        <f>SUMPRODUCT(W247:W250,Y247:Y250)/SUM(Y247:Y250)</f>
        <v>#DIV/0!</v>
      </c>
      <c r="X246" s="119" t="e">
        <f>SUMPRODUCT(Y247:Y250,$X247:$X250)/SUM(Y247:Y250)</f>
        <v>#DIV/0!</v>
      </c>
      <c r="Y246" s="125">
        <f>SUM(Y247:Y250)</f>
        <v>0</v>
      </c>
      <c r="Z246" s="126">
        <f>SUM(Z247:Z250)</f>
        <v>0</v>
      </c>
      <c r="AA246" s="124" t="e">
        <f>SUMPRODUCT(AA247:AA250,AC247:AC250)/SUM(AC247:AC250)</f>
        <v>#DIV/0!</v>
      </c>
      <c r="AB246" s="119" t="e">
        <f>SUMPRODUCT(AC247:AC250,$AB247:$AB250)/SUM(AC247:AC250)</f>
        <v>#DIV/0!</v>
      </c>
      <c r="AC246" s="125">
        <f>SUM(AC247:AC250)</f>
        <v>0</v>
      </c>
      <c r="AD246" s="126">
        <f>SUM(AD247:AD250)</f>
        <v>0</v>
      </c>
      <c r="AE246" s="124" t="e">
        <f>SUMPRODUCT(AE247:AE250,AG247:AG250)/SUM(AG247:AG250)</f>
        <v>#DIV/0!</v>
      </c>
      <c r="AF246" s="119" t="e">
        <f>SUMPRODUCT(AG247:AG250,$AF247:$AF250)/SUM(AG247:AG250)</f>
        <v>#DIV/0!</v>
      </c>
      <c r="AG246" s="125">
        <f>SUM(AG247:AG250)</f>
        <v>0</v>
      </c>
      <c r="AH246" s="126">
        <f>SUM(AH247:AH250)</f>
        <v>0</v>
      </c>
      <c r="AI246" s="229"/>
    </row>
    <row r="247" spans="1:35" s="154" customFormat="1" ht="13.15" customHeight="1" outlineLevel="1">
      <c r="A247" s="142"/>
      <c r="B247" s="143"/>
      <c r="C247" s="231"/>
      <c r="D247" s="129" t="s">
        <v>599</v>
      </c>
      <c r="E247" s="46"/>
      <c r="F247" s="144"/>
      <c r="G247" s="144"/>
      <c r="H247" s="145"/>
      <c r="I247" s="146"/>
      <c r="J247" s="147"/>
      <c r="K247" s="148"/>
      <c r="L247" s="149"/>
      <c r="M247" s="136"/>
      <c r="N247" s="549"/>
      <c r="O247" s="137"/>
      <c r="P247" s="133"/>
      <c r="Q247" s="138"/>
      <c r="R247" s="139"/>
      <c r="S247" s="137"/>
      <c r="T247" s="133"/>
      <c r="U247" s="138"/>
      <c r="V247" s="139"/>
      <c r="W247" s="137"/>
      <c r="X247" s="133"/>
      <c r="Y247" s="138"/>
      <c r="Z247" s="139"/>
      <c r="AA247" s="137"/>
      <c r="AB247" s="133"/>
      <c r="AC247" s="138"/>
      <c r="AD247" s="139"/>
      <c r="AE247" s="137"/>
      <c r="AF247" s="133"/>
      <c r="AG247" s="138"/>
      <c r="AH247" s="139"/>
      <c r="AI247" s="153"/>
    </row>
    <row r="248" spans="1:35" s="154" customFormat="1" ht="13.15" customHeight="1" outlineLevel="1">
      <c r="A248" s="142"/>
      <c r="B248" s="143"/>
      <c r="C248" s="231"/>
      <c r="D248" s="129" t="s">
        <v>600</v>
      </c>
      <c r="E248" s="46"/>
      <c r="F248" s="144"/>
      <c r="G248" s="144"/>
      <c r="H248" s="145"/>
      <c r="I248" s="146"/>
      <c r="J248" s="147"/>
      <c r="K248" s="148"/>
      <c r="L248" s="149"/>
      <c r="M248" s="136"/>
      <c r="N248" s="549"/>
      <c r="O248" s="137"/>
      <c r="P248" s="133"/>
      <c r="Q248" s="138"/>
      <c r="R248" s="139"/>
      <c r="S248" s="137"/>
      <c r="T248" s="133"/>
      <c r="U248" s="138"/>
      <c r="V248" s="139"/>
      <c r="W248" s="137"/>
      <c r="X248" s="133"/>
      <c r="Y248" s="138"/>
      <c r="Z248" s="139"/>
      <c r="AA248" s="137"/>
      <c r="AB248" s="133"/>
      <c r="AC248" s="138"/>
      <c r="AD248" s="139"/>
      <c r="AE248" s="137"/>
      <c r="AF248" s="133"/>
      <c r="AG248" s="138"/>
      <c r="AH248" s="139"/>
      <c r="AI248" s="153"/>
    </row>
    <row r="249" spans="1:35" s="154" customFormat="1" ht="13.15" customHeight="1" outlineLevel="1">
      <c r="A249" s="142"/>
      <c r="B249" s="143"/>
      <c r="C249" s="231"/>
      <c r="D249" s="129" t="s">
        <v>601</v>
      </c>
      <c r="E249" s="46"/>
      <c r="F249" s="144"/>
      <c r="G249" s="144"/>
      <c r="H249" s="145"/>
      <c r="I249" s="146"/>
      <c r="J249" s="147"/>
      <c r="K249" s="148"/>
      <c r="L249" s="149"/>
      <c r="M249" s="136"/>
      <c r="N249" s="549"/>
      <c r="O249" s="150"/>
      <c r="P249" s="146"/>
      <c r="Q249" s="151"/>
      <c r="R249" s="152"/>
      <c r="S249" s="150"/>
      <c r="T249" s="146"/>
      <c r="U249" s="151"/>
      <c r="V249" s="152"/>
      <c r="W249" s="150"/>
      <c r="X249" s="146"/>
      <c r="Y249" s="151"/>
      <c r="Z249" s="152"/>
      <c r="AA249" s="150"/>
      <c r="AB249" s="146"/>
      <c r="AC249" s="151"/>
      <c r="AD249" s="152"/>
      <c r="AE249" s="150"/>
      <c r="AF249" s="146"/>
      <c r="AG249" s="151"/>
      <c r="AH249" s="152"/>
      <c r="AI249" s="153"/>
    </row>
    <row r="250" spans="1:35" s="154" customFormat="1" ht="13.15" customHeight="1" outlineLevel="1">
      <c r="A250" s="142"/>
      <c r="B250" s="143"/>
      <c r="C250" s="231"/>
      <c r="D250" s="129" t="s">
        <v>602</v>
      </c>
      <c r="E250" s="46"/>
      <c r="F250" s="144"/>
      <c r="G250" s="144"/>
      <c r="H250" s="145"/>
      <c r="I250" s="146"/>
      <c r="J250" s="147"/>
      <c r="K250" s="148"/>
      <c r="L250" s="149"/>
      <c r="M250" s="136"/>
      <c r="N250" s="549"/>
      <c r="O250" s="150"/>
      <c r="P250" s="146"/>
      <c r="Q250" s="151"/>
      <c r="R250" s="152"/>
      <c r="S250" s="150"/>
      <c r="T250" s="146"/>
      <c r="U250" s="151"/>
      <c r="V250" s="152"/>
      <c r="W250" s="150"/>
      <c r="X250" s="146"/>
      <c r="Y250" s="151"/>
      <c r="Z250" s="152"/>
      <c r="AA250" s="150"/>
      <c r="AB250" s="146"/>
      <c r="AC250" s="151"/>
      <c r="AD250" s="152"/>
      <c r="AE250" s="150"/>
      <c r="AF250" s="146"/>
      <c r="AG250" s="151"/>
      <c r="AH250" s="152"/>
      <c r="AI250" s="153"/>
    </row>
    <row r="251" spans="1:35" ht="13.5" customHeight="1">
      <c r="B251" s="232"/>
      <c r="C251" s="233"/>
      <c r="D251" s="45" t="s">
        <v>603</v>
      </c>
      <c r="E251" s="46"/>
      <c r="F251" s="155">
        <f>SUM(F252:F256)</f>
        <v>0</v>
      </c>
      <c r="G251" s="155">
        <f>SUM(G252:G256)</f>
        <v>0</v>
      </c>
      <c r="H251" s="156" t="e">
        <f>SUMPRODUCT(H252:H256,$J252:$J256)/SUM(J252:J256)</f>
        <v>#DIV/0!</v>
      </c>
      <c r="I251" s="157" t="e">
        <f>SUMPRODUCT(J252:J256,$I252:$I256)/SUM(J252:J256)</f>
        <v>#DIV/0!</v>
      </c>
      <c r="J251" s="158">
        <f>SUM(J252:J256)</f>
        <v>0</v>
      </c>
      <c r="K251" s="159">
        <f>SUM(K252:K256)</f>
        <v>0</v>
      </c>
      <c r="L251" s="122"/>
      <c r="M251" s="123"/>
      <c r="N251" s="549"/>
      <c r="O251" s="160" t="e">
        <f>SUMPRODUCT(O252:O256,Q252:Q256)/SUM(Q252:Q256)</f>
        <v>#DIV/0!</v>
      </c>
      <c r="P251" s="157" t="e">
        <f>SUMPRODUCT(Q252:Q256,$P252:$P256)/SUM(Q252:Q256)</f>
        <v>#DIV/0!</v>
      </c>
      <c r="Q251" s="161">
        <f>SUM(Q252:Q256)</f>
        <v>0</v>
      </c>
      <c r="R251" s="162">
        <f>SUM(R252:R256)</f>
        <v>0</v>
      </c>
      <c r="S251" s="160" t="e">
        <f>SUMPRODUCT(S252:S256,U252:U256)/SUM(U252:U256)</f>
        <v>#DIV/0!</v>
      </c>
      <c r="T251" s="157" t="e">
        <f>SUMPRODUCT(U252:U256,$T252:$T256)/SUM(U252:U256)</f>
        <v>#DIV/0!</v>
      </c>
      <c r="U251" s="161">
        <f>SUM(U252:U256)</f>
        <v>0</v>
      </c>
      <c r="V251" s="162">
        <f>SUM(V252:V256)</f>
        <v>0</v>
      </c>
      <c r="W251" s="160" t="e">
        <f>SUMPRODUCT(W252:W256,Y252:Y256)/SUM(Y252:Y256)</f>
        <v>#DIV/0!</v>
      </c>
      <c r="X251" s="157" t="e">
        <f>SUMPRODUCT(Y252:Y256,$X252:$X256)/SUM(Y252:Y256)</f>
        <v>#DIV/0!</v>
      </c>
      <c r="Y251" s="161">
        <f>SUM(Y252:Y256)</f>
        <v>0</v>
      </c>
      <c r="Z251" s="162">
        <f>SUM(Z252:Z256)</f>
        <v>0</v>
      </c>
      <c r="AA251" s="160" t="e">
        <f>SUMPRODUCT(AA252:AA256,AC252:AC256)/SUM(AC252:AC256)</f>
        <v>#DIV/0!</v>
      </c>
      <c r="AB251" s="157" t="e">
        <f>SUMPRODUCT(AC252:AC256,$AB252:$AB256)/SUM(AC252:AC256)</f>
        <v>#DIV/0!</v>
      </c>
      <c r="AC251" s="161">
        <f>SUM(AC252:AC256)</f>
        <v>0</v>
      </c>
      <c r="AD251" s="162">
        <f>SUM(AD252:AD256)</f>
        <v>0</v>
      </c>
      <c r="AE251" s="160" t="e">
        <f>SUMPRODUCT(AE252:AE256,AG252:AG256)/SUM(AG252:AG256)</f>
        <v>#DIV/0!</v>
      </c>
      <c r="AF251" s="157" t="e">
        <f>SUMPRODUCT(AG252:AG256,$AF252:$AF256)/SUM(AG252:AG256)</f>
        <v>#DIV/0!</v>
      </c>
      <c r="AG251" s="161">
        <f>SUM(AG252:AG256)</f>
        <v>0</v>
      </c>
      <c r="AH251" s="162">
        <f>SUM(AH252:AH256)</f>
        <v>0</v>
      </c>
      <c r="AI251" s="234"/>
    </row>
    <row r="252" spans="1:35" s="154" customFormat="1" ht="13.15" customHeight="1" outlineLevel="1">
      <c r="A252" s="142"/>
      <c r="B252" s="143"/>
      <c r="C252" s="231"/>
      <c r="D252" s="129" t="s">
        <v>604</v>
      </c>
      <c r="E252" s="46"/>
      <c r="F252" s="144"/>
      <c r="G252" s="144"/>
      <c r="H252" s="145"/>
      <c r="I252" s="146"/>
      <c r="J252" s="147"/>
      <c r="K252" s="148"/>
      <c r="L252" s="149"/>
      <c r="M252" s="136"/>
      <c r="N252" s="549"/>
      <c r="O252" s="137"/>
      <c r="P252" s="133"/>
      <c r="Q252" s="138"/>
      <c r="R252" s="139"/>
      <c r="S252" s="137"/>
      <c r="T252" s="133"/>
      <c r="U252" s="138"/>
      <c r="V252" s="139"/>
      <c r="W252" s="137"/>
      <c r="X252" s="133"/>
      <c r="Y252" s="138"/>
      <c r="Z252" s="139"/>
      <c r="AA252" s="137"/>
      <c r="AB252" s="133"/>
      <c r="AC252" s="138"/>
      <c r="AD252" s="139"/>
      <c r="AE252" s="137"/>
      <c r="AF252" s="133"/>
      <c r="AG252" s="138"/>
      <c r="AH252" s="139"/>
      <c r="AI252" s="153"/>
    </row>
    <row r="253" spans="1:35" s="154" customFormat="1" ht="13.15" customHeight="1" outlineLevel="1">
      <c r="A253" s="142"/>
      <c r="B253" s="143"/>
      <c r="C253" s="231"/>
      <c r="D253" s="129" t="s">
        <v>599</v>
      </c>
      <c r="E253" s="46"/>
      <c r="F253" s="144"/>
      <c r="G253" s="144"/>
      <c r="H253" s="145"/>
      <c r="I253" s="146"/>
      <c r="J253" s="147"/>
      <c r="K253" s="148"/>
      <c r="L253" s="149"/>
      <c r="M253" s="136"/>
      <c r="N253" s="549"/>
      <c r="O253" s="137"/>
      <c r="P253" s="133"/>
      <c r="Q253" s="138"/>
      <c r="R253" s="139"/>
      <c r="S253" s="137"/>
      <c r="T253" s="133"/>
      <c r="U253" s="138"/>
      <c r="V253" s="139"/>
      <c r="W253" s="137"/>
      <c r="X253" s="133"/>
      <c r="Y253" s="138"/>
      <c r="Z253" s="139"/>
      <c r="AA253" s="137"/>
      <c r="AB253" s="133"/>
      <c r="AC253" s="138"/>
      <c r="AD253" s="139"/>
      <c r="AE253" s="137"/>
      <c r="AF253" s="133"/>
      <c r="AG253" s="138"/>
      <c r="AH253" s="139"/>
      <c r="AI253" s="153"/>
    </row>
    <row r="254" spans="1:35" s="154" customFormat="1" ht="13.15" customHeight="1" outlineLevel="1">
      <c r="A254" s="142"/>
      <c r="B254" s="143"/>
      <c r="C254" s="231"/>
      <c r="D254" s="129" t="s">
        <v>600</v>
      </c>
      <c r="E254" s="46"/>
      <c r="F254" s="144"/>
      <c r="G254" s="144"/>
      <c r="H254" s="145"/>
      <c r="I254" s="146"/>
      <c r="J254" s="147"/>
      <c r="K254" s="148"/>
      <c r="L254" s="149"/>
      <c r="M254" s="136"/>
      <c r="N254" s="549"/>
      <c r="O254" s="150"/>
      <c r="P254" s="146"/>
      <c r="Q254" s="151"/>
      <c r="R254" s="152"/>
      <c r="S254" s="150"/>
      <c r="T254" s="146"/>
      <c r="U254" s="151"/>
      <c r="V254" s="152"/>
      <c r="W254" s="150"/>
      <c r="X254" s="146"/>
      <c r="Y254" s="151"/>
      <c r="Z254" s="152"/>
      <c r="AA254" s="150"/>
      <c r="AB254" s="146"/>
      <c r="AC254" s="151"/>
      <c r="AD254" s="152"/>
      <c r="AE254" s="150"/>
      <c r="AF254" s="146"/>
      <c r="AG254" s="151"/>
      <c r="AH254" s="152"/>
      <c r="AI254" s="153"/>
    </row>
    <row r="255" spans="1:35" s="154" customFormat="1" ht="13.15" customHeight="1" outlineLevel="1">
      <c r="A255" s="142"/>
      <c r="B255" s="143"/>
      <c r="C255" s="231"/>
      <c r="D255" s="129" t="s">
        <v>601</v>
      </c>
      <c r="E255" s="46"/>
      <c r="F255" s="144"/>
      <c r="G255" s="144"/>
      <c r="H255" s="145"/>
      <c r="I255" s="146"/>
      <c r="J255" s="147"/>
      <c r="K255" s="148"/>
      <c r="L255" s="149"/>
      <c r="M255" s="136"/>
      <c r="N255" s="549"/>
      <c r="O255" s="150"/>
      <c r="P255" s="146"/>
      <c r="Q255" s="151"/>
      <c r="R255" s="152"/>
      <c r="S255" s="150"/>
      <c r="T255" s="146"/>
      <c r="U255" s="151"/>
      <c r="V255" s="152"/>
      <c r="W255" s="150"/>
      <c r="X255" s="146"/>
      <c r="Y255" s="151"/>
      <c r="Z255" s="152"/>
      <c r="AA255" s="150"/>
      <c r="AB255" s="146"/>
      <c r="AC255" s="151"/>
      <c r="AD255" s="152"/>
      <c r="AE255" s="150"/>
      <c r="AF255" s="146"/>
      <c r="AG255" s="151"/>
      <c r="AH255" s="152"/>
      <c r="AI255" s="153"/>
    </row>
    <row r="256" spans="1:35" s="154" customFormat="1" ht="13.15" customHeight="1" outlineLevel="1">
      <c r="A256" s="142"/>
      <c r="B256" s="143"/>
      <c r="C256" s="231"/>
      <c r="D256" s="129" t="s">
        <v>602</v>
      </c>
      <c r="E256" s="46"/>
      <c r="F256" s="144"/>
      <c r="G256" s="144"/>
      <c r="H256" s="145"/>
      <c r="I256" s="146"/>
      <c r="J256" s="147"/>
      <c r="K256" s="148"/>
      <c r="L256" s="149"/>
      <c r="M256" s="136"/>
      <c r="N256" s="549"/>
      <c r="O256" s="150"/>
      <c r="P256" s="146"/>
      <c r="Q256" s="151"/>
      <c r="R256" s="152"/>
      <c r="S256" s="150"/>
      <c r="T256" s="146"/>
      <c r="U256" s="151"/>
      <c r="V256" s="152"/>
      <c r="W256" s="150"/>
      <c r="X256" s="146"/>
      <c r="Y256" s="151"/>
      <c r="Z256" s="152"/>
      <c r="AA256" s="150"/>
      <c r="AB256" s="146"/>
      <c r="AC256" s="151"/>
      <c r="AD256" s="152"/>
      <c r="AE256" s="150"/>
      <c r="AF256" s="146"/>
      <c r="AG256" s="151"/>
      <c r="AH256" s="152"/>
      <c r="AI256" s="153"/>
    </row>
    <row r="257" spans="1:35" ht="13.5" customHeight="1">
      <c r="B257" s="232"/>
      <c r="C257" s="233"/>
      <c r="D257" s="45" t="s">
        <v>590</v>
      </c>
      <c r="E257" s="46"/>
      <c r="F257" s="163"/>
      <c r="G257" s="163"/>
      <c r="H257" s="98">
        <v>1</v>
      </c>
      <c r="I257" s="48"/>
      <c r="J257" s="164"/>
      <c r="K257" s="165"/>
      <c r="L257" s="122"/>
      <c r="M257" s="136"/>
      <c r="N257" s="549"/>
      <c r="O257" s="53">
        <v>1</v>
      </c>
      <c r="P257" s="48"/>
      <c r="Q257" s="166"/>
      <c r="R257" s="167"/>
      <c r="S257" s="53">
        <v>1</v>
      </c>
      <c r="T257" s="48"/>
      <c r="U257" s="166"/>
      <c r="V257" s="167"/>
      <c r="W257" s="53">
        <v>1</v>
      </c>
      <c r="X257" s="48"/>
      <c r="Y257" s="166"/>
      <c r="Z257" s="167"/>
      <c r="AA257" s="53">
        <v>1</v>
      </c>
      <c r="AB257" s="48"/>
      <c r="AC257" s="166"/>
      <c r="AD257" s="167"/>
      <c r="AE257" s="53">
        <v>1</v>
      </c>
      <c r="AF257" s="48"/>
      <c r="AG257" s="166"/>
      <c r="AH257" s="167"/>
      <c r="AI257" s="235"/>
    </row>
    <row r="258" spans="1:35" ht="13.5" customHeight="1" thickBot="1">
      <c r="B258" s="232"/>
      <c r="C258" s="233"/>
      <c r="D258" s="58" t="s">
        <v>591</v>
      </c>
      <c r="E258" s="59"/>
      <c r="F258" s="168"/>
      <c r="G258" s="168"/>
      <c r="H258" s="62">
        <v>1</v>
      </c>
      <c r="I258" s="62"/>
      <c r="J258" s="169"/>
      <c r="K258" s="170"/>
      <c r="L258" s="122"/>
      <c r="M258" s="171"/>
      <c r="N258" s="549"/>
      <c r="O258" s="65">
        <v>1</v>
      </c>
      <c r="P258" s="62"/>
      <c r="Q258" s="172"/>
      <c r="R258" s="173"/>
      <c r="S258" s="65">
        <v>1</v>
      </c>
      <c r="T258" s="62"/>
      <c r="U258" s="172"/>
      <c r="V258" s="173"/>
      <c r="W258" s="65">
        <v>1</v>
      </c>
      <c r="X258" s="62"/>
      <c r="Y258" s="172"/>
      <c r="Z258" s="173"/>
      <c r="AA258" s="65">
        <v>1</v>
      </c>
      <c r="AB258" s="62"/>
      <c r="AC258" s="172"/>
      <c r="AD258" s="173"/>
      <c r="AE258" s="65">
        <v>1</v>
      </c>
      <c r="AF258" s="62"/>
      <c r="AG258" s="172"/>
      <c r="AH258" s="173"/>
      <c r="AI258" s="235"/>
    </row>
    <row r="259" spans="1:35" ht="13.5" customHeight="1">
      <c r="B259" s="232"/>
      <c r="C259" s="233"/>
      <c r="D259" s="68" t="s">
        <v>592</v>
      </c>
      <c r="E259" s="112"/>
      <c r="F259" s="174">
        <f>SUM(F246,F251,F257,F258)</f>
        <v>0</v>
      </c>
      <c r="G259" s="174">
        <f>SUM(G246,G251,G257,G258)</f>
        <v>0</v>
      </c>
      <c r="H259" s="175" t="e">
        <f>SUM(H246*$J246,H251*$J251,H257*$J257,H258*$J258)/SUM($J246,$J251,$J257,$J258)</f>
        <v>#DIV/0!</v>
      </c>
      <c r="I259" s="176" t="e">
        <f>SUM(I246*$J246,I251*$J251,I257*$J257,I258*$J258)/SUM($J246,$J251,$J257,$J258)</f>
        <v>#DIV/0!</v>
      </c>
      <c r="J259" s="177">
        <f>SUM(J246,J251,J257,J258)</f>
        <v>0</v>
      </c>
      <c r="K259" s="178">
        <f>SUM(K246,K251,K257,K258)</f>
        <v>0</v>
      </c>
      <c r="L259" s="75"/>
      <c r="M259" s="179"/>
      <c r="N259" s="550"/>
      <c r="O259" s="180" t="e">
        <f>SUM(O246*Q246,O251*Q251,O257*Q257,O258*Q258)/SUM(Q246,Q251,Q257,Q258)</f>
        <v>#DIV/0!</v>
      </c>
      <c r="P259" s="180" t="e">
        <f>SUM(P246*Q246,P251*Q251,P257*Q257,P258*Q258)/SUM(Q246,Q251,Q257,Q258)</f>
        <v>#DIV/0!</v>
      </c>
      <c r="Q259" s="181">
        <f>SUM(Q246,Q251,Q257,Q258)</f>
        <v>0</v>
      </c>
      <c r="R259" s="182">
        <f>SUM(R246,R251,R257,R258)</f>
        <v>0</v>
      </c>
      <c r="S259" s="180" t="e">
        <f>SUM(S246*U246,S251*U251,S257*U257,S258*U258)/SUM(U246,U251,U257,U258)</f>
        <v>#DIV/0!</v>
      </c>
      <c r="T259" s="180" t="e">
        <f>SUM(T246*U246,T251*U251,T257*U257,T258*U258)/SUM(U246,U251,U257,U258)</f>
        <v>#DIV/0!</v>
      </c>
      <c r="U259" s="181">
        <f>SUM(U246,U251,U257,U258)</f>
        <v>0</v>
      </c>
      <c r="V259" s="182">
        <f>SUM(V246,V251,V257,V258)</f>
        <v>0</v>
      </c>
      <c r="W259" s="180" t="e">
        <f>SUM(W246*Y246,W251*Y251,W257*Y257,W258*Y258)/SUM(Y246,Y251,Y257,Y258)</f>
        <v>#DIV/0!</v>
      </c>
      <c r="X259" s="180" t="e">
        <f>SUM(X246*Y246,X251*Y251,X257*Y257,X258*Y258)/SUM(Y246,Y251,Y257,Y258)</f>
        <v>#DIV/0!</v>
      </c>
      <c r="Y259" s="181">
        <f>SUM(Y246,Y251,Y257,Y258)</f>
        <v>0</v>
      </c>
      <c r="Z259" s="182">
        <f>SUM(Z246,Z251,Z257,Z258)</f>
        <v>0</v>
      </c>
      <c r="AA259" s="180" t="e">
        <f>SUM(AA246*AC246,AA251*AC251,AA257*AC257,AA258*AC258)/SUM(AC246,AC251,AC257,AC258)</f>
        <v>#DIV/0!</v>
      </c>
      <c r="AB259" s="180" t="e">
        <f>SUM(AB246*AC246,AB251*AC251,AB257*AC257,AB258*AC258)/SUM(AC246,AC251,AC257,AC258)</f>
        <v>#DIV/0!</v>
      </c>
      <c r="AC259" s="181">
        <f>SUM(AC246,AC251,AC257,AC258)</f>
        <v>0</v>
      </c>
      <c r="AD259" s="182">
        <f>SUM(AD246,AD251,AD257,AD258)</f>
        <v>0</v>
      </c>
      <c r="AE259" s="180" t="e">
        <f>SUM(AE246*AG246,AE251*AG251,AE257*AG257,AE258*AG258)/SUM(AG246,AG251,AG257,AG258)</f>
        <v>#DIV/0!</v>
      </c>
      <c r="AF259" s="180" t="e">
        <f>SUM(AF246*AG246,AF251*AG251,AF257*AG257,AF258*AG258)/SUM(AG246,AG251,AG257,AG258)</f>
        <v>#DIV/0!</v>
      </c>
      <c r="AG259" s="181">
        <f>SUM(AG246,AG251,AG257,AG258)</f>
        <v>0</v>
      </c>
      <c r="AH259" s="182">
        <f>SUM(AH246,AH251,AH257,AH258)</f>
        <v>0</v>
      </c>
      <c r="AI259" s="78"/>
    </row>
    <row r="260" spans="1:35" ht="13.5" customHeight="1">
      <c r="B260" s="232"/>
      <c r="C260" s="233"/>
      <c r="D260" s="79" t="s">
        <v>593</v>
      </c>
      <c r="E260" s="46"/>
      <c r="F260" s="183"/>
      <c r="G260" s="183"/>
      <c r="H260" s="81"/>
      <c r="I260" s="82"/>
      <c r="J260" s="83"/>
      <c r="K260" s="84"/>
      <c r="L260" s="51"/>
      <c r="M260" s="51"/>
      <c r="N260" s="85"/>
      <c r="O260" s="86"/>
      <c r="P260" s="82"/>
      <c r="Q260" s="83"/>
      <c r="R260" s="184"/>
      <c r="S260" s="86"/>
      <c r="T260" s="82"/>
      <c r="U260" s="83"/>
      <c r="V260" s="184"/>
      <c r="W260" s="86"/>
      <c r="X260" s="82"/>
      <c r="Y260" s="83"/>
      <c r="Z260" s="184"/>
      <c r="AA260" s="86"/>
      <c r="AB260" s="82"/>
      <c r="AC260" s="83"/>
      <c r="AD260" s="184"/>
      <c r="AE260" s="86"/>
      <c r="AF260" s="82"/>
      <c r="AG260" s="83"/>
      <c r="AH260" s="184"/>
      <c r="AI260" s="235"/>
    </row>
    <row r="261" spans="1:35" ht="13.5" customHeight="1" thickBot="1">
      <c r="B261" s="246"/>
      <c r="C261" s="247"/>
      <c r="D261" s="89" t="s">
        <v>594</v>
      </c>
      <c r="E261" s="90"/>
      <c r="F261" s="168"/>
      <c r="G261" s="168"/>
      <c r="H261" s="91"/>
      <c r="I261" s="92"/>
      <c r="J261" s="93"/>
      <c r="K261" s="94"/>
      <c r="L261" s="51"/>
      <c r="M261" s="51"/>
      <c r="N261" s="85"/>
      <c r="O261" s="95"/>
      <c r="P261" s="92"/>
      <c r="Q261" s="93"/>
      <c r="R261" s="185"/>
      <c r="S261" s="95"/>
      <c r="T261" s="92"/>
      <c r="U261" s="93"/>
      <c r="V261" s="185"/>
      <c r="W261" s="95"/>
      <c r="X261" s="92"/>
      <c r="Y261" s="93"/>
      <c r="Z261" s="185"/>
      <c r="AA261" s="95"/>
      <c r="AB261" s="92"/>
      <c r="AC261" s="93"/>
      <c r="AD261" s="185"/>
      <c r="AE261" s="95"/>
      <c r="AF261" s="92"/>
      <c r="AG261" s="93"/>
      <c r="AH261" s="185"/>
      <c r="AI261" s="248"/>
    </row>
    <row r="262" spans="1:35" ht="30" customHeight="1" thickBot="1">
      <c r="B262" s="551" t="s">
        <v>625</v>
      </c>
      <c r="C262" s="552"/>
      <c r="D262" s="553"/>
      <c r="E262" s="249"/>
      <c r="F262" s="250"/>
      <c r="G262" s="250"/>
      <c r="H262" s="249"/>
      <c r="I262" s="251"/>
      <c r="J262" s="93"/>
      <c r="K262" s="165"/>
      <c r="L262" s="56"/>
      <c r="M262" s="171"/>
      <c r="N262" s="554"/>
      <c r="O262" s="252"/>
      <c r="P262" s="251"/>
      <c r="Q262" s="253"/>
      <c r="R262" s="253"/>
      <c r="S262" s="252"/>
      <c r="T262" s="251"/>
      <c r="U262" s="253"/>
      <c r="V262" s="253"/>
      <c r="W262" s="252"/>
      <c r="X262" s="251"/>
      <c r="Y262" s="253"/>
      <c r="Z262" s="253"/>
      <c r="AA262" s="252"/>
      <c r="AB262" s="251"/>
      <c r="AC262" s="253"/>
      <c r="AD262" s="253"/>
      <c r="AE262" s="252"/>
      <c r="AF262" s="251"/>
      <c r="AG262" s="253"/>
      <c r="AH262" s="253"/>
      <c r="AI262" s="254"/>
    </row>
    <row r="263" spans="1:35" s="267" customFormat="1" ht="13.5" customHeight="1" thickBot="1">
      <c r="A263" s="255"/>
      <c r="B263" s="256" t="s">
        <v>626</v>
      </c>
      <c r="C263" s="257"/>
      <c r="D263" s="258"/>
      <c r="E263" s="249"/>
      <c r="F263" s="259">
        <f>F11+F18+F26+F33+F40+F56+F72+F95+F118+F134+F150+F166+F182+F198+F214+F230+F246</f>
        <v>79273.12105207803</v>
      </c>
      <c r="G263" s="259">
        <f>G11+G18+G26+G33+G40+G56+G72+G95+G118+G134+G150+G166+G182+G198+G214+G230+G246</f>
        <v>2844.6809035679998</v>
      </c>
      <c r="H263" s="260"/>
      <c r="I263" s="261"/>
      <c r="J263" s="262">
        <f>J11+J18+J26+J33+J40+J56+J72+J95+J118+J134+J150+J166+J182+J198+J214+J230+J246</f>
        <v>81205.948360188137</v>
      </c>
      <c r="K263" s="263">
        <f>K11+K18+K26+K33+K40+K56+K72+K95+K118+K134+K150+K166+K182+K198+K214+K230+K246</f>
        <v>811.52095592596788</v>
      </c>
      <c r="L263" s="264"/>
      <c r="M263" s="136"/>
      <c r="N263" s="555"/>
      <c r="O263" s="265"/>
      <c r="P263" s="261"/>
      <c r="Q263" s="262">
        <f>Q11+Q18+Q26+Q33+Q40+Q56+Q72+Q95+Q118+Q134+Q150+Q166+Q182+Q198+Q214+Q230+Q246</f>
        <v>0</v>
      </c>
      <c r="R263" s="262">
        <f>R11+R18+R26+R33+R40+R56+R72+R95+R118+R134+R150+R166+R182+R198+R214+R230+R246</f>
        <v>0</v>
      </c>
      <c r="S263" s="265"/>
      <c r="T263" s="261"/>
      <c r="U263" s="262">
        <f>U11+U18+U26+U33+U40+U56+U72+U95+U118+U134+U150+U166+U182+U198+U214+U230+U246</f>
        <v>0</v>
      </c>
      <c r="V263" s="262">
        <f>V11+V18+V26+V33+V40+V56+V72+V95+V118+V134+V150+V166+V182+V198+V214+V230+V246</f>
        <v>0</v>
      </c>
      <c r="W263" s="265"/>
      <c r="X263" s="261"/>
      <c r="Y263" s="262">
        <f>Y11+Y18+Y26+Y33+Y40+Y56+Y72+Y95+Y118+Y134+Y150+Y166+Y182+Y198+Y214+Y230+Y246</f>
        <v>0</v>
      </c>
      <c r="Z263" s="262">
        <f>Z11+Z18+Z26+Z33+Z40+Z56+Z72+Z95+Z118+Z134+Z150+Z166+Z182+Z198+Z214+Z230+Z246</f>
        <v>0</v>
      </c>
      <c r="AA263" s="265"/>
      <c r="AB263" s="261"/>
      <c r="AC263" s="262">
        <f>AC11+AC18+AC26+AC33+AC40+AC56+AC72+AC95+AC118+AC134+AC150+AC166+AC182+AC198+AC214+AC230+AC246</f>
        <v>0</v>
      </c>
      <c r="AD263" s="262">
        <f>AD11+AD18+AD26+AD33+AD40+AD56+AD72+AD95+AD118+AD134+AD150+AD166+AD182+AD198+AD214+AD230+AD246</f>
        <v>0</v>
      </c>
      <c r="AE263" s="265"/>
      <c r="AF263" s="261"/>
      <c r="AG263" s="262">
        <f>AG11+AG18+AG26+AG33+AG40+AG56+AG72+AG95+AG118+AG134+AG150+AG166+AG182+AG198+AG214+AG230+AG246</f>
        <v>0</v>
      </c>
      <c r="AH263" s="262">
        <f>AH11+AH18+AH26+AH33+AH40+AH56+AH72+AH95+AH118+AH134+AH150+AH166+AH182+AH198+AH214+AH230+AH246</f>
        <v>0</v>
      </c>
      <c r="AI263" s="266"/>
    </row>
    <row r="264" spans="1:35" s="267" customFormat="1" ht="13.5" customHeight="1" thickBot="1">
      <c r="A264" s="255"/>
      <c r="B264" s="256" t="s">
        <v>627</v>
      </c>
      <c r="C264" s="257"/>
      <c r="D264" s="268"/>
      <c r="E264" s="249"/>
      <c r="F264" s="269">
        <f>F12+F19+F27+F34+F45+F61+F77+F100+F123+F139+F155+F171+F187+F203+F219+F235+F251</f>
        <v>41.346293350536001</v>
      </c>
      <c r="G264" s="269">
        <f>G12+G19+G27+G34+G45+G61+G77+G100+G123+G139+G155+G171+G187+G203+G219+G235+G251</f>
        <v>0</v>
      </c>
      <c r="H264" s="270"/>
      <c r="I264" s="271"/>
      <c r="J264" s="272">
        <f>J12+J19+J27+J34+J45+J61+J77+J100+J123+J139+J155+J171+J187+J203+J219+J235+J251</f>
        <v>41.346293350536001</v>
      </c>
      <c r="K264" s="273">
        <f>K12+K19+K27+K34+K45+K61+K77+K100+K123+K139+K155+K171+K187+K203+K219+K235+K251</f>
        <v>3.0650669048650587</v>
      </c>
      <c r="L264" s="264"/>
      <c r="M264" s="136"/>
      <c r="N264" s="555"/>
      <c r="O264" s="274"/>
      <c r="P264" s="271"/>
      <c r="Q264" s="272">
        <f>Q12+Q19+Q27+Q34+Q45+Q61+Q77+Q100+Q123+Q139+Q155+Q171+Q187+Q203+Q219+Q235+Q251</f>
        <v>0</v>
      </c>
      <c r="R264" s="272">
        <f>R12+R19+R27+R34+R45+R61+R77+R100+R123+R139+R155+R171+R187+R203+R219+R235+R251</f>
        <v>0</v>
      </c>
      <c r="S264" s="274"/>
      <c r="T264" s="271"/>
      <c r="U264" s="272">
        <f>U12+U19+U27+U34+U45+U61+U77+U100+U123+U139+U155+U171+U187+U203+U219+U235+U251</f>
        <v>0</v>
      </c>
      <c r="V264" s="272">
        <f>V12+V19+V27+V34+V45+V61+V77+V100+V123+V139+V155+V171+V187+V203+V219+V235+V251</f>
        <v>0</v>
      </c>
      <c r="W264" s="274"/>
      <c r="X264" s="271"/>
      <c r="Y264" s="272">
        <f>Y12+Y19+Y27+Y34+Y45+Y61+Y77+Y100+Y123+Y139+Y155+Y171+Y187+Y203+Y219+Y235+Y251</f>
        <v>0</v>
      </c>
      <c r="Z264" s="272">
        <f>Z12+Z19+Z27+Z34+Z45+Z61+Z77+Z100+Z123+Z139+Z155+Z171+Z187+Z203+Z219+Z235+Z251</f>
        <v>0</v>
      </c>
      <c r="AA264" s="274"/>
      <c r="AB264" s="271"/>
      <c r="AC264" s="272">
        <f>AC12+AC19+AC27+AC34+AC45+AC61+AC77+AC100+AC123+AC139+AC155+AC171+AC187+AC203+AC219+AC235+AC251</f>
        <v>0</v>
      </c>
      <c r="AD264" s="272">
        <f>AD12+AD19+AD27+AD34+AD45+AD61+AD77+AD100+AD123+AD139+AD155+AD171+AD187+AD203+AD219+AD235+AD251</f>
        <v>0</v>
      </c>
      <c r="AE264" s="274"/>
      <c r="AF264" s="271"/>
      <c r="AG264" s="272">
        <f>AG12+AG19+AG27+AG34+AG45+AG61+AG77+AG100+AG123+AG139+AG155+AG171+AG187+AG203+AG219+AG235+AG251</f>
        <v>0</v>
      </c>
      <c r="AH264" s="272">
        <f>AH12+AH19+AH27+AH34+AH45+AH61+AH77+AH100+AH123+AH139+AH155+AH171+AH187+AH203+AH219+AH235+AH251</f>
        <v>0</v>
      </c>
      <c r="AI264" s="266"/>
    </row>
    <row r="265" spans="1:35" s="267" customFormat="1" ht="13.5" customHeight="1" thickBot="1">
      <c r="A265" s="255"/>
      <c r="B265" s="256" t="s">
        <v>628</v>
      </c>
      <c r="C265" s="275"/>
      <c r="D265" s="276"/>
      <c r="E265" s="249"/>
      <c r="F265" s="269">
        <f>F13+F20+F28+F35+F51+F67+F83+F106+F129+F145+F161+F177+F193+F209+F225+F241+F257</f>
        <v>1.3008705701760002</v>
      </c>
      <c r="G265" s="269">
        <f>G13+G20+G28+G35+G51+G67+G83+G106+G129+G145+G161+G177+G193+G209+G225+G241+G257</f>
        <v>0</v>
      </c>
      <c r="H265" s="270"/>
      <c r="I265" s="271"/>
      <c r="J265" s="272">
        <f>J13+J20+J28+J35+J51+J67+J83+J106+J129+J145+J161+J177+J193+J209+J225+J241+J257</f>
        <v>0</v>
      </c>
      <c r="K265" s="273">
        <f>K13+K20+K28+K35+K51+K67+K83+K106+K129+K145+K161+K177+K193+K209+K225+K241+K257</f>
        <v>0</v>
      </c>
      <c r="L265" s="264"/>
      <c r="M265" s="136"/>
      <c r="N265" s="555"/>
      <c r="O265" s="274"/>
      <c r="P265" s="271"/>
      <c r="Q265" s="272">
        <f>Q13+Q20+Q28+Q35+Q51+Q67+Q83+Q106+Q129+Q145+Q161+Q177+Q193+Q209+Q225+Q241+Q257</f>
        <v>0</v>
      </c>
      <c r="R265" s="272">
        <f>R13+R20+R28+R35+R51+R67+R83+R106+R129+R145+R161+R177+R193+R209+R225+R241+R257</f>
        <v>0</v>
      </c>
      <c r="S265" s="274"/>
      <c r="T265" s="271"/>
      <c r="U265" s="272">
        <f>U13+U20+U28+U35+U51+U67+U83+U106+U129+U145+U161+U177+U193+U209+U225+U241+U257</f>
        <v>0</v>
      </c>
      <c r="V265" s="272">
        <f>V13+V20+V28+V35+V51+V67+V83+V106+V129+V145+V161+V177+V193+V209+V225+V241+V257</f>
        <v>0</v>
      </c>
      <c r="W265" s="274"/>
      <c r="X265" s="271"/>
      <c r="Y265" s="272">
        <f>Y13+Y20+Y28+Y35+Y51+Y67+Y83+Y106+Y129+Y145+Y161+Y177+Y193+Y209+Y225+Y241+Y257</f>
        <v>0</v>
      </c>
      <c r="Z265" s="272">
        <f>Z13+Z20+Z28+Z35+Z51+Z67+Z83+Z106+Z129+Z145+Z161+Z177+Z193+Z209+Z225+Z241+Z257</f>
        <v>0</v>
      </c>
      <c r="AA265" s="274"/>
      <c r="AB265" s="271"/>
      <c r="AC265" s="272">
        <f>AC13+AC20+AC28+AC35+AC51+AC67+AC83+AC106+AC129+AC145+AC161+AC177+AC193+AC209+AC225+AC241+AC257</f>
        <v>0</v>
      </c>
      <c r="AD265" s="272">
        <f>AD13+AD20+AD28+AD35+AD51+AD67+AD83+AD106+AD129+AD145+AD161+AD177+AD193+AD209+AD225+AD241+AD257</f>
        <v>0</v>
      </c>
      <c r="AE265" s="274"/>
      <c r="AF265" s="271"/>
      <c r="AG265" s="272">
        <f>AG13+AG20+AG28+AG35+AG51+AG67+AG83+AG106+AG129+AG145+AG161+AG177+AG193+AG209+AG225+AG241+AG257</f>
        <v>0</v>
      </c>
      <c r="AH265" s="272">
        <f>AH13+AH20+AH28+AH35+AH51+AH67+AH83+AH106+AH129+AH145+AH161+AH177+AH193+AH209+AH225+AH241+AH257</f>
        <v>0</v>
      </c>
      <c r="AI265" s="266"/>
    </row>
    <row r="266" spans="1:35" s="267" customFormat="1" ht="13.5" customHeight="1" thickBot="1">
      <c r="A266" s="255"/>
      <c r="B266" s="277" t="s">
        <v>629</v>
      </c>
      <c r="C266" s="278"/>
      <c r="D266" s="279"/>
      <c r="E266" s="249"/>
      <c r="F266" s="269">
        <f>F14+F21+F29+F36+F52+F68+F84+F107+F130+F146+F162+F178+F194+F210+F226+F242+F258</f>
        <v>0</v>
      </c>
      <c r="G266" s="269">
        <f>G14+G21+G29+G36+G52+G68+G84+G107+G130+G146+G162+G178+G194+G210+G226+G242+G258</f>
        <v>0</v>
      </c>
      <c r="H266" s="280"/>
      <c r="I266" s="281"/>
      <c r="J266" s="272">
        <f>J14+J21+J29+J36+J52+J68+J84+J107+J130+J146+J162+J178+J194+J210+J226+J242+J258</f>
        <v>0</v>
      </c>
      <c r="K266" s="273">
        <f>K14+K21+K29+K36+K52+K68+K84+K107+K130+K146+K162+K178+K194+K210+K226+K242+K258</f>
        <v>0</v>
      </c>
      <c r="L266" s="264"/>
      <c r="M266" s="136"/>
      <c r="N266" s="555"/>
      <c r="O266" s="282"/>
      <c r="P266" s="281"/>
      <c r="Q266" s="272">
        <f>Q14+Q21+Q29+Q36+Q52+Q68+Q84+Q107+Q130+Q146+Q162+Q178+Q194+Q210+Q226+Q242+Q258</f>
        <v>0</v>
      </c>
      <c r="R266" s="272">
        <f>R14+R21+R29+R36+R52+R68+R84+R107+R130+R146+R162+R178+R194+R210+R226+R242+R258</f>
        <v>0</v>
      </c>
      <c r="S266" s="282"/>
      <c r="T266" s="281"/>
      <c r="U266" s="272">
        <f>U14+U21+U29+U36+U52+U68+U84+U107+U130+U146+U162+U178+U194+U210+U226+U242+U258</f>
        <v>0</v>
      </c>
      <c r="V266" s="272">
        <f>V14+V21+V29+V36+V52+V68+V84+V107+V130+V146+V162+V178+V194+V210+V226+V242+V258</f>
        <v>0</v>
      </c>
      <c r="W266" s="282"/>
      <c r="X266" s="281"/>
      <c r="Y266" s="272">
        <f>Y14+Y21+Y29+Y36+Y52+Y68+Y84+Y107+Y130+Y146+Y162+Y178+Y194+Y210+Y226+Y242+Y258</f>
        <v>0</v>
      </c>
      <c r="Z266" s="272">
        <f>Z14+Z21+Z29+Z36+Z52+Z68+Z84+Z107+Z130+Z146+Z162+Z178+Z194+Z210+Z226+Z242+Z258</f>
        <v>0</v>
      </c>
      <c r="AA266" s="282"/>
      <c r="AB266" s="281"/>
      <c r="AC266" s="272">
        <f>AC14+AC21+AC29+AC36+AC52+AC68+AC84+AC107+AC130+AC146+AC162+AC178+AC194+AC210+AC226+AC242+AC258</f>
        <v>0</v>
      </c>
      <c r="AD266" s="272">
        <f>AD14+AD21+AD29+AD36+AD52+AD68+AD84+AD107+AD130+AD146+AD162+AD178+AD194+AD210+AD226+AD242+AD258</f>
        <v>0</v>
      </c>
      <c r="AE266" s="282"/>
      <c r="AF266" s="281"/>
      <c r="AG266" s="272">
        <f>AG14+AG21+AG29+AG36+AG52+AG68+AG84+AG107+AG130+AG146+AG162+AG178+AG194+AG210+AG226+AG242+AG258</f>
        <v>0</v>
      </c>
      <c r="AH266" s="272">
        <f>AH14+AH21+AH29+AH36+AH52+AH68+AH84+AH107+AH130+AH146+AH162+AH178+AH194+AH210+AH226+AH242+AH258</f>
        <v>0</v>
      </c>
      <c r="AI266" s="266"/>
    </row>
    <row r="267" spans="1:35" s="267" customFormat="1" ht="13.5" customHeight="1" thickBot="1">
      <c r="A267" s="255"/>
      <c r="B267" s="283" t="s">
        <v>630</v>
      </c>
      <c r="C267" s="284"/>
      <c r="D267" s="285"/>
      <c r="E267" s="46"/>
      <c r="F267" s="286">
        <f>SUM(F263:F266)</f>
        <v>79315.768215998745</v>
      </c>
      <c r="G267" s="286">
        <f>SUM(G263:G266)</f>
        <v>2844.6809035679998</v>
      </c>
      <c r="H267" s="287"/>
      <c r="I267" s="288"/>
      <c r="J267" s="289">
        <f>SUM(J263:J266)</f>
        <v>81247.294653538673</v>
      </c>
      <c r="K267" s="290">
        <f>SUM(K263:K266)</f>
        <v>814.58602283083292</v>
      </c>
      <c r="L267" s="291">
        <f>Port!M2*207-K267</f>
        <v>271.91557716916714</v>
      </c>
      <c r="M267" s="171"/>
      <c r="N267" s="555"/>
      <c r="O267" s="292"/>
      <c r="P267" s="288"/>
      <c r="Q267" s="289">
        <f>SUM(Q263:Q266)</f>
        <v>0</v>
      </c>
      <c r="R267" s="289">
        <f>SUM(R263:R266)</f>
        <v>0</v>
      </c>
      <c r="S267" s="292"/>
      <c r="T267" s="288"/>
      <c r="U267" s="289">
        <f>SUM(U263:U266)</f>
        <v>0</v>
      </c>
      <c r="V267" s="289">
        <f>SUM(V263:V266)</f>
        <v>0</v>
      </c>
      <c r="W267" s="292"/>
      <c r="X267" s="288"/>
      <c r="Y267" s="289">
        <f>SUM(Y263:Y266)</f>
        <v>0</v>
      </c>
      <c r="Z267" s="289">
        <f>SUM(Z263:Z266)</f>
        <v>0</v>
      </c>
      <c r="AA267" s="292"/>
      <c r="AB267" s="288"/>
      <c r="AC267" s="289">
        <f>SUM(AC263:AC266)</f>
        <v>0</v>
      </c>
      <c r="AD267" s="289">
        <f>SUM(AD263:AD266)</f>
        <v>0</v>
      </c>
      <c r="AE267" s="292"/>
      <c r="AF267" s="288"/>
      <c r="AG267" s="289">
        <f>SUM(AG263:AG266)</f>
        <v>0</v>
      </c>
      <c r="AH267" s="289">
        <f>SUM(AH263:AH266)</f>
        <v>0</v>
      </c>
      <c r="AI267" s="78"/>
    </row>
    <row r="268" spans="1:35" s="267" customFormat="1" ht="13.5" customHeight="1" thickBot="1">
      <c r="A268" s="255"/>
      <c r="B268" s="256" t="s">
        <v>631</v>
      </c>
      <c r="C268" s="293"/>
      <c r="D268" s="294"/>
      <c r="E268" s="249"/>
      <c r="F268" s="269">
        <f>F16+F23+F31+F38+F54+F70+F86+F109+F132+F148+F164+F180+F196+F212+F228+F244+F260</f>
        <v>0</v>
      </c>
      <c r="G268" s="269">
        <f>G16+G23+G31+G38+G54+G70+G86+G109+G132+G148+G164+G180+G196+G212+G228+G244+G260</f>
        <v>0</v>
      </c>
      <c r="H268" s="295"/>
      <c r="I268" s="296"/>
      <c r="J268" s="224"/>
      <c r="K268" s="225"/>
      <c r="L268" s="51"/>
      <c r="M268" s="51"/>
      <c r="N268" s="555"/>
      <c r="O268" s="297"/>
      <c r="P268" s="296"/>
      <c r="Q268" s="224"/>
      <c r="R268" s="298"/>
      <c r="S268" s="297"/>
      <c r="T268" s="296"/>
      <c r="U268" s="224"/>
      <c r="V268" s="298"/>
      <c r="W268" s="297"/>
      <c r="X268" s="296"/>
      <c r="Y268" s="224"/>
      <c r="Z268" s="298"/>
      <c r="AA268" s="297"/>
      <c r="AB268" s="296"/>
      <c r="AC268" s="224"/>
      <c r="AD268" s="298"/>
      <c r="AE268" s="297"/>
      <c r="AF268" s="296"/>
      <c r="AG268" s="224"/>
      <c r="AH268" s="298"/>
      <c r="AI268" s="266"/>
    </row>
    <row r="269" spans="1:35" s="267" customFormat="1" ht="13.5" customHeight="1" thickBot="1">
      <c r="A269" s="255"/>
      <c r="B269" s="283" t="s">
        <v>632</v>
      </c>
      <c r="C269" s="284"/>
      <c r="D269" s="299"/>
      <c r="E269" s="249"/>
      <c r="F269" s="300">
        <f>F17+F24+F32+F39+F55+F71+F87+F110+F133+F149+F165+F181+F197+F213+F229+F245+F261</f>
        <v>0</v>
      </c>
      <c r="G269" s="300">
        <f>G17+G24+G32+G39+G55+G71+G87+G110+G133+G149+G165+G181+G197+G213+G229+G245+G261</f>
        <v>0</v>
      </c>
      <c r="H269" s="91"/>
      <c r="I269" s="92"/>
      <c r="J269" s="93"/>
      <c r="K269" s="94"/>
      <c r="L269" s="301"/>
      <c r="M269" s="301"/>
      <c r="N269" s="556"/>
      <c r="O269" s="95"/>
      <c r="P269" s="92"/>
      <c r="Q269" s="93"/>
      <c r="R269" s="96"/>
      <c r="S269" s="95"/>
      <c r="T269" s="92"/>
      <c r="U269" s="93"/>
      <c r="V269" s="96"/>
      <c r="W269" s="95"/>
      <c r="X269" s="92"/>
      <c r="Y269" s="93"/>
      <c r="Z269" s="96"/>
      <c r="AA269" s="95"/>
      <c r="AB269" s="92"/>
      <c r="AC269" s="93"/>
      <c r="AD269" s="96"/>
      <c r="AE269" s="95"/>
      <c r="AF269" s="92"/>
      <c r="AG269" s="93"/>
      <c r="AH269" s="96"/>
      <c r="AI269" s="302"/>
    </row>
    <row r="271" spans="1:35" s="309" customFormat="1" ht="22">
      <c r="A271" s="303"/>
      <c r="B271" s="304" t="s">
        <v>633</v>
      </c>
      <c r="C271" s="305" t="s">
        <v>634</v>
      </c>
      <c r="D271" s="303"/>
      <c r="E271" s="303"/>
      <c r="F271" s="306"/>
      <c r="G271" s="303"/>
      <c r="H271" s="305"/>
      <c r="I271" s="305"/>
      <c r="J271" s="307"/>
      <c r="K271" s="307"/>
      <c r="L271" s="308"/>
      <c r="M271" s="303"/>
      <c r="N271" s="303"/>
      <c r="O271" s="305"/>
      <c r="P271" s="305"/>
      <c r="Q271" s="307"/>
      <c r="R271" s="308"/>
      <c r="S271" s="305"/>
      <c r="T271" s="305"/>
      <c r="U271" s="307"/>
      <c r="V271" s="308"/>
      <c r="W271" s="305"/>
      <c r="X271" s="305"/>
      <c r="Y271" s="307"/>
      <c r="Z271" s="308"/>
      <c r="AA271" s="305"/>
      <c r="AB271" s="305"/>
      <c r="AC271" s="307"/>
      <c r="AD271" s="308"/>
      <c r="AE271" s="305"/>
      <c r="AF271" s="305"/>
      <c r="AG271" s="307"/>
      <c r="AH271" s="308"/>
      <c r="AI271" s="308"/>
    </row>
    <row r="272" spans="1:35" s="309" customFormat="1" ht="22">
      <c r="A272" s="303"/>
      <c r="B272" s="303"/>
      <c r="C272" s="310" t="s">
        <v>635</v>
      </c>
      <c r="D272" s="303"/>
      <c r="E272" s="303"/>
      <c r="F272" s="306"/>
      <c r="G272" s="303"/>
      <c r="H272" s="305"/>
      <c r="I272" s="305"/>
      <c r="J272" s="307"/>
      <c r="K272" s="307"/>
      <c r="L272" s="308"/>
      <c r="M272" s="303"/>
      <c r="N272" s="303"/>
      <c r="O272" s="305"/>
      <c r="P272" s="305"/>
      <c r="Q272" s="307"/>
      <c r="R272" s="308"/>
      <c r="S272" s="305"/>
      <c r="T272" s="305"/>
      <c r="U272" s="307"/>
      <c r="V272" s="308"/>
      <c r="W272" s="305"/>
      <c r="X272" s="305"/>
      <c r="Y272" s="307"/>
      <c r="Z272" s="308"/>
      <c r="AA272" s="305"/>
      <c r="AB272" s="305"/>
      <c r="AC272" s="307"/>
      <c r="AD272" s="308"/>
      <c r="AE272" s="305"/>
      <c r="AF272" s="305"/>
      <c r="AG272" s="307"/>
      <c r="AH272" s="308"/>
      <c r="AI272" s="303"/>
    </row>
    <row r="273" spans="1:35" s="309" customFormat="1" ht="22">
      <c r="A273" s="303"/>
      <c r="B273" s="303"/>
      <c r="C273" s="310" t="s">
        <v>636</v>
      </c>
      <c r="D273" s="303"/>
      <c r="E273" s="303"/>
      <c r="F273" s="306"/>
      <c r="G273" s="303"/>
      <c r="H273" s="305"/>
      <c r="I273" s="305"/>
      <c r="J273" s="307"/>
      <c r="K273" s="307"/>
      <c r="L273" s="308"/>
      <c r="M273" s="303"/>
      <c r="N273" s="303"/>
      <c r="O273" s="305"/>
      <c r="P273" s="305"/>
      <c r="Q273" s="307"/>
      <c r="R273" s="308"/>
      <c r="S273" s="305"/>
      <c r="T273" s="305"/>
      <c r="U273" s="307"/>
      <c r="V273" s="308"/>
      <c r="W273" s="305"/>
      <c r="X273" s="305"/>
      <c r="Y273" s="307"/>
      <c r="Z273" s="308"/>
      <c r="AA273" s="305"/>
      <c r="AB273" s="305"/>
      <c r="AC273" s="307"/>
      <c r="AD273" s="308"/>
      <c r="AE273" s="305"/>
      <c r="AF273" s="305"/>
      <c r="AG273" s="307"/>
      <c r="AH273" s="308"/>
      <c r="AI273" s="303"/>
    </row>
    <row r="274" spans="1:35" s="309" customFormat="1" ht="22">
      <c r="A274" s="303"/>
      <c r="B274" s="303"/>
      <c r="C274" s="310" t="s">
        <v>637</v>
      </c>
      <c r="D274" s="303"/>
      <c r="E274" s="303"/>
      <c r="F274" s="306"/>
      <c r="G274" s="303"/>
      <c r="H274" s="305"/>
      <c r="I274" s="305"/>
      <c r="J274" s="307"/>
      <c r="K274" s="307"/>
      <c r="L274" s="308"/>
      <c r="M274" s="303"/>
      <c r="N274" s="303"/>
      <c r="O274" s="305"/>
      <c r="P274" s="305"/>
      <c r="Q274" s="307"/>
      <c r="R274" s="308"/>
      <c r="S274" s="305"/>
      <c r="T274" s="305"/>
      <c r="U274" s="307"/>
      <c r="V274" s="308"/>
      <c r="W274" s="305"/>
      <c r="X274" s="305"/>
      <c r="Y274" s="307"/>
      <c r="Z274" s="308"/>
      <c r="AA274" s="305"/>
      <c r="AB274" s="305"/>
      <c r="AC274" s="307"/>
      <c r="AD274" s="308"/>
      <c r="AE274" s="305"/>
      <c r="AF274" s="305"/>
      <c r="AG274" s="307"/>
      <c r="AH274" s="308"/>
      <c r="AI274" s="303"/>
    </row>
    <row r="275" spans="1:35" s="309" customFormat="1" ht="22">
      <c r="A275" s="303"/>
      <c r="B275" s="303"/>
      <c r="C275" s="310" t="s">
        <v>638</v>
      </c>
      <c r="D275" s="303"/>
      <c r="E275" s="303"/>
      <c r="F275" s="306"/>
      <c r="G275" s="303"/>
      <c r="H275" s="305"/>
      <c r="I275" s="305"/>
      <c r="J275" s="307"/>
      <c r="K275" s="307"/>
      <c r="L275" s="308"/>
      <c r="M275" s="303"/>
      <c r="N275" s="303"/>
      <c r="O275" s="305"/>
      <c r="P275" s="305"/>
      <c r="Q275" s="307"/>
      <c r="R275" s="308"/>
      <c r="S275" s="305"/>
      <c r="T275" s="305"/>
      <c r="U275" s="307"/>
      <c r="V275" s="308"/>
      <c r="W275" s="305"/>
      <c r="X275" s="305"/>
      <c r="Y275" s="307"/>
      <c r="Z275" s="308"/>
      <c r="AA275" s="305"/>
      <c r="AB275" s="305"/>
      <c r="AC275" s="307"/>
      <c r="AD275" s="308"/>
      <c r="AE275" s="305"/>
      <c r="AF275" s="305"/>
      <c r="AG275" s="307"/>
      <c r="AH275" s="308"/>
      <c r="AI275" s="303"/>
    </row>
    <row r="276" spans="1:35" s="309" customFormat="1" ht="22">
      <c r="A276" s="303"/>
      <c r="B276" s="303"/>
      <c r="C276" s="310" t="s">
        <v>639</v>
      </c>
      <c r="D276" s="303"/>
      <c r="E276" s="303"/>
      <c r="F276" s="306"/>
      <c r="G276" s="303"/>
      <c r="H276" s="305"/>
      <c r="I276" s="305"/>
      <c r="J276" s="307"/>
      <c r="K276" s="307"/>
      <c r="L276" s="308"/>
      <c r="M276" s="303"/>
      <c r="N276" s="303"/>
      <c r="O276" s="305"/>
      <c r="P276" s="305"/>
      <c r="Q276" s="307"/>
      <c r="R276" s="308"/>
      <c r="S276" s="305"/>
      <c r="T276" s="305"/>
      <c r="U276" s="307"/>
      <c r="V276" s="308"/>
      <c r="W276" s="305"/>
      <c r="X276" s="305"/>
      <c r="Y276" s="307"/>
      <c r="Z276" s="308"/>
      <c r="AA276" s="305"/>
      <c r="AB276" s="305"/>
      <c r="AC276" s="307"/>
      <c r="AD276" s="308"/>
      <c r="AE276" s="305"/>
      <c r="AF276" s="305"/>
      <c r="AG276" s="307"/>
      <c r="AH276" s="308"/>
      <c r="AI276" s="303"/>
    </row>
    <row r="277" spans="1:35" s="309" customFormat="1" ht="22">
      <c r="A277" s="303"/>
      <c r="B277" s="303"/>
      <c r="C277" s="310" t="s">
        <v>640</v>
      </c>
      <c r="D277" s="303"/>
      <c r="E277" s="303"/>
      <c r="F277" s="306"/>
      <c r="G277" s="303"/>
      <c r="H277" s="305"/>
      <c r="I277" s="305"/>
      <c r="J277" s="307"/>
      <c r="K277" s="307"/>
      <c r="L277" s="308"/>
      <c r="M277" s="303"/>
      <c r="N277" s="303"/>
      <c r="O277" s="305"/>
      <c r="P277" s="305"/>
      <c r="Q277" s="307"/>
      <c r="R277" s="308"/>
      <c r="S277" s="305"/>
      <c r="T277" s="305"/>
      <c r="U277" s="307"/>
      <c r="V277" s="308"/>
      <c r="W277" s="305"/>
      <c r="X277" s="305"/>
      <c r="Y277" s="307"/>
      <c r="Z277" s="308"/>
      <c r="AA277" s="305"/>
      <c r="AB277" s="305"/>
      <c r="AC277" s="307"/>
      <c r="AD277" s="308"/>
      <c r="AE277" s="305"/>
      <c r="AF277" s="305"/>
      <c r="AG277" s="307"/>
      <c r="AH277" s="308"/>
      <c r="AI277" s="303"/>
    </row>
    <row r="278" spans="1:35" s="309" customFormat="1" ht="22">
      <c r="A278" s="303"/>
      <c r="B278" s="303"/>
      <c r="C278" s="310" t="s">
        <v>641</v>
      </c>
      <c r="D278" s="303"/>
      <c r="E278" s="303"/>
      <c r="F278" s="306"/>
      <c r="G278" s="303"/>
      <c r="H278" s="305"/>
      <c r="I278" s="305"/>
      <c r="J278" s="307"/>
      <c r="K278" s="307"/>
      <c r="L278" s="308"/>
      <c r="M278" s="303"/>
      <c r="N278" s="303"/>
      <c r="O278" s="305"/>
      <c r="P278" s="305"/>
      <c r="Q278" s="307"/>
      <c r="R278" s="308"/>
      <c r="S278" s="305"/>
      <c r="T278" s="305"/>
      <c r="U278" s="307"/>
      <c r="V278" s="308"/>
      <c r="W278" s="305"/>
      <c r="X278" s="305"/>
      <c r="Y278" s="307"/>
      <c r="Z278" s="308"/>
      <c r="AA278" s="305"/>
      <c r="AB278" s="305"/>
      <c r="AC278" s="307"/>
      <c r="AD278" s="308"/>
      <c r="AE278" s="305"/>
      <c r="AF278" s="305"/>
      <c r="AG278" s="307"/>
      <c r="AH278" s="308"/>
      <c r="AI278" s="303"/>
    </row>
    <row r="279" spans="1:35" s="309" customFormat="1" ht="22">
      <c r="A279" s="303"/>
      <c r="B279" s="303"/>
      <c r="C279" s="310" t="s">
        <v>642</v>
      </c>
      <c r="D279" s="303"/>
      <c r="E279" s="303"/>
      <c r="F279" s="306"/>
      <c r="G279" s="303"/>
      <c r="H279" s="305"/>
      <c r="I279" s="305"/>
      <c r="J279" s="307"/>
      <c r="K279" s="307"/>
      <c r="L279" s="308"/>
      <c r="M279" s="303"/>
      <c r="N279" s="303"/>
      <c r="O279" s="305"/>
      <c r="P279" s="305"/>
      <c r="Q279" s="307"/>
      <c r="R279" s="308"/>
      <c r="S279" s="305"/>
      <c r="T279" s="305"/>
      <c r="U279" s="307"/>
      <c r="V279" s="308"/>
      <c r="W279" s="305"/>
      <c r="X279" s="305"/>
      <c r="Y279" s="307"/>
      <c r="Z279" s="308"/>
      <c r="AA279" s="305"/>
      <c r="AB279" s="305"/>
      <c r="AC279" s="307"/>
      <c r="AD279" s="308"/>
      <c r="AE279" s="305"/>
      <c r="AF279" s="305"/>
      <c r="AG279" s="307"/>
      <c r="AH279" s="308"/>
      <c r="AI279" s="303"/>
    </row>
    <row r="280" spans="1:35" s="309" customFormat="1" ht="22">
      <c r="A280" s="303"/>
      <c r="B280" s="303"/>
      <c r="C280" s="310" t="s">
        <v>643</v>
      </c>
      <c r="D280" s="303"/>
      <c r="E280" s="303"/>
      <c r="F280" s="306"/>
      <c r="G280" s="303"/>
      <c r="H280" s="305"/>
      <c r="I280" s="305"/>
      <c r="J280" s="307"/>
      <c r="K280" s="307"/>
      <c r="L280" s="308"/>
      <c r="M280" s="303"/>
      <c r="N280" s="303"/>
      <c r="O280" s="305"/>
      <c r="P280" s="305"/>
      <c r="Q280" s="307"/>
      <c r="R280" s="308"/>
      <c r="S280" s="305"/>
      <c r="T280" s="305"/>
      <c r="U280" s="307"/>
      <c r="V280" s="308"/>
      <c r="W280" s="305"/>
      <c r="X280" s="305"/>
      <c r="Y280" s="307"/>
      <c r="Z280" s="308"/>
      <c r="AA280" s="305"/>
      <c r="AB280" s="305"/>
      <c r="AC280" s="307"/>
      <c r="AD280" s="308"/>
      <c r="AE280" s="305"/>
      <c r="AF280" s="305"/>
      <c r="AG280" s="307"/>
      <c r="AH280" s="308"/>
      <c r="AI280" s="303"/>
    </row>
    <row r="281" spans="1:35" s="309" customFormat="1" ht="22">
      <c r="A281" s="303"/>
      <c r="B281" s="303"/>
      <c r="C281" s="310" t="s">
        <v>644</v>
      </c>
      <c r="D281" s="303"/>
      <c r="E281" s="303"/>
      <c r="F281" s="306"/>
      <c r="G281" s="303"/>
      <c r="H281" s="305"/>
      <c r="I281" s="305"/>
      <c r="J281" s="307"/>
      <c r="K281" s="307"/>
      <c r="L281" s="308"/>
      <c r="M281" s="303"/>
      <c r="N281" s="303"/>
      <c r="O281" s="305"/>
      <c r="P281" s="305"/>
      <c r="Q281" s="307"/>
      <c r="R281" s="308"/>
      <c r="S281" s="305"/>
      <c r="T281" s="305"/>
      <c r="U281" s="307"/>
      <c r="V281" s="308"/>
      <c r="W281" s="305"/>
      <c r="X281" s="305"/>
      <c r="Y281" s="307"/>
      <c r="Z281" s="308"/>
      <c r="AA281" s="305"/>
      <c r="AB281" s="305"/>
      <c r="AC281" s="307"/>
      <c r="AD281" s="308"/>
      <c r="AE281" s="305"/>
      <c r="AF281" s="305"/>
      <c r="AG281" s="307"/>
      <c r="AH281" s="308"/>
      <c r="AI281" s="303"/>
    </row>
    <row r="282" spans="1:35" s="309" customFormat="1" ht="22">
      <c r="A282" s="303"/>
      <c r="B282" s="303"/>
      <c r="C282" s="310" t="s">
        <v>645</v>
      </c>
      <c r="D282" s="303"/>
      <c r="E282" s="303"/>
      <c r="F282" s="306"/>
      <c r="G282" s="303"/>
      <c r="H282" s="305"/>
      <c r="I282" s="305"/>
      <c r="J282" s="307"/>
      <c r="K282" s="307"/>
      <c r="L282" s="308"/>
      <c r="M282" s="303"/>
      <c r="N282" s="303"/>
      <c r="O282" s="305"/>
      <c r="P282" s="305"/>
      <c r="Q282" s="307"/>
      <c r="R282" s="308"/>
      <c r="S282" s="305"/>
      <c r="T282" s="305"/>
      <c r="U282" s="307"/>
      <c r="V282" s="308"/>
      <c r="W282" s="305"/>
      <c r="X282" s="305"/>
      <c r="Y282" s="307"/>
      <c r="Z282" s="308"/>
      <c r="AA282" s="305"/>
      <c r="AB282" s="305"/>
      <c r="AC282" s="307"/>
      <c r="AD282" s="308"/>
      <c r="AE282" s="305"/>
      <c r="AF282" s="305"/>
      <c r="AG282" s="307"/>
      <c r="AH282" s="308"/>
      <c r="AI282" s="303"/>
    </row>
    <row r="283" spans="1:35" s="309" customFormat="1" ht="22">
      <c r="A283" s="303"/>
      <c r="B283" s="303"/>
      <c r="C283" s="310" t="s">
        <v>646</v>
      </c>
      <c r="D283" s="303"/>
      <c r="E283" s="303"/>
      <c r="F283" s="306"/>
      <c r="G283" s="303"/>
      <c r="H283" s="305"/>
      <c r="I283" s="305"/>
      <c r="J283" s="307"/>
      <c r="K283" s="307"/>
      <c r="L283" s="308"/>
      <c r="M283" s="303"/>
      <c r="N283" s="303"/>
      <c r="O283" s="305"/>
      <c r="P283" s="305"/>
      <c r="Q283" s="307"/>
      <c r="R283" s="308"/>
      <c r="S283" s="305"/>
      <c r="T283" s="305"/>
      <c r="U283" s="307"/>
      <c r="V283" s="308"/>
      <c r="W283" s="305"/>
      <c r="X283" s="305"/>
      <c r="Y283" s="307"/>
      <c r="Z283" s="308"/>
      <c r="AA283" s="305"/>
      <c r="AB283" s="305"/>
      <c r="AC283" s="307"/>
      <c r="AD283" s="308"/>
      <c r="AE283" s="305"/>
      <c r="AF283" s="305"/>
      <c r="AG283" s="307"/>
      <c r="AH283" s="308"/>
      <c r="AI283" s="303"/>
    </row>
    <row r="284" spans="1:35" s="309" customFormat="1" ht="22">
      <c r="A284" s="303"/>
      <c r="B284" s="303"/>
      <c r="C284" s="310" t="s">
        <v>647</v>
      </c>
      <c r="D284" s="303"/>
      <c r="E284" s="303"/>
      <c r="F284" s="306"/>
      <c r="G284" s="303"/>
      <c r="H284" s="305"/>
      <c r="I284" s="305"/>
      <c r="J284" s="307"/>
      <c r="K284" s="307"/>
      <c r="L284" s="308"/>
      <c r="M284" s="303"/>
      <c r="N284" s="303"/>
      <c r="O284" s="305"/>
      <c r="P284" s="305"/>
      <c r="Q284" s="307"/>
      <c r="R284" s="308"/>
      <c r="S284" s="305"/>
      <c r="T284" s="305"/>
      <c r="U284" s="307"/>
      <c r="V284" s="308"/>
      <c r="W284" s="305"/>
      <c r="X284" s="305"/>
      <c r="Y284" s="307"/>
      <c r="Z284" s="308"/>
      <c r="AA284" s="305"/>
      <c r="AB284" s="305"/>
      <c r="AC284" s="307"/>
      <c r="AD284" s="308"/>
      <c r="AE284" s="305"/>
      <c r="AF284" s="305"/>
      <c r="AG284" s="307"/>
      <c r="AH284" s="308"/>
      <c r="AI284" s="303"/>
    </row>
    <row r="285" spans="1:35" s="309" customFormat="1" ht="22">
      <c r="A285" s="303"/>
      <c r="B285" s="303"/>
      <c r="C285" s="310" t="s">
        <v>648</v>
      </c>
      <c r="D285" s="303"/>
      <c r="E285" s="303"/>
      <c r="F285" s="306"/>
      <c r="G285" s="303"/>
      <c r="H285" s="305"/>
      <c r="I285" s="305"/>
      <c r="J285" s="307"/>
      <c r="K285" s="307"/>
      <c r="L285" s="308"/>
      <c r="M285" s="303"/>
      <c r="N285" s="303"/>
      <c r="O285" s="305"/>
      <c r="P285" s="305"/>
      <c r="Q285" s="307"/>
      <c r="R285" s="308"/>
      <c r="S285" s="305"/>
      <c r="T285" s="305"/>
      <c r="U285" s="307"/>
      <c r="V285" s="308"/>
      <c r="W285" s="305"/>
      <c r="X285" s="305"/>
      <c r="Y285" s="307"/>
      <c r="Z285" s="308"/>
      <c r="AA285" s="305"/>
      <c r="AB285" s="305"/>
      <c r="AC285" s="307"/>
      <c r="AD285" s="308"/>
      <c r="AE285" s="305"/>
      <c r="AF285" s="305"/>
      <c r="AG285" s="307"/>
      <c r="AH285" s="308"/>
      <c r="AI285" s="303"/>
    </row>
    <row r="286" spans="1:35" s="309" customFormat="1" ht="22">
      <c r="A286" s="303"/>
      <c r="B286" s="305"/>
      <c r="C286" s="305" t="s">
        <v>649</v>
      </c>
      <c r="D286" s="303"/>
      <c r="E286" s="303"/>
      <c r="F286" s="306"/>
      <c r="G286" s="303"/>
      <c r="H286" s="305"/>
      <c r="I286" s="305"/>
      <c r="J286" s="307"/>
      <c r="K286" s="307"/>
      <c r="L286" s="308"/>
      <c r="M286" s="303"/>
      <c r="N286" s="303"/>
      <c r="O286" s="305"/>
      <c r="P286" s="305"/>
      <c r="Q286" s="307"/>
      <c r="R286" s="308"/>
      <c r="S286" s="305"/>
      <c r="T286" s="305"/>
      <c r="U286" s="307"/>
      <c r="V286" s="308"/>
      <c r="W286" s="305"/>
      <c r="X286" s="305"/>
      <c r="Y286" s="307"/>
      <c r="Z286" s="308"/>
      <c r="AA286" s="305"/>
      <c r="AB286" s="305"/>
      <c r="AC286" s="307"/>
      <c r="AD286" s="308"/>
      <c r="AE286" s="305"/>
      <c r="AF286" s="305"/>
      <c r="AG286" s="307"/>
      <c r="AH286" s="308"/>
      <c r="AI286" s="303"/>
    </row>
    <row r="287" spans="1:35" s="309" customFormat="1" ht="22">
      <c r="A287" s="303"/>
      <c r="B287" s="305"/>
      <c r="C287" s="305" t="s">
        <v>650</v>
      </c>
      <c r="D287" s="303"/>
      <c r="E287" s="303"/>
      <c r="F287" s="306"/>
      <c r="G287" s="303"/>
      <c r="H287" s="305"/>
      <c r="I287" s="305"/>
      <c r="J287" s="307"/>
      <c r="K287" s="307"/>
      <c r="L287" s="308"/>
      <c r="M287" s="303"/>
      <c r="N287" s="303"/>
      <c r="O287" s="305"/>
      <c r="P287" s="305"/>
      <c r="Q287" s="307"/>
      <c r="R287" s="308"/>
      <c r="S287" s="305"/>
      <c r="T287" s="305"/>
      <c r="U287" s="307"/>
      <c r="V287" s="308"/>
      <c r="W287" s="305"/>
      <c r="X287" s="305"/>
      <c r="Y287" s="307"/>
      <c r="Z287" s="308"/>
      <c r="AA287" s="305"/>
      <c r="AB287" s="305"/>
      <c r="AC287" s="307"/>
      <c r="AD287" s="308"/>
      <c r="AE287" s="305"/>
      <c r="AF287" s="305"/>
      <c r="AG287" s="307"/>
      <c r="AH287" s="308"/>
      <c r="AI287" s="303"/>
    </row>
    <row r="288" spans="1:35" s="309" customFormat="1" ht="22">
      <c r="A288" s="303"/>
      <c r="B288" s="303"/>
      <c r="C288" s="305" t="s">
        <v>651</v>
      </c>
      <c r="D288" s="305"/>
      <c r="E288" s="305"/>
      <c r="F288" s="306"/>
      <c r="G288" s="303"/>
      <c r="H288" s="305"/>
      <c r="I288" s="305"/>
      <c r="J288" s="307"/>
      <c r="K288" s="307"/>
      <c r="L288" s="308"/>
      <c r="M288" s="303"/>
      <c r="N288" s="303"/>
      <c r="O288" s="305"/>
      <c r="P288" s="305"/>
      <c r="Q288" s="307"/>
      <c r="R288" s="308"/>
      <c r="S288" s="305"/>
      <c r="T288" s="305"/>
      <c r="U288" s="307"/>
      <c r="V288" s="308"/>
      <c r="W288" s="305"/>
      <c r="X288" s="305"/>
      <c r="Y288" s="307"/>
      <c r="Z288" s="308"/>
      <c r="AA288" s="305"/>
      <c r="AB288" s="305"/>
      <c r="AC288" s="307"/>
      <c r="AD288" s="308"/>
      <c r="AE288" s="305"/>
      <c r="AF288" s="305"/>
      <c r="AG288" s="307"/>
      <c r="AH288" s="308"/>
      <c r="AI288" s="303"/>
    </row>
    <row r="289" spans="1:35" s="309" customFormat="1" ht="22">
      <c r="A289" s="303"/>
      <c r="B289" s="303"/>
      <c r="C289" s="305" t="s">
        <v>652</v>
      </c>
      <c r="D289" s="305"/>
      <c r="E289" s="305"/>
      <c r="F289" s="306"/>
      <c r="G289" s="303"/>
      <c r="H289" s="305"/>
      <c r="I289" s="305"/>
      <c r="J289" s="307"/>
      <c r="K289" s="307"/>
      <c r="L289" s="308"/>
      <c r="M289" s="303"/>
      <c r="N289" s="303"/>
      <c r="O289" s="305"/>
      <c r="P289" s="305"/>
      <c r="Q289" s="307"/>
      <c r="R289" s="308"/>
      <c r="S289" s="305"/>
      <c r="T289" s="305"/>
      <c r="U289" s="307"/>
      <c r="V289" s="308"/>
      <c r="W289" s="305"/>
      <c r="X289" s="305"/>
      <c r="Y289" s="307"/>
      <c r="Z289" s="308"/>
      <c r="AA289" s="305"/>
      <c r="AB289" s="305"/>
      <c r="AC289" s="307"/>
      <c r="AD289" s="308"/>
      <c r="AE289" s="305"/>
      <c r="AF289" s="305"/>
      <c r="AG289" s="307"/>
      <c r="AH289" s="308"/>
      <c r="AI289" s="303"/>
    </row>
    <row r="290" spans="1:35" s="309" customFormat="1" ht="21">
      <c r="A290" s="303"/>
      <c r="B290" s="303"/>
      <c r="C290" s="305"/>
      <c r="D290" s="305"/>
      <c r="E290" s="305"/>
      <c r="F290" s="306"/>
      <c r="G290" s="303"/>
      <c r="H290" s="305"/>
      <c r="I290" s="305"/>
      <c r="J290" s="307"/>
      <c r="K290" s="307"/>
      <c r="L290" s="308"/>
      <c r="M290" s="303"/>
      <c r="N290" s="303"/>
      <c r="O290" s="305"/>
      <c r="P290" s="305"/>
      <c r="Q290" s="307"/>
      <c r="R290" s="308"/>
      <c r="S290" s="305"/>
      <c r="T290" s="305"/>
      <c r="U290" s="307"/>
      <c r="V290" s="308"/>
      <c r="W290" s="305"/>
      <c r="X290" s="305"/>
      <c r="Y290" s="307"/>
      <c r="Z290" s="308"/>
      <c r="AA290" s="305"/>
      <c r="AB290" s="305"/>
      <c r="AC290" s="307"/>
      <c r="AD290" s="308"/>
      <c r="AE290" s="305"/>
      <c r="AF290" s="305"/>
      <c r="AG290" s="307"/>
      <c r="AH290" s="308"/>
      <c r="AI290" s="303"/>
    </row>
    <row r="291" spans="1:35">
      <c r="B291" s="127"/>
      <c r="C291" s="311"/>
    </row>
    <row r="292" spans="1:35">
      <c r="B292" s="127"/>
      <c r="C292" s="311"/>
    </row>
    <row r="293" spans="1:35">
      <c r="B293" s="127"/>
      <c r="C293" s="311"/>
    </row>
    <row r="294" spans="1:35">
      <c r="B294" s="127"/>
      <c r="C294" s="311"/>
    </row>
    <row r="295" spans="1:35">
      <c r="B295" s="127"/>
      <c r="C295" s="127"/>
    </row>
    <row r="296" spans="1:35">
      <c r="B296" s="127"/>
      <c r="C296" s="127"/>
    </row>
    <row r="297" spans="1:35">
      <c r="B297" s="127"/>
      <c r="C297" s="312"/>
    </row>
    <row r="298" spans="1:35">
      <c r="B298" s="312"/>
      <c r="C298" s="312"/>
      <c r="D298" s="127"/>
      <c r="E298" s="127"/>
    </row>
    <row r="299" spans="1:35">
      <c r="D299" s="312"/>
      <c r="E299" s="312"/>
    </row>
    <row r="300" spans="1:35">
      <c r="D300" s="312"/>
      <c r="E300" s="312"/>
    </row>
  </sheetData>
  <mergeCells count="48">
    <mergeCell ref="N214:N227"/>
    <mergeCell ref="N230:N243"/>
    <mergeCell ref="N246:N259"/>
    <mergeCell ref="B262:D262"/>
    <mergeCell ref="N262:N269"/>
    <mergeCell ref="N198:N211"/>
    <mergeCell ref="C56:C71"/>
    <mergeCell ref="N56:N69"/>
    <mergeCell ref="C72:C87"/>
    <mergeCell ref="N72:N85"/>
    <mergeCell ref="N95:N108"/>
    <mergeCell ref="N118:N131"/>
    <mergeCell ref="N134:N147"/>
    <mergeCell ref="N150:N163"/>
    <mergeCell ref="N166:N179"/>
    <mergeCell ref="C182:C197"/>
    <mergeCell ref="N182:N195"/>
    <mergeCell ref="C26:C32"/>
    <mergeCell ref="N26:N30"/>
    <mergeCell ref="C33:C39"/>
    <mergeCell ref="N33:N37"/>
    <mergeCell ref="C40:C55"/>
    <mergeCell ref="N40:N53"/>
    <mergeCell ref="AA8:AD8"/>
    <mergeCell ref="AE8:AH8"/>
    <mergeCell ref="AI8:AI9"/>
    <mergeCell ref="C11:C17"/>
    <mergeCell ref="N11:N15"/>
    <mergeCell ref="O8:R8"/>
    <mergeCell ref="S8:V8"/>
    <mergeCell ref="W8:Z8"/>
    <mergeCell ref="C18:C24"/>
    <mergeCell ref="N18:N22"/>
    <mergeCell ref="H8:L8"/>
    <mergeCell ref="M8:M9"/>
    <mergeCell ref="N8:N9"/>
    <mergeCell ref="G8:G9"/>
    <mergeCell ref="B8:B9"/>
    <mergeCell ref="C8:C9"/>
    <mergeCell ref="D8:D9"/>
    <mergeCell ref="E8:E9"/>
    <mergeCell ref="F8:F9"/>
    <mergeCell ref="AE6:AH7"/>
    <mergeCell ref="H6:L7"/>
    <mergeCell ref="O6:R7"/>
    <mergeCell ref="S6:V7"/>
    <mergeCell ref="W6:Z7"/>
    <mergeCell ref="AA6:AD7"/>
  </mergeCells>
  <phoneticPr fontId="61" type="noConversion"/>
  <pageMargins left="0.70866141732283472" right="0.70866141732283472" top="0.74803149606299213" bottom="0.74803149606299213" header="0.31496062992125984" footer="0.31496062992125984"/>
  <pageSetup paperSize="8" scale="26" fitToHeight="0" orientation="landscape" r:id="rId1"/>
  <rowBreaks count="3" manualBreakCount="3">
    <brk id="87" max="16383" man="1"/>
    <brk id="165" max="16383" man="1"/>
    <brk id="24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C00000"/>
  </sheetPr>
  <dimension ref="A1:L103"/>
  <sheetViews>
    <sheetView zoomScale="60" zoomScaleNormal="60" workbookViewId="0">
      <pane xSplit="1" ySplit="3" topLeftCell="B4" activePane="bottomRight" state="frozen"/>
      <selection activeCell="D27" sqref="D27"/>
      <selection pane="topRight" activeCell="D27" sqref="D27"/>
      <selection pane="bottomLeft" activeCell="D27" sqref="D27"/>
      <selection pane="bottomRight" activeCell="F31" sqref="F31"/>
    </sheetView>
  </sheetViews>
  <sheetFormatPr defaultColWidth="9.08984375" defaultRowHeight="14.5"/>
  <cols>
    <col min="1" max="1" width="34.453125" style="314" bestFit="1" customWidth="1"/>
    <col min="2" max="4" width="25.7265625" style="314" customWidth="1"/>
    <col min="5" max="5" width="15.7265625" style="314" customWidth="1"/>
    <col min="6" max="8" width="25.7265625" style="314" customWidth="1"/>
    <col min="9" max="9" width="15.7265625" style="314" customWidth="1"/>
    <col min="10" max="11" width="25.7265625" style="314" customWidth="1"/>
    <col min="12" max="12" width="15.7265625" style="314" customWidth="1"/>
    <col min="13" max="13" width="9.08984375" style="314"/>
    <col min="14" max="14" width="11.7265625" style="314" bestFit="1" customWidth="1"/>
    <col min="15" max="16384" width="9.08984375" style="314"/>
  </cols>
  <sheetData>
    <row r="1" spans="1:12">
      <c r="A1" s="313" t="s">
        <v>653</v>
      </c>
      <c r="B1" s="557" t="s">
        <v>654</v>
      </c>
      <c r="C1" s="558"/>
      <c r="D1" s="558"/>
      <c r="E1" s="559"/>
      <c r="F1" s="560" t="s">
        <v>655</v>
      </c>
      <c r="G1" s="561"/>
      <c r="H1" s="561"/>
      <c r="I1" s="562"/>
      <c r="J1" s="563" t="s">
        <v>1342</v>
      </c>
      <c r="K1" s="564"/>
      <c r="L1" s="565"/>
    </row>
    <row r="2" spans="1:12" ht="39.75" customHeight="1">
      <c r="A2" s="315" t="s">
        <v>656</v>
      </c>
      <c r="B2" s="316" t="s">
        <v>657</v>
      </c>
      <c r="C2" s="316" t="s">
        <v>658</v>
      </c>
      <c r="D2" s="422" t="s">
        <v>534</v>
      </c>
      <c r="E2" s="317" t="s">
        <v>659</v>
      </c>
      <c r="F2" s="318" t="s">
        <v>660</v>
      </c>
      <c r="G2" s="318" t="s">
        <v>661</v>
      </c>
      <c r="H2" s="319" t="s">
        <v>662</v>
      </c>
      <c r="I2" s="320" t="s">
        <v>659</v>
      </c>
      <c r="J2" s="423" t="s">
        <v>663</v>
      </c>
      <c r="K2" s="423" t="s">
        <v>664</v>
      </c>
      <c r="L2" s="423" t="s">
        <v>659</v>
      </c>
    </row>
    <row r="3" spans="1:12">
      <c r="A3" s="313" t="s">
        <v>665</v>
      </c>
      <c r="B3" s="321"/>
      <c r="C3" s="321"/>
      <c r="D3" s="321"/>
      <c r="E3" s="322"/>
      <c r="F3" s="323"/>
      <c r="G3" s="323"/>
      <c r="H3" s="323"/>
      <c r="I3" s="324"/>
      <c r="J3" s="325"/>
      <c r="K3" s="325"/>
      <c r="L3" s="325"/>
    </row>
    <row r="4" spans="1:12" ht="15" customHeight="1">
      <c r="A4" s="327" t="s">
        <v>17</v>
      </c>
      <c r="B4" s="328">
        <f>SUMIFS(Port!AF:AF,Port!$C:$C,"Loan")</f>
        <v>22972494193.908798</v>
      </c>
      <c r="C4" s="328">
        <f>SUMIFS(Port!AG:AG,Port!$C:$C,"Loan")</f>
        <v>37117966.194731034</v>
      </c>
      <c r="D4" s="328">
        <f>SUMIFS(Port!AJ:AJ,Port!$C:$C,"Loan")+SUMIFS(Port!AK:AK,Port!$C:$C,"Loan")</f>
        <v>331311596.14124471</v>
      </c>
      <c r="E4" s="329">
        <f>D4/B4</f>
        <v>1.4422099461411231E-2</v>
      </c>
      <c r="F4" s="330">
        <f>SUMIFS(Port!AF:AF,Port!$C:$C,"Loan",Port!$B:$B,"&lt;&gt;KASIKORNBANK PUBLIC COMPANY LIMITED")</f>
        <v>22972494193.908798</v>
      </c>
      <c r="G4" s="330">
        <f>SUMIFS(Port!AG:AG,Port!$C:$C,"Loan",Port!$B:$B,"&lt;&gt;KASIKORNBANK PUBLIC COMPANY LIMITED")</f>
        <v>37117966.194731034</v>
      </c>
      <c r="H4" s="330">
        <f>SUMIFS(Port!AJ:AJ,Port!$C:$C,"Loan",Port!$B:$B,"&lt;&gt;KASIKORNBANK PUBLIC COMPANY LIMITED")+SUMIFS(Port!AK:AK,Port!$C:$C,"Loan",Port!$B:$B,"&lt;&gt;KASIKORNBANK PUBLIC COMPANY LIMITED")</f>
        <v>331311596.14124471</v>
      </c>
      <c r="I4" s="424">
        <f>H4/F4</f>
        <v>1.4422099461411231E-2</v>
      </c>
      <c r="J4" s="331">
        <f>SUMIFS(Port!AF:AF,Port!$C:$C,"Loan")</f>
        <v>22972494193.908798</v>
      </c>
      <c r="K4" s="328">
        <f>SUMIFS(Port!AR:AR,Port!$C:$C,"Loan")</f>
        <v>424189620.17658496</v>
      </c>
      <c r="L4" s="329">
        <v>1.4999999999999999E-2</v>
      </c>
    </row>
    <row r="5" spans="1:12">
      <c r="A5" s="327" t="s">
        <v>666</v>
      </c>
      <c r="B5" s="328">
        <f>SUMIFS(Port!AF:AF,Port!$C:$C,"BADD")</f>
        <v>0</v>
      </c>
      <c r="C5" s="328">
        <f>SUMIFS(Port!AG:AG,Port!$C:$C,"BADD")</f>
        <v>0</v>
      </c>
      <c r="D5" s="328">
        <f>SUMIFS(Port!AJ:AJ,Port!$C:$C,"BADD")+SUMIFS(Port!AK:AK,Port!$C:$C,"BADD")</f>
        <v>0</v>
      </c>
      <c r="E5" s="329" t="e">
        <f t="shared" ref="E5:E13" si="0">D5/B5</f>
        <v>#DIV/0!</v>
      </c>
      <c r="F5" s="330">
        <f>SUMIFS(Port!AF:AF,Port!$C:$C,"BADD",Port!$B:$B,"&lt;&gt;KASIKORNBANK PUBLIC COMPANY LIMITED")</f>
        <v>0</v>
      </c>
      <c r="G5" s="330">
        <f>SUMIFS(Port!AG:AG,Port!$C:$C,"BADD",Port!$B:$B,"&lt;&gt;KASIKORNBANK PUBLIC COMPANY LIMITED")</f>
        <v>0</v>
      </c>
      <c r="H5" s="330">
        <f>SUMIFS(Port!AJ:AJ,Port!$C:$C,"BADD",Port!$B:$B,"&lt;&gt;KASIKORNBANK PUBLIC COMPANY LIMITED")+SUMIFS(Port!AK:AK,Port!$C:$C,"BADD",Port!$B:$B,"&lt;&gt;KASIKORNBANK PUBLIC COMPANY LIMITED")</f>
        <v>0</v>
      </c>
      <c r="I5" s="424" t="e">
        <f t="shared" ref="I5:I13" si="1">H5/F5</f>
        <v>#DIV/0!</v>
      </c>
      <c r="J5" s="331">
        <f>SUMIFS(Port!AF:AF,Port!$C:$C,"BADD")</f>
        <v>0</v>
      </c>
      <c r="K5" s="328">
        <f>SUMIFS(Port!AR:AR,Port!$C:$C,"BADD")</f>
        <v>0</v>
      </c>
      <c r="L5" s="329">
        <v>1.4999999999999999E-2</v>
      </c>
    </row>
    <row r="6" spans="1:12">
      <c r="A6" s="327" t="s">
        <v>667</v>
      </c>
      <c r="B6" s="328">
        <f>SUMIFS(Port!AF:AF,Port!$C:$C,"CADD")</f>
        <v>37566867.406823993</v>
      </c>
      <c r="C6" s="328">
        <f>SUMIFS(Port!AG:AG,Port!$C:$C,"CADD")</f>
        <v>0</v>
      </c>
      <c r="D6" s="328">
        <f>SUMIFS(Port!AJ:AJ,Port!$C:$C,"CADD")+SUMIFS(Port!AK:AK,Port!$C:$C,"CADD")</f>
        <v>910525.9446358094</v>
      </c>
      <c r="E6" s="329">
        <f t="shared" si="0"/>
        <v>2.4237473270672896E-2</v>
      </c>
      <c r="F6" s="330">
        <f>SUMIFS(Port!AF:AF,Port!$C:$C,"CADD",Port!$B:$B,"&lt;&gt;KASIKORNBANK PUBLIC COMPANY LIMITED")</f>
        <v>37566867.406823993</v>
      </c>
      <c r="G6" s="330">
        <f>SUMIFS(Port!AG:AG,Port!$C:$C,"CADD",Port!$B:$B,"&lt;&gt;KASIKORNBANK PUBLIC COMPANY LIMITED")</f>
        <v>0</v>
      </c>
      <c r="H6" s="330">
        <f>SUMIFS(Port!AJ:AJ,Port!$C:$C,"CADD",Port!$B:$B,"&lt;&gt;KASIKORNBANK PUBLIC COMPANY LIMITED")</f>
        <v>910525.9446358094</v>
      </c>
      <c r="I6" s="424">
        <f t="shared" si="1"/>
        <v>2.4237473270672896E-2</v>
      </c>
      <c r="J6" s="331">
        <f>SUMIFS(Port!AF:AF,Port!$C:$C,"CADD")</f>
        <v>37566867.406823993</v>
      </c>
      <c r="K6" s="328">
        <f>SUMIFS(Port!AR:AR,Port!$C:$C,"CADD")</f>
        <v>910525.9446358094</v>
      </c>
      <c r="L6" s="329">
        <v>1.4999999999999999E-2</v>
      </c>
    </row>
    <row r="7" spans="1:12">
      <c r="A7" s="327" t="s">
        <v>668</v>
      </c>
      <c r="B7" s="328">
        <f>SUMIFS(Port!AF:AF,Port!$C:$C,"TF")</f>
        <v>15276371.00976</v>
      </c>
      <c r="C7" s="328">
        <f>SUMIFS(Port!AG:AG,Port!$C:$C,"TF")</f>
        <v>0</v>
      </c>
      <c r="D7" s="328">
        <f>SUMIFS(Port!AJ:AJ,Port!$C:$C,"TF")+SUMIFS(Port!AK:AK,Port!$C:$C,"TF")</f>
        <v>1338654.9462567691</v>
      </c>
      <c r="E7" s="329">
        <f t="shared" si="0"/>
        <v>8.7629119861091939E-2</v>
      </c>
      <c r="F7" s="330">
        <f>SUMIFS(Port!AF:AF,Port!$C:$C,"TF",Port!$B:$B,"&lt;&gt;KASIKORNBANK PUBLIC COMPANY LIMITED")</f>
        <v>15276371.00976</v>
      </c>
      <c r="G7" s="330">
        <f>SUMIFS(Port!AG:AG,Port!$C:$C,"TF",Port!$B:$B,"&lt;&gt;KASIKORNBANK PUBLIC COMPANY LIMITED")</f>
        <v>0</v>
      </c>
      <c r="H7" s="330">
        <f>SUMIFS(Port!AJ:AJ,Port!$C:$C,"TF",Port!$B:$B,"&lt;&gt;KASIKORNBANK PUBLIC COMPANY LIMITED")+SUMIFS(Port!AK:AK,Port!$C:$C,"TF",Port!$B:$B,"&lt;&gt;KASIKORNBANK PUBLIC COMPANY LIMITED")</f>
        <v>1338654.9462567691</v>
      </c>
      <c r="I7" s="424">
        <f t="shared" si="1"/>
        <v>8.7629119861091939E-2</v>
      </c>
      <c r="J7" s="331">
        <f>SUMIFS(Port!AF:AF,Port!$C:$C,"TF")</f>
        <v>15276371.00976</v>
      </c>
      <c r="K7" s="328">
        <f>SUMIFS(Port!AR:AR,Port!$C:$C,"TF")</f>
        <v>1338654.9462567691</v>
      </c>
      <c r="L7" s="329">
        <v>1.4999999999999999E-2</v>
      </c>
    </row>
    <row r="8" spans="1:12">
      <c r="A8" s="334" t="s">
        <v>1341</v>
      </c>
      <c r="B8" s="328">
        <f>SUMIFS(Port!AF:AF,Port!$C:$C,"Factoring")</f>
        <v>1490156236.0494721</v>
      </c>
      <c r="C8" s="328">
        <f>SUMIFS(Port!AG:AG,Port!$C:$C,"Factoring")</f>
        <v>32782435.98616799</v>
      </c>
      <c r="D8" s="328">
        <f>SUMIFS(Port!AJ:AJ,Port!$C:$C,"Factoring")+SUMIFS(Port!AK:AK,Port!$C:$C,"Factoring")</f>
        <v>24028451.064133339</v>
      </c>
      <c r="E8" s="329">
        <f t="shared" ref="E8" si="2">D8/B8</f>
        <v>1.6124786437048209E-2</v>
      </c>
      <c r="F8" s="330">
        <f>SUMIFS(Port!AF:AF,Port!$C:$C,"Factoring",Port!$B:$B,"&lt;&gt;KASIKORNBANK PUBLIC COMPANY LIMITED")</f>
        <v>1490156236.0494721</v>
      </c>
      <c r="G8" s="330">
        <f>SUMIFS(Port!AG:AG,Port!$C:$C,"Factoring",Port!$B:$B,"&lt;&gt;KASIKORNBANK PUBLIC COMPANY LIMITED")</f>
        <v>32782435.98616799</v>
      </c>
      <c r="H8" s="330">
        <f>SUMIFS(Port!AJ:AJ,Port!$C:$C,"Factoring",Port!$B:$B,"&lt;&gt;KASIKORNBANK PUBLIC COMPANY LIMITED")+SUMIFS(Port!AK:AK,Port!$C:$C,"Factoring",Port!$B:$B,"&lt;&gt;KASIKORNBANK PUBLIC COMPANY LIMITED")</f>
        <v>24028451.064133339</v>
      </c>
      <c r="I8" s="424">
        <f t="shared" si="1"/>
        <v>1.6124786437048209E-2</v>
      </c>
      <c r="J8" s="331">
        <f>SUMIFS(Port!AF:AF,Port!$C:$C,"Factoring")</f>
        <v>1490156236.0494721</v>
      </c>
      <c r="K8" s="328">
        <f>SUMIFS(Port!AR:AR,Port!$C:$C,"Factoring")</f>
        <v>26382689.467859793</v>
      </c>
      <c r="L8" s="329">
        <v>1.4999999999999999E-2</v>
      </c>
    </row>
    <row r="9" spans="1:12">
      <c r="A9" s="334" t="s">
        <v>669</v>
      </c>
      <c r="B9" s="328">
        <f>SUMIFS(Port!AF:AF,Port!$C:$C,"WCD")</f>
        <v>3716944061.3902206</v>
      </c>
      <c r="C9" s="328">
        <f>SUMIFS(Port!AG:AG,Port!$C:$C,"WCD")</f>
        <v>15586796.379167974</v>
      </c>
      <c r="D9" s="328">
        <f>SUMIFS(Port!AJ:AJ,Port!$C:$C,"WCD")+SUMIFS(Port!AK:AK,Port!$C:$C,"WCD")</f>
        <v>70321201.782870069</v>
      </c>
      <c r="E9" s="329">
        <f t="shared" si="0"/>
        <v>1.8919090688862387E-2</v>
      </c>
      <c r="F9" s="330">
        <f>SUMIFS(Port!AF:AF,Port!$C:$C,"WCD",Port!$B:$B,"&lt;&gt;KASIKORNBANK PUBLIC COMPANY LIMITED")</f>
        <v>3716944061.3902206</v>
      </c>
      <c r="G9" s="330">
        <f>SUMIFS(Port!AG:AG,Port!$C:$C,"WCD",Port!$B:$B,"&lt;&gt;KASIKORNBANK PUBLIC COMPANY LIMITED")</f>
        <v>15586796.379167974</v>
      </c>
      <c r="H9" s="330">
        <f>SUMIFS(Port!AJ:AJ,Port!$C:$C,"WCD",Port!$B:$B,"&lt;&gt;KASIKORNBANK PUBLIC COMPANY LIMITED")+SUMIFS(Port!AK:AK,Port!$C:$C,"WCD",Port!$B:$B,"&lt;&gt;KASIKORNBANK PUBLIC COMPANY LIMITED")</f>
        <v>70321201.782870069</v>
      </c>
      <c r="I9" s="424">
        <f t="shared" si="1"/>
        <v>1.8919090688862387E-2</v>
      </c>
      <c r="J9" s="331">
        <f>SUMIFS(Port!AF:AF,Port!$C:$C,"WCD")</f>
        <v>3716944061.3902206</v>
      </c>
      <c r="K9" s="328">
        <f>SUMIFS(Port!AR:AR,Port!$C:$C,"WCD")</f>
        <v>374088059.14986807</v>
      </c>
      <c r="L9" s="329">
        <v>1.4999999999999999E-2</v>
      </c>
    </row>
    <row r="10" spans="1:12">
      <c r="A10" s="334" t="s">
        <v>670</v>
      </c>
      <c r="B10" s="328">
        <f>SUMIFS(Port!AF:AF,Port!$C:$C,"AiBank")</f>
        <v>2256984000</v>
      </c>
      <c r="C10" s="328">
        <f>SUMIFS(Port!AG:AG,Port!$C:$C,"AiBank")</f>
        <v>8388286.7364721457</v>
      </c>
      <c r="D10" s="328">
        <f>SUMIFS(Port!AJ:AJ,Port!$C:$C,"AiBank")+SUMIFS(Port!AK:AK,Port!$C:$C,"AiBank")</f>
        <v>41826361.770116597</v>
      </c>
      <c r="E10" s="329">
        <f t="shared" si="0"/>
        <v>1.853197088243275E-2</v>
      </c>
      <c r="F10" s="330">
        <f>SUMIFS(Port!AF:AF,Port!$C:$C,"AiBank",Port!$B:$B,"&lt;&gt;KASIKORNBANK PUBLIC COMPANY LIMITED")</f>
        <v>2256984000</v>
      </c>
      <c r="G10" s="330">
        <f>SUMIFS(Port!AG:AG,Port!$C:$C,"AiBank",Port!$B:$B,"&lt;&gt;KASIKORNBANK PUBLIC COMPANY LIMITED")</f>
        <v>8388286.7364721457</v>
      </c>
      <c r="H10" s="330">
        <f>SUMIFS(Port!AJ:AJ,Port!$C:$C,"AiBank",Port!$B:$B,"&lt;&gt;KASIKORNBANK PUBLIC COMPANY LIMITED")+SUMIFS(Port!AK:AK,Port!$C:$C,"AiBank",Port!$B:$B,"&lt;&gt;KASIKORNBANK PUBLIC COMPANY LIMITED")</f>
        <v>41826361.770116597</v>
      </c>
      <c r="I10" s="424">
        <f t="shared" si="1"/>
        <v>1.853197088243275E-2</v>
      </c>
      <c r="J10" s="331">
        <f>SUMIFS(Port!AF:AF,Port!$C:$C,"AiBank")</f>
        <v>2256984000</v>
      </c>
      <c r="K10" s="328">
        <f>SUMIFS(Port!AR:AR,Port!$C:$C,"AiBank")</f>
        <v>225698400</v>
      </c>
      <c r="L10" s="329">
        <v>2.5000000000000001E-2</v>
      </c>
    </row>
    <row r="11" spans="1:12">
      <c r="A11" s="334" t="s">
        <v>741</v>
      </c>
      <c r="B11" s="328">
        <f>SUMIFS(Port!AF:AF,Port!$C:$C,"XBD")</f>
        <v>358001.54236800002</v>
      </c>
      <c r="C11" s="328">
        <f>SUMIFS(Port!AG:AG,Port!$C:$C,"XBD")</f>
        <v>437.95987200000002</v>
      </c>
      <c r="D11" s="328">
        <f>SUMIFS(Port!AJ:AJ,Port!$C:$C,"XBD")+SUMIFS(Port!AK:AK,Port!$C:$C,"XBD")</f>
        <v>293.02000721000957</v>
      </c>
      <c r="E11" s="329">
        <f>D11/B11</f>
        <v>8.184881139668553E-4</v>
      </c>
      <c r="F11" s="330">
        <f>SUMIFS(Port!AF:AF,Port!$C:$C,"XBD",Port!$B:$B,"&lt;&gt;KASIKORNBANK PUBLIC COMPANY LIMITED")</f>
        <v>358001.54236800002</v>
      </c>
      <c r="G11" s="330">
        <f>SUMIFS(Port!AG:AG,Port!$C:$C,"XBD",Port!$B:$B,"&lt;&gt;KASIKORNBANK PUBLIC COMPANY LIMITED")</f>
        <v>437.95987200000002</v>
      </c>
      <c r="H11" s="330">
        <f>SUMIFS(Port!AJ:AJ,Port!$C:$C,"XBD",Port!$B:$B,"&lt;&gt;KASIKORNBANK PUBLIC COMPANY LIMITED")+SUMIFS(Port!AK:AK,Port!$C:$C,"XBD",Port!$B:$B,"&lt;&gt;KASIKORNBANK PUBLIC COMPANY LIMITED")</f>
        <v>293.02000721000957</v>
      </c>
      <c r="I11" s="424">
        <f t="shared" ref="I11" si="3">H11/F11</f>
        <v>8.184881139668553E-4</v>
      </c>
      <c r="J11" s="331">
        <f>SUMIFS(Port!AF:AF,Port!$C:$C,"XBD")</f>
        <v>358001.54236800002</v>
      </c>
      <c r="K11" s="328">
        <f>SUMIFS(Port!AR:AR,Port!$C:$C,"XBD")</f>
        <v>35800.154236800001</v>
      </c>
      <c r="L11" s="329">
        <v>2.5000000000000001E-2</v>
      </c>
    </row>
    <row r="12" spans="1:12">
      <c r="A12" s="334" t="s">
        <v>743</v>
      </c>
      <c r="B12" s="328">
        <f>SUMIFS(Port!AF:AF,Port!$C:$C,"OffCN")</f>
        <v>0</v>
      </c>
      <c r="C12" s="328">
        <f>SUMIFS(Port!AG:AG,Port!$C:$C,"OffCN")</f>
        <v>0</v>
      </c>
      <c r="D12" s="328">
        <f>SUMIFS(Port!AJ:AJ,Port!$C:$C,"OffCN")+SUMIFS(Port!AK:AK,Port!$C:$C,"OffCN")</f>
        <v>0</v>
      </c>
      <c r="E12" s="329" t="e">
        <f t="shared" si="0"/>
        <v>#DIV/0!</v>
      </c>
      <c r="F12" s="330">
        <f>SUMIFS(Port!AF:AF,Port!$C:$C,"OffCN",Port!$B:$B,"&lt;&gt;KASIKORNBANK PUBLIC COMPANY LIMITED")</f>
        <v>0</v>
      </c>
      <c r="G12" s="330">
        <f>SUMIFS(Port!AG:AG,Port!$C:$C,"OffCN",Port!$B:$B,"&lt;&gt;KASIKORNBANK PUBLIC COMPANY LIMITED")</f>
        <v>0</v>
      </c>
      <c r="H12" s="330">
        <f>SUMIFS(Port!AJ:AJ,Port!$C:$C,"OffCN",Port!$B:$B,"&lt;&gt;KASIKORNBANK PUBLIC COMPANY LIMITED")+SUMIFS(Port!AK:AK,Port!$C:$C,"OffCN",Port!$B:$B,"&lt;&gt;KASIKORNBANK PUBLIC COMPANY LIMITED")</f>
        <v>0</v>
      </c>
      <c r="I12" s="424" t="e">
        <f t="shared" si="1"/>
        <v>#DIV/0!</v>
      </c>
      <c r="J12" s="331">
        <f>SUMIFS(Port!AF:AF,Port!$C:$C,"OffCN")</f>
        <v>0</v>
      </c>
      <c r="K12" s="328">
        <f>SUMIFS(Port!AR:AR,Port!$C:$C,"OffCN")</f>
        <v>0</v>
      </c>
      <c r="L12" s="329">
        <v>2.5000000000000001E-2</v>
      </c>
    </row>
    <row r="13" spans="1:12">
      <c r="A13" s="334" t="s">
        <v>742</v>
      </c>
      <c r="B13" s="328">
        <f>SUMIFS(Port!AF:AF,Port!$C:$C,"Yixin")</f>
        <v>3986207318.7319641</v>
      </c>
      <c r="C13" s="328">
        <f>SUMIFS(Port!AG:AG,Port!$C:$C,"Yixin")</f>
        <v>17234556.204744048</v>
      </c>
      <c r="D13" s="328">
        <f>SUMIFS(Port!AJ:AJ,Port!$C:$C,"Yixin")+SUMIFS(Port!AK:AK,Port!$C:$C,"Yixin")</f>
        <v>120475413.47278547</v>
      </c>
      <c r="E13" s="329">
        <f t="shared" si="0"/>
        <v>3.0223067652966281E-2</v>
      </c>
      <c r="F13" s="330">
        <f>SUMIFS(Port!AF:AF,Port!$C:$C,"Yixin",Port!$B:$B,"&lt;&gt;KASIKORNBANK PUBLIC COMPANY LIMITED")</f>
        <v>3986207318.7319641</v>
      </c>
      <c r="G13" s="330">
        <f>SUMIFS(Port!AG:AG,Port!$C:$C,"Yixin",Port!$B:$B,"&lt;&gt;KASIKORNBANK PUBLIC COMPANY LIMITED")</f>
        <v>17234556.204744048</v>
      </c>
      <c r="H13" s="330">
        <f>SUMIFS(Port!AJ:AJ,Port!$C:$C,"Yixin",Port!$B:$B,"&lt;&gt;KASIKORNBANK PUBLIC COMPANY LIMITED")+SUMIFS(Port!AK:AK,Port!$C:$C,"Yixin",Port!$B:$B,"&lt;&gt;KASIKORNBANK PUBLIC COMPANY LIMITED")</f>
        <v>120475413.47278547</v>
      </c>
      <c r="I13" s="424">
        <f t="shared" si="1"/>
        <v>3.0223067652966281E-2</v>
      </c>
      <c r="J13" s="331">
        <f>SUMIFS(Port!AF:AF,Port!$C:$C,"Yixin")</f>
        <v>3986207318.7319641</v>
      </c>
      <c r="K13" s="328">
        <f>SUMIFS(Port!AR:AR,Port!$C:$C,"Yixin")</f>
        <v>398733942.48141992</v>
      </c>
      <c r="L13" s="329">
        <v>0.02</v>
      </c>
    </row>
    <row r="14" spans="1:12">
      <c r="A14" s="336" t="s">
        <v>671</v>
      </c>
      <c r="B14" s="321"/>
      <c r="C14" s="321"/>
      <c r="D14" s="321"/>
      <c r="E14" s="332"/>
      <c r="F14" s="330"/>
      <c r="G14" s="330">
        <v>0</v>
      </c>
      <c r="H14" s="330">
        <v>0</v>
      </c>
      <c r="I14" s="424"/>
      <c r="J14" s="331"/>
      <c r="K14" s="321"/>
      <c r="L14" s="426"/>
    </row>
    <row r="15" spans="1:12" s="340" customFormat="1">
      <c r="A15" s="337" t="s">
        <v>672</v>
      </c>
      <c r="B15" s="338">
        <f>SUM(B4:B14)</f>
        <v>34475987050.039413</v>
      </c>
      <c r="C15" s="338">
        <f>SUM(C4:C14)</f>
        <v>111110479.46115521</v>
      </c>
      <c r="D15" s="338">
        <f>SUM(D4:D14)</f>
        <v>590212498.14205003</v>
      </c>
      <c r="E15" s="427">
        <f>D15/B15</f>
        <v>1.7119524302100446E-2</v>
      </c>
      <c r="F15" s="509">
        <f>SUM(F4:F14)</f>
        <v>34475987050.039413</v>
      </c>
      <c r="G15" s="509">
        <f>SUM(G4:G14)</f>
        <v>111110479.46115521</v>
      </c>
      <c r="H15" s="509">
        <f>SUM(H4:H14)</f>
        <v>590212498.14205003</v>
      </c>
      <c r="I15" s="510">
        <f>H15/F15</f>
        <v>1.7119524302100446E-2</v>
      </c>
      <c r="J15" s="338">
        <f>SUM(J4:J14)</f>
        <v>34475987050.039413</v>
      </c>
      <c r="K15" s="338">
        <f>SUM(K4:K14)</f>
        <v>1451377692.3208623</v>
      </c>
      <c r="L15" s="427" t="s">
        <v>673</v>
      </c>
    </row>
    <row r="16" spans="1:12">
      <c r="A16" s="341"/>
      <c r="B16" s="342"/>
      <c r="C16" s="342"/>
      <c r="D16" s="343"/>
      <c r="E16" s="332"/>
      <c r="F16" s="344"/>
      <c r="G16" s="344"/>
      <c r="H16" s="345"/>
      <c r="I16" s="424"/>
      <c r="J16" s="346"/>
      <c r="K16" s="342"/>
      <c r="L16" s="329"/>
    </row>
    <row r="17" spans="1:12" s="335" customFormat="1">
      <c r="A17" s="341" t="s">
        <v>675</v>
      </c>
      <c r="B17" s="328">
        <f>SUMIFS(Port!AF:AF,Port!$C:$C,"NBFI")</f>
        <v>25689597599.519997</v>
      </c>
      <c r="C17" s="328">
        <f>SUMIFS(Port!AG:AG,Port!$C:$C,"NBFI")</f>
        <v>53569131.290279992</v>
      </c>
      <c r="D17" s="328">
        <f>SUMIFS(Port!AJ:AJ,Port!$C:$C,"NBFI")+SUMIFS(Port!AK:AK,Port!$C:$C,"NBFI")</f>
        <v>201037900.08050624</v>
      </c>
      <c r="E17" s="329">
        <f>D17/B17</f>
        <v>7.8256539169871062E-3</v>
      </c>
      <c r="F17" s="330">
        <f>SUMIFS(Port!AF:AF,Port!$C:$C,"NBFI",Port!$B:$B,"&lt;&gt;KASIKORNBANK PUBLIC COMPANY LIMITED")</f>
        <v>25689597599.519997</v>
      </c>
      <c r="G17" s="330">
        <f>SUMIFS(Port!AG:AG,Port!$C:$C,"NBFI",Port!$B:$B,"&lt;&gt;KASIKORNBANK PUBLIC COMPANY LIMITED")</f>
        <v>53569131.290279992</v>
      </c>
      <c r="H17" s="330">
        <f>SUMIFS(Port!AJ:AJ,Port!$C:$C,"NBFI",Port!$B:$B,"&lt;&gt;KASIKORNBANK PUBLIC COMPANY LIMITED")+SUMIFS(Port!AK:AK,Port!$C:$C,"NBFI",Port!$B:$B,"&lt;&gt;KASIKORNBANK PUBLIC COMPANY LIMITED")</f>
        <v>201037900.08050624</v>
      </c>
      <c r="I17" s="424">
        <f>H17/F17</f>
        <v>7.8256539169871062E-3</v>
      </c>
      <c r="J17" s="331">
        <f>SUMIFS(Port!AF:AF,Port!$C:$C,"NBFI")</f>
        <v>25689597599.519997</v>
      </c>
      <c r="K17" s="328">
        <f>SUMIFS(Port!AR:AR,Port!$C:$C,"NBFI")</f>
        <v>201037900.08050627</v>
      </c>
      <c r="L17" s="329">
        <v>0.01</v>
      </c>
    </row>
    <row r="18" spans="1:12">
      <c r="A18" s="341" t="s">
        <v>676</v>
      </c>
      <c r="B18" s="328">
        <f>SUMIFS(Port!AF:AF,Port!$C:$C,"TBADD")</f>
        <v>0</v>
      </c>
      <c r="C18" s="328">
        <f>SUMIFS(Port!AG:AG,Port!$C:$C,"TBADD")</f>
        <v>0</v>
      </c>
      <c r="D18" s="328">
        <f>SUMIFS(Port!AJ:AJ,Port!$C:$C,"TBADD")+SUMIFS(Port!AK:AK,Port!$C:$C,"TBADD")</f>
        <v>0</v>
      </c>
      <c r="E18" s="329" t="e">
        <f t="shared" ref="E18:E21" si="4">D18/B18</f>
        <v>#DIV/0!</v>
      </c>
      <c r="F18" s="330">
        <f>SUMIFS(Port!AF:AF,Port!$C:$C,"TBADD",Port!$B:$B,"&lt;&gt;KASIKORNBANK PUBLIC COMPANY LIMITED")</f>
        <v>0</v>
      </c>
      <c r="G18" s="330">
        <f>SUMIFS(Port!AG:AG,Port!$C:$C,"TBADD",Port!$B:$B,"&lt;&gt;KASIKORNBANK PUBLIC COMPANY LIMITED")</f>
        <v>0</v>
      </c>
      <c r="H18" s="330">
        <f>SUMIFS(Port!AJ:AJ,Port!$C:$C,"TBADD",Port!$B:$B,"&lt;&gt;KASIKORNBANK PUBLIC COMPANY LIMITED")+SUMIFS(Port!AK:AK,Port!$C:$C,"TBADD",Port!$B:$B,"&lt;&gt;KASIKORNBANK PUBLIC COMPANY LIMITED")</f>
        <v>0</v>
      </c>
      <c r="I18" s="424" t="e">
        <f t="shared" ref="I18:I21" si="5">H18/F18</f>
        <v>#DIV/0!</v>
      </c>
      <c r="J18" s="331">
        <f>SUMIFS(Port!AF:AF,Port!$C:$C,"TBADD")</f>
        <v>0</v>
      </c>
      <c r="K18" s="328">
        <f>SUMIFS(Port!AR:AR,Port!$C:$C,"TBADD")</f>
        <v>0</v>
      </c>
      <c r="L18" s="329">
        <v>1.4999999999999999E-2</v>
      </c>
    </row>
    <row r="19" spans="1:12" s="335" customFormat="1">
      <c r="A19" s="341" t="s">
        <v>677</v>
      </c>
      <c r="B19" s="328">
        <f>SUMIFS(Port!AF:AF,Port!$C:$C,"Contingent")</f>
        <v>2120785232.9112675</v>
      </c>
      <c r="C19" s="328">
        <f>SUMIFS(Port!AG:AG,Port!$C:$C,"Contingent")</f>
        <v>0</v>
      </c>
      <c r="D19" s="328">
        <f>SUMIFS(Port!AJ:AJ,Port!$C:$C,"Contingent")+SUMIFS(Port!AK:AK,Port!$C:$C,"Contingent")</f>
        <v>9074595.4754623789</v>
      </c>
      <c r="E19" s="329">
        <f t="shared" si="4"/>
        <v>4.27888469546037E-3</v>
      </c>
      <c r="F19" s="330">
        <f>SUMIFS(Port!AF:AF,Port!$C:$C,"Contingent",Port!$B:$B,"&lt;&gt;KASIKORNBANK PUBLIC COMPANY LIMITED")</f>
        <v>933139256.91126776</v>
      </c>
      <c r="G19" s="330">
        <f>SUMIFS(Port!AG:AG,Port!$C:$C,"Contingent",Port!$B:$B,"&lt;&gt;KASIKORNBANK PUBLIC COMPANY LIMITED")</f>
        <v>0</v>
      </c>
      <c r="H19" s="330">
        <f>SUMIFS(Port!AJ:AJ,Port!$C:$C,"Contingent",Port!$B:$B,"&lt;&gt;KASIKORNBANK PUBLIC COMPANY LIMITED")+SUMIFS(Port!AK:AK,Port!$C:$C,"Contingent",Port!$B:$B,"&lt;&gt;KASIKORNBANK PUBLIC COMPANY LIMITED")</f>
        <v>9043463.5088307913</v>
      </c>
      <c r="I19" s="424">
        <f t="shared" si="5"/>
        <v>9.6914404166909187E-3</v>
      </c>
      <c r="J19" s="331">
        <f>SUMIFS(Port!AF:AF,Port!$C:$C,"Contingent")</f>
        <v>2120785232.9112675</v>
      </c>
      <c r="K19" s="328">
        <f>SUMIFS(Port!AR:AR,Port!$C:$C,"Contingent")</f>
        <v>9074595.4754623789</v>
      </c>
      <c r="L19" s="428" t="s">
        <v>678</v>
      </c>
    </row>
    <row r="20" spans="1:12" s="335" customFormat="1">
      <c r="A20" s="313" t="s">
        <v>1340</v>
      </c>
      <c r="B20" s="328">
        <f>SUMIFS(Port!AF:AF,Port!$C:$C,"MM")+SUMIFS(Port!AF:AF,Port!$C:$C,"Nostro")+SUMIFS(Port!AF:AF,Port!$C:$C,"PBOC")</f>
        <v>4641083947.9827251</v>
      </c>
      <c r="C20" s="328">
        <f>SUMIFS(Port!AG:AG,Port!$C:$C,"MM")+SUMIFS(Port!AG:AG,Port!$C:$C,"Nostro")+SUMIFS(Port!AG:AG,Port!$C:$C,"PBOC")</f>
        <v>1073328.248470176</v>
      </c>
      <c r="D20" s="328">
        <f>SUMIFS(Port!AJ:AJ,Port!$C:$C,"MM")+SUMIFS(Port!AJ:AJ,Port!$C:$C,"Nostro")+SUMIFS(Port!AK:AK,Port!$C:$C,"MM")+SUMIFS(Port!AK:AK,Port!$C:$C,"Nostro")+SUMIFS(Port!AJ:AJ,Port!$C:$C,"PBOC")+SUMIFS(Port!AK:AK,Port!$C:$C,"PBOC")</f>
        <v>3794908.0669141337</v>
      </c>
      <c r="E20" s="329">
        <f t="shared" si="4"/>
        <v>8.1767710074790031E-4</v>
      </c>
      <c r="F20" s="330">
        <f>SUMIFS(Port!AF:AF,Port!$C:$C,"MM",Port!$B:$B,"&lt;&gt;KASIKORNBANK PUBLIC COMPANY LIMITED")+SUMIFS(Port!AF:AF,Port!$C:$C,"Nostro",Port!$B:$B,"&lt;&gt;KASIKORNBANK PUBLIC COMPANY LIMITED")</f>
        <v>2938544836.4634876</v>
      </c>
      <c r="G20" s="330">
        <f>SUMIFS(Port!AG:AG,Port!$C:$C,"MM",Port!$B:$B,"&lt;&gt;KASIKORNBANK PUBLIC COMPANY LIMITED")+SUMIFS(Port!AG:AG,Port!$C:$C,"Nostro",Port!$B:$B,"&lt;&gt;KASIKORNBANK PUBLIC COMPANY LIMITED")</f>
        <v>470252.09616320167</v>
      </c>
      <c r="H20" s="330">
        <f>SUMIFS(Port!AJ:AJ,Port!$C:$C,"MM",Port!$B:$B,"&lt;&gt;KASIKORNBANK PUBLIC COMPANY LIMITED")+SUMIFS(Port!AJ:AJ,Port!$C:$C,"Nostro",Port!$B:$B,"&lt;&gt;KASIKORNBANK PUBLIC COMPANY LIMITED")+SUMIFS(Port!AJ:AJ,Port!$C:$C,"PBOC",Port!$B:$B,"&lt;&gt;KASIKORNBANK PUBLIC COMPANY LIMITED")+SUMIFS(Port!AK:AK,Port!$C:$C,"MM",Port!$B:$B,"&lt;&gt;KASIKORNBANK PUBLIC COMPANY LIMITED")+SUMIFS(Port!AK:AK,Port!$C:$C,"Nostro",Port!$B:$B,"&lt;&gt;KASIKORNBANK PUBLIC COMPANY LIMITED")+SUMIFS(Port!AK:AK,Port!$C:$C,"PBOC",Port!$B:$B,"&lt;&gt;KASIKORNBANK PUBLIC COMPANY LIMITED")</f>
        <v>3619113.8854667512</v>
      </c>
      <c r="I20" s="424">
        <f t="shared" si="5"/>
        <v>1.2316007026873621E-3</v>
      </c>
      <c r="J20" s="331">
        <f>SUMIFS(Port!AF:AF,Port!$C:$C,"MM")+SUMIFS(Port!AF:AF,Port!$C:$C,"Nostro")+SUMIFS(Port!AF:AF,Port!$C:$C,"PBOC")</f>
        <v>4641083947.9827251</v>
      </c>
      <c r="K20" s="328">
        <f>SUMIFS(Port!AR:AR,Port!$C:$C,"MM")+SUMIFS(Port!AR:AR,Port!$C:$C,"Nostro")+SUMIFS(Port!AR:AR,Port!$C:$C,"PBOC")</f>
        <v>3794908.0669141342</v>
      </c>
      <c r="L20" s="428" t="s">
        <v>678</v>
      </c>
    </row>
    <row r="21" spans="1:12" s="335" customFormat="1">
      <c r="A21" s="313" t="s">
        <v>680</v>
      </c>
      <c r="B21" s="328">
        <f>SUMIFS(Port!AF:AF,Port!$C:$C,"Bond")</f>
        <v>18783684513.920475</v>
      </c>
      <c r="C21" s="328">
        <f>SUMIFS(Port!AG:AG,Port!$C:$C,"Bond")</f>
        <v>257164958.82413706</v>
      </c>
      <c r="D21" s="328">
        <f>SUMIFS(Port!AJ:AJ,Port!$C:$C,"Bond")+SUMIFS(Port!AK:AK,Port!$C:$C,"Bond")</f>
        <v>25342289.87481131</v>
      </c>
      <c r="E21" s="329">
        <f t="shared" si="4"/>
        <v>1.3491650083896102E-3</v>
      </c>
      <c r="F21" s="330">
        <f>SUMIFS(Port!AF:AF,Port!$C:$C,"Bond",Port!$B:$B,"&lt;&gt;KASIKORNBANK PUBLIC COMPANY LIMITED")</f>
        <v>18783684513.920475</v>
      </c>
      <c r="G21" s="330">
        <f>SUMIFS(Port!AG:AG,Port!$C:$C,"Bond",Port!$B:$B,"&lt;&gt;KASIKORNBANK PUBLIC COMPANY LIMITED")</f>
        <v>257164958.82413706</v>
      </c>
      <c r="H21" s="330">
        <f>SUMIFS(Port!AJ:AJ,Port!$C:$C,"Bond",Port!$B:$B,"&lt;&gt;KASIKORNBANK PUBLIC COMPANY LIMITED")+SUMIFS(Port!AK:AK,Port!$C:$C,"Bond",Port!$B:$B,"&lt;&gt;KASIKORNBANK PUBLIC COMPANY LIMITED")</f>
        <v>25342289.87481131</v>
      </c>
      <c r="I21" s="424">
        <f t="shared" si="5"/>
        <v>1.3491650083896102E-3</v>
      </c>
      <c r="J21" s="331">
        <f>SUMIFS(Port!AF:AF,Port!$C:$C,"Bond")</f>
        <v>18783684513.920475</v>
      </c>
      <c r="K21" s="328">
        <f>SUMIFS(Port!AR:AR,Port!$C:$C,"Bond")</f>
        <v>25342289.874811307</v>
      </c>
      <c r="L21" s="428" t="s">
        <v>678</v>
      </c>
    </row>
    <row r="22" spans="1:12" s="349" customFormat="1">
      <c r="A22" s="341" t="s">
        <v>681</v>
      </c>
      <c r="B22" s="328">
        <v>0</v>
      </c>
      <c r="C22" s="328">
        <v>0</v>
      </c>
      <c r="D22" s="328">
        <v>0</v>
      </c>
      <c r="E22" s="329" t="e">
        <f t="shared" ref="E22:E23" si="6">D22/B22</f>
        <v>#DIV/0!</v>
      </c>
      <c r="F22" s="345">
        <f t="shared" ref="F22:H23" si="7">B22</f>
        <v>0</v>
      </c>
      <c r="G22" s="345">
        <f t="shared" si="7"/>
        <v>0</v>
      </c>
      <c r="H22" s="345">
        <f t="shared" si="7"/>
        <v>0</v>
      </c>
      <c r="I22" s="424" t="e">
        <f t="shared" ref="I22:I23" si="8">H22/F22</f>
        <v>#DIV/0!</v>
      </c>
      <c r="J22" s="348">
        <f>B22</f>
        <v>0</v>
      </c>
      <c r="K22" s="328">
        <v>0</v>
      </c>
      <c r="L22" s="428" t="s">
        <v>678</v>
      </c>
    </row>
    <row r="23" spans="1:12" s="351" customFormat="1">
      <c r="A23" s="350" t="s">
        <v>682</v>
      </c>
      <c r="B23" s="328">
        <v>0</v>
      </c>
      <c r="C23" s="328">
        <v>0</v>
      </c>
      <c r="D23" s="328">
        <v>0</v>
      </c>
      <c r="E23" s="329" t="e">
        <f t="shared" si="6"/>
        <v>#DIV/0!</v>
      </c>
      <c r="F23" s="345">
        <f t="shared" si="7"/>
        <v>0</v>
      </c>
      <c r="G23" s="345">
        <f t="shared" si="7"/>
        <v>0</v>
      </c>
      <c r="H23" s="345">
        <f t="shared" si="7"/>
        <v>0</v>
      </c>
      <c r="I23" s="424" t="e">
        <f t="shared" si="8"/>
        <v>#DIV/0!</v>
      </c>
      <c r="J23" s="348">
        <f>+B23</f>
        <v>0</v>
      </c>
      <c r="K23" s="328">
        <v>0</v>
      </c>
      <c r="L23" s="429" t="s">
        <v>678</v>
      </c>
    </row>
    <row r="24" spans="1:12" s="351" customFormat="1">
      <c r="A24" s="350" t="s">
        <v>679</v>
      </c>
      <c r="B24" s="328">
        <v>0</v>
      </c>
      <c r="C24" s="328">
        <v>0</v>
      </c>
      <c r="D24" s="328"/>
      <c r="E24" s="329"/>
      <c r="F24" s="345"/>
      <c r="G24" s="345"/>
      <c r="H24" s="345"/>
      <c r="I24" s="424"/>
      <c r="J24" s="348"/>
      <c r="K24" s="348"/>
      <c r="L24" s="429"/>
    </row>
    <row r="25" spans="1:12" s="351" customFormat="1">
      <c r="A25" s="350" t="s">
        <v>680</v>
      </c>
      <c r="B25" s="328">
        <v>0</v>
      </c>
      <c r="C25" s="328">
        <v>0</v>
      </c>
      <c r="D25" s="328"/>
      <c r="E25" s="329"/>
      <c r="F25" s="345"/>
      <c r="G25" s="345"/>
      <c r="H25" s="345"/>
      <c r="I25" s="424"/>
      <c r="J25" s="348"/>
      <c r="K25" s="348"/>
      <c r="L25" s="429"/>
    </row>
    <row r="26" spans="1:12" s="355" customFormat="1">
      <c r="A26" s="352" t="s">
        <v>683</v>
      </c>
      <c r="B26" s="338"/>
      <c r="C26" s="338"/>
      <c r="D26" s="338"/>
      <c r="E26" s="353"/>
      <c r="F26" s="354"/>
      <c r="G26" s="354"/>
      <c r="H26" s="354"/>
      <c r="I26" s="421"/>
      <c r="J26" s="343">
        <f>SUM(J22:J23)</f>
        <v>0</v>
      </c>
      <c r="K26" s="343">
        <f>SUM(K22:K23)</f>
        <v>0</v>
      </c>
      <c r="L26" s="428"/>
    </row>
    <row r="27" spans="1:12" s="355" customFormat="1">
      <c r="A27" s="356" t="s">
        <v>1339</v>
      </c>
      <c r="B27" s="338"/>
      <c r="C27" s="338"/>
      <c r="D27" s="338"/>
      <c r="E27" s="353"/>
      <c r="F27" s="354"/>
      <c r="G27" s="354"/>
      <c r="H27" s="354"/>
      <c r="I27" s="425"/>
      <c r="J27" s="343"/>
      <c r="K27" s="343"/>
      <c r="L27" s="428"/>
    </row>
    <row r="28" spans="1:12" s="355" customFormat="1">
      <c r="A28" s="357" t="s">
        <v>685</v>
      </c>
      <c r="B28" s="338">
        <f>+B15+B17+B18+B19+B20+B21+B23+B24+B25</f>
        <v>85711138344.373886</v>
      </c>
      <c r="C28" s="338">
        <f>+C15+C17+C18+C19+C20+C21+C23+C24+C25</f>
        <v>422917897.82404244</v>
      </c>
      <c r="D28" s="338">
        <f>+D15+D17+D18+D19+D20+D21+D23+D24+D25</f>
        <v>829462191.63974404</v>
      </c>
      <c r="E28" s="329">
        <f t="shared" ref="E28" si="9">D28/B28</f>
        <v>9.6774142504921033E-3</v>
      </c>
      <c r="F28" s="354">
        <f>+F15+F17+F18+F19+F20+F21+F23+F24+F25</f>
        <v>82820953256.854645</v>
      </c>
      <c r="G28" s="354">
        <f t="shared" ref="G28:H28" si="10">+G15+G17+G18+G19+G20+G21+G23+G24+G25</f>
        <v>422314821.67173547</v>
      </c>
      <c r="H28" s="354">
        <f t="shared" si="10"/>
        <v>829255265.49166501</v>
      </c>
      <c r="I28" s="424">
        <f t="shared" ref="I28" si="11">H28/F28</f>
        <v>1.0012626429448057E-2</v>
      </c>
      <c r="J28" s="358">
        <f>+J15+J17+J18+J19+J20+J21+J23+J24+J25</f>
        <v>85711138344.373886</v>
      </c>
      <c r="K28" s="358">
        <f>+K15+K17+K18+K19+K20+K21+K23+K24+K25</f>
        <v>1690627385.8185565</v>
      </c>
      <c r="L28" s="329">
        <f>K28/J28</f>
        <v>1.9724710445751886E-2</v>
      </c>
    </row>
    <row r="29" spans="1:12" s="355" customFormat="1" ht="15.5">
      <c r="A29" s="359" t="s">
        <v>686</v>
      </c>
      <c r="B29" s="339"/>
      <c r="C29" s="339"/>
      <c r="D29" s="360"/>
      <c r="E29" s="361" t="s">
        <v>673</v>
      </c>
      <c r="F29" s="347"/>
      <c r="G29" s="347"/>
      <c r="H29" s="362"/>
      <c r="I29" s="363"/>
      <c r="J29" s="361"/>
      <c r="K29" s="361">
        <f>K28/J28</f>
        <v>1.9724710445751886E-2</v>
      </c>
      <c r="L29" s="361"/>
    </row>
    <row r="30" spans="1:12">
      <c r="B30" s="364">
        <f>+B15+B17+B22</f>
        <v>60165584649.55941</v>
      </c>
      <c r="C30" s="364"/>
      <c r="D30" s="333"/>
      <c r="F30" s="365"/>
      <c r="G30" s="365"/>
      <c r="H30" s="365"/>
      <c r="I30" s="366"/>
      <c r="J30" s="333"/>
      <c r="K30" s="333"/>
      <c r="L30" s="367"/>
    </row>
    <row r="31" spans="1:12">
      <c r="B31" s="333"/>
      <c r="C31" s="333"/>
      <c r="D31" s="333"/>
      <c r="E31" s="368"/>
      <c r="F31" s="369"/>
      <c r="G31" s="369"/>
      <c r="H31" s="369"/>
      <c r="I31" s="370"/>
      <c r="J31" s="371"/>
      <c r="K31" s="371"/>
      <c r="L31" s="367"/>
    </row>
    <row r="32" spans="1:12">
      <c r="A32" s="326" t="s">
        <v>687</v>
      </c>
      <c r="B32" s="333"/>
      <c r="C32" s="333"/>
      <c r="D32" s="333"/>
      <c r="E32" s="368"/>
      <c r="F32" s="369"/>
      <c r="G32" s="369"/>
      <c r="H32" s="372"/>
      <c r="I32" s="370"/>
      <c r="J32" s="373"/>
      <c r="K32" s="373"/>
      <c r="L32" s="333"/>
    </row>
    <row r="33" spans="1:12">
      <c r="A33" s="335" t="s">
        <v>530</v>
      </c>
      <c r="B33" s="374">
        <f>B34+B35+B36</f>
        <v>35069049179.494385</v>
      </c>
      <c r="C33" s="326"/>
      <c r="D33" s="335" t="s">
        <v>688</v>
      </c>
      <c r="E33" s="375">
        <f>(SUMIFS(Port!AL:AL,Port!$C:$C,"Loan")+SUMIFS(Port!AL:AL,Port!$C:$C,"BADD")+SUMIFS(Port!AL:AL,Port!$C:$C,"TF")+SUMIFS(Port!AL:AL,Port!$C:$C,"WCD")+SUMIFS(Port!AL:AL,Port!$C:$C,"AiBank")+SUMIFS(Port!AL:AL,Port!$C:$C,"XBD")+SUMIFS(Port!AL:AL,Port!$C:$C,"OffCN")+SUMIFS(Port!AL:AL,Port!$C:$C,"Yixin")) / (SUMIFS(Port!AF:AF,Port!$C:$C,"Loan")+SUMIFS(Port!AF:AF,Port!$C:$C,"BADD")+SUMIFS(Port!AF:AF,Port!$C:$C,"TF")+SUMIFS(Port!AF:AF,Port!$C:$C,"WCD")+SUMIFS(Port!AF:AF,Port!$C:$C,"AiBank")+SUMIFS(Port!AF:AF,Port!$C:$C,"XBD")+SUMIFS(Port!AF:AF,Port!$C:$C,"OffCN")+SUMIFS(Port!AF:AF,Port!$C:$C,"Yixin"))</f>
        <v>2.1190239882896197E-2</v>
      </c>
      <c r="F33" s="333"/>
      <c r="G33" s="365"/>
      <c r="H33" s="369"/>
      <c r="I33" s="370"/>
      <c r="J33" s="373"/>
      <c r="K33" s="373"/>
      <c r="L33" s="367"/>
    </row>
    <row r="34" spans="1:12">
      <c r="A34" s="335" t="s">
        <v>689</v>
      </c>
      <c r="B34" s="374">
        <f>SUMIFS(Port!AD:AD,Port!$C:$C,"Loan")+SUMIFS(Port!AD:AD,Port!$C:$C,"BADD")+SUMIFS(Port!AD:AD,Port!$C:$C,"TF")+SUMIFS(Port!AD:AD,Port!$C:$C,"WCD")+SUMIFS(Port!AD:AD,Port!$C:$C,"AiBank")+SUMIFS(Port!AD:AD,Port!$C:$C,"XBD")+SUMIFS(Port!AD:AD,Port!$C:$C,"OffCN")+SUMIFS(Port!AD:AD,Port!$C:$C,"Yixin")</f>
        <v>30137010550.695114</v>
      </c>
      <c r="C34" s="376"/>
      <c r="D34" s="335" t="s">
        <v>690</v>
      </c>
      <c r="E34" s="375">
        <f>(SUMIFS(Port!AN:AN,Port!$C:$C,"Loan")+SUMIFS(Port!AN:AN,Port!$C:$C,"BADD")+SUMIFS(Port!AN:AN,Port!$C:$C,"TF")+SUMIFS(Port!AN:AN,Port!$C:$C,"WCD")+SUMIFS(Port!AN:AN,Port!$C:$C,"AiBank")+SUMIFS(Port!AN:AN,Port!$C:$C,"XBD")+SUMIFS(Port!AN:AN,Port!$C:$C,"OffCN")+SUMIFS(Port!AN:AN,Port!$C:$C,"Yixin")) / (SUMIFS(Port!AF:AF,Port!$C:$C,"Loan")+SUMIFS(Port!AF:AF,Port!$C:$C,"BADD")+SUMIFS(Port!AF:AF,Port!$C:$C,"TF")+SUMIFS(Port!AF:AF,Port!$C:$C,"WCD")+SUMIFS(Port!AF:AF,Port!$C:$C,"AiBank")+SUMIFS(Port!AF:AF,Port!$C:$C,"XBD")+SUMIFS(Port!AF:AF,Port!$C:$C,"OffCN")+SUMIFS(Port!AF:AF,Port!$C:$C,"Yixin"))</f>
        <v>0.80126514782288072</v>
      </c>
      <c r="F34" s="333"/>
      <c r="G34" s="369"/>
      <c r="H34" s="365"/>
      <c r="I34" s="370"/>
      <c r="J34" s="333"/>
      <c r="K34" s="333"/>
      <c r="L34" s="367"/>
    </row>
    <row r="35" spans="1:12">
      <c r="A35" s="335" t="s">
        <v>691</v>
      </c>
      <c r="B35" s="374">
        <f>SUMIFS(Port!AE:AE,Port!$C:$C,"Loan")+SUMIFS(Port!AE:AE,Port!$C:$C,"BADD")+SUMIFS(Port!AE:AE,Port!$C:$C,"TF")+SUMIFS(Port!AE:AE,Port!$C:$C,"WCD")+SUMIFS(Port!AE:AE,Port!$C:$C,"AiBank")+SUMIFS(Port!AE:AE,Port!$C:$C,"XBD")+SUMIFS(Port!AE:AE,Port!$C:$C,"OffCN")+SUMIFS(Port!AE:AE,Port!$C:$C,"Yixin")</f>
        <v>2811253395.888</v>
      </c>
      <c r="C35" s="376"/>
      <c r="D35" s="335" t="s">
        <v>662</v>
      </c>
      <c r="E35" s="374">
        <f>(SUMIFS(Port!AJ:AJ,Port!$C:$C,"Loan")+SUMIFS(Port!AJ:AJ,Port!$C:$C,"BADD")+SUMIFS(Port!AJ:AJ,Port!$C:$C,"TF")+SUMIFS(Port!AJ:AJ,Port!$C:$C,"WCD")+SUMIFS(Port!AJ:AJ,Port!$C:$C,"AiBank")+SUMIFS(Port!AJ:AJ,Port!$C:$C,"XBD")+SUMIFS(Port!AJ:AJ,Port!$C:$C,"OffCN")+SUMIFS(Port!AJ:AJ,Port!$C:$C,"Yixin")) + (SUMIFS(Port!AK:AK,Port!$C:$C,"Loan")+SUMIFS(Port!AK:AK,Port!$C:$C,"BADD")+SUMIFS(Port!AK:AK,Port!$C:$C,"TF")+SUMIFS(Port!AK:AK,Port!$C:$C,"WCD")+SUMIFS(Port!AK:AK,Port!$C:$C,"AiBank")+SUMIFS(Port!AK:AK,Port!$C:$C,"XBD")+SUMIFS(Port!AK:AK,Port!$C:$C,"OffCN")+SUMIFS(Port!AK:AK,Port!$C:$C,"Yixin"))</f>
        <v>565273521.13328087</v>
      </c>
      <c r="F35" s="333"/>
      <c r="G35" s="365"/>
      <c r="H35" s="365"/>
      <c r="I35" s="370"/>
      <c r="J35" s="373"/>
      <c r="K35" s="333"/>
      <c r="L35" s="367"/>
    </row>
    <row r="36" spans="1:12" ht="16">
      <c r="A36" s="335" t="s">
        <v>692</v>
      </c>
      <c r="B36" s="377">
        <f>SUMIFS(Port!AD:AD,Port!$C:$C,"Contingent")</f>
        <v>2120785232.9112675</v>
      </c>
      <c r="C36" s="376"/>
      <c r="D36" s="335" t="s">
        <v>693</v>
      </c>
      <c r="E36" s="374">
        <f>SUMIFS(Port!AI:AI,Port!$C:$C,"Loan")+SUMIFS(Port!AI:AI,Port!$C:$C,"BADD")+SUMIFS(Port!AI:AI,Port!$C:$C,"TF")+SUMIFS(Port!AI:AI,Port!$C:$C,"WCD")+SUMIFS(Port!AI:AI,Port!$C:$C,"AiBank")+SUMIFS(Port!AI:AI,Port!$C:$C,"XBD")+SUMIFS(Port!AI:AI,Port!$C:$C,"OffCN")+SUMIFS(Port!AI:AI,Port!$C:$C,"Yixin")</f>
        <v>7660156.4567999998</v>
      </c>
      <c r="F36" s="333"/>
      <c r="G36" s="365"/>
      <c r="H36" s="365"/>
      <c r="I36" s="370"/>
      <c r="J36" s="378"/>
      <c r="K36" s="333"/>
      <c r="L36" s="367"/>
    </row>
    <row r="37" spans="1:12">
      <c r="A37" s="335" t="s">
        <v>694</v>
      </c>
      <c r="B37" s="377">
        <f>SUMIFS(Port!AE:AE,Port!$C:$C,"Loan")+SUMIFS(Port!AE:AE,Port!$C:$C,"BADD")+SUMIFS(Port!AE:AE,Port!$C:$C,"TF")+SUMIFS(Port!AE:AE,Port!$C:$C,"WCD")+SUMIFS(Port!AE:AE,Port!$C:$C,"AiBank")+SUMIFS(Port!AE:AE,Port!$C:$C,"XBD")+SUMIFS(Port!AE:AE,Port!$C:$C,"OffCN")+SUMIFS(Port!AE:AE,Port!$C:$C,"Yixin")</f>
        <v>2811253395.888</v>
      </c>
      <c r="C37" s="333"/>
      <c r="D37" s="335" t="s">
        <v>695</v>
      </c>
      <c r="E37" s="374">
        <f>(SUMIFS(Port!AJ:AJ,Port!$C:$C,"Loan")+SUMIFS(Port!AJ:AJ,Port!$C:$C,"BADD")+SUMIFS(Port!AJ:AJ,Port!$C:$C,"TF")+SUMIFS(Port!AJ:AJ,Port!$C:$C,"WCD")+SUMIFS(Port!AJ:AJ,Port!$C:$C,"AiBank")+SUMIFS(Port!AJ:AJ,Port!$C:$C,"XBD")+SUMIFS(Port!AJ:AJ,Port!$C:$C,"OffCN")+SUMIFS(Port!AJ:AJ,Port!$C:$C,"Yixin")) + (SUMIFS(Port!AK:AK,Port!$C:$C,"Loan")+SUMIFS(Port!AK:AK,Port!$C:$C,"BADD")+SUMIFS(Port!AK:AK,Port!$C:$C,"TF")+SUMIFS(Port!AK:AK,Port!$C:$C,"WCD")+SUMIFS(Port!AK:AK,Port!$C:$C,"AiBank")+SUMIFS(Port!AK:AK,Port!$C:$C,"XBD")+SUMIFS(Port!AK:AK,Port!$C:$C,"OffCN")+SUMIFS(Port!AK:AK,Port!$C:$C,"Yixin"))</f>
        <v>565273521.13328087</v>
      </c>
      <c r="F37" s="333"/>
      <c r="G37" s="369"/>
      <c r="H37" s="365"/>
      <c r="I37" s="370"/>
      <c r="J37" s="333"/>
      <c r="K37" s="333"/>
      <c r="L37" s="367"/>
    </row>
    <row r="38" spans="1:12">
      <c r="A38" s="335" t="s">
        <v>696</v>
      </c>
      <c r="B38" s="377">
        <f>SUMIFS(Port!AE:AE,Port!$C:$C,"Loan")+SUMIFS(Port!AE:AE,Port!$C:$C,"BADD")+SUMIFS(Port!AE:AE,Port!$C:$C,"TF")+SUMIFS(Port!AE:AE,Port!$C:$C,"WCD")+SUMIFS(Port!AE:AE,Port!$C:$C,"AiBank")+SUMIFS(Port!AE:AE,Port!$C:$C,"XBD")+SUMIFS(Port!AE:AE,Port!$C:$C,"OffCN")+SUMIFS(Port!AE:AE,Port!$C:$C,"Yixin")+SUMIFS(Port!AE:AE,Port!$C:$C,"Contingent")</f>
        <v>2811253395.888</v>
      </c>
      <c r="C38" s="333"/>
      <c r="D38" s="335" t="s">
        <v>697</v>
      </c>
      <c r="E38" s="374">
        <f>SUMIFS(Port!AJ:AJ,Port!$C:$C,"Contingent")</f>
        <v>9074595.4754623789</v>
      </c>
      <c r="F38" s="333"/>
      <c r="G38" s="365"/>
      <c r="H38" s="365"/>
      <c r="I38" s="370"/>
      <c r="J38" s="333"/>
      <c r="K38" s="333"/>
      <c r="L38" s="367"/>
    </row>
    <row r="39" spans="1:12">
      <c r="A39" s="335" t="s">
        <v>698</v>
      </c>
      <c r="B39" s="379">
        <v>0</v>
      </c>
      <c r="C39" s="333"/>
      <c r="D39" s="335"/>
      <c r="E39" s="380"/>
      <c r="F39" s="381"/>
      <c r="G39" s="381"/>
      <c r="H39" s="365"/>
      <c r="I39" s="370"/>
      <c r="J39" s="333"/>
      <c r="K39" s="333"/>
      <c r="L39" s="367"/>
    </row>
    <row r="40" spans="1:12">
      <c r="A40" s="335"/>
      <c r="B40" s="333"/>
      <c r="C40" s="333"/>
      <c r="D40" s="335"/>
      <c r="E40" s="380"/>
      <c r="F40" s="381"/>
      <c r="G40" s="381"/>
      <c r="H40" s="365"/>
      <c r="I40" s="370"/>
      <c r="J40" s="333"/>
      <c r="K40" s="333"/>
      <c r="L40" s="367"/>
    </row>
    <row r="41" spans="1:12">
      <c r="A41" s="382"/>
      <c r="B41" s="382"/>
      <c r="C41" s="382"/>
      <c r="D41" s="382"/>
      <c r="E41" s="383"/>
      <c r="F41" s="384"/>
      <c r="G41" s="384"/>
      <c r="H41" s="382"/>
      <c r="I41" s="383"/>
      <c r="J41" s="383"/>
      <c r="K41" s="385"/>
      <c r="L41" s="385"/>
    </row>
    <row r="42" spans="1:12" s="335" customFormat="1" ht="26.5">
      <c r="A42" s="387" t="s">
        <v>699</v>
      </c>
      <c r="B42" s="388" t="s">
        <v>700</v>
      </c>
      <c r="C42" s="388" t="s">
        <v>701</v>
      </c>
      <c r="D42" s="388" t="s">
        <v>702</v>
      </c>
      <c r="E42" s="389" t="s">
        <v>703</v>
      </c>
      <c r="F42" s="390" t="s">
        <v>704</v>
      </c>
      <c r="G42" s="391"/>
      <c r="H42" s="431"/>
      <c r="I42" s="432"/>
      <c r="J42" s="431"/>
      <c r="K42" s="392"/>
      <c r="L42" s="392"/>
    </row>
    <row r="43" spans="1:12">
      <c r="A43" s="393" t="s">
        <v>705</v>
      </c>
      <c r="B43" s="394">
        <v>1202501</v>
      </c>
      <c r="C43" s="395">
        <f>B4</f>
        <v>22972494193.908798</v>
      </c>
      <c r="D43" s="414">
        <f>MAX(D4,K4)</f>
        <v>424189620.17658496</v>
      </c>
      <c r="E43" s="415">
        <v>0</v>
      </c>
      <c r="F43" s="416">
        <v>347333283.12321806</v>
      </c>
      <c r="G43" s="396"/>
      <c r="H43" s="433"/>
      <c r="I43" s="434"/>
      <c r="J43" s="433"/>
      <c r="K43" s="397"/>
      <c r="L43" s="397"/>
    </row>
    <row r="44" spans="1:12">
      <c r="A44" s="393" t="s">
        <v>706</v>
      </c>
      <c r="B44" s="394">
        <v>1202501</v>
      </c>
      <c r="C44" s="395">
        <f>B9</f>
        <v>3716944061.3902206</v>
      </c>
      <c r="D44" s="414">
        <f>MAX(D9,K9)</f>
        <v>374088059.14986807</v>
      </c>
      <c r="E44" s="398">
        <v>0</v>
      </c>
      <c r="F44" s="399">
        <v>34062851.299049996</v>
      </c>
      <c r="G44" s="396"/>
      <c r="H44" s="433"/>
      <c r="I44" s="434"/>
      <c r="J44" s="433"/>
      <c r="K44" s="397"/>
      <c r="L44" s="397"/>
    </row>
    <row r="45" spans="1:12">
      <c r="A45" s="393" t="s">
        <v>707</v>
      </c>
      <c r="B45" s="394"/>
      <c r="C45" s="395">
        <f>B10+B11+B12+B13</f>
        <v>6243549320.274332</v>
      </c>
      <c r="D45" s="414">
        <f>MAX(D10+D11+D12+D13,K10+K11+K12+K13)</f>
        <v>624468142.63565671</v>
      </c>
      <c r="E45" s="398">
        <v>0</v>
      </c>
      <c r="F45" s="399">
        <v>113001390.85475799</v>
      </c>
      <c r="G45" s="396"/>
      <c r="H45" s="433"/>
      <c r="I45" s="434"/>
      <c r="J45" s="433"/>
      <c r="K45" s="397"/>
      <c r="L45" s="397"/>
    </row>
    <row r="46" spans="1:12">
      <c r="A46" s="393" t="s">
        <v>667</v>
      </c>
      <c r="B46" s="394">
        <v>1202501</v>
      </c>
      <c r="C46" s="395">
        <f>B6</f>
        <v>37566867.406823993</v>
      </c>
      <c r="D46" s="414">
        <f>MAX(D6,K6)</f>
        <v>910525.9446358094</v>
      </c>
      <c r="E46" s="398">
        <v>0</v>
      </c>
      <c r="F46" s="399">
        <v>137642.78051999997</v>
      </c>
      <c r="G46" s="396"/>
      <c r="H46" s="433"/>
      <c r="I46" s="434"/>
      <c r="J46" s="433"/>
      <c r="K46" s="397"/>
      <c r="L46" s="397"/>
    </row>
    <row r="47" spans="1:12">
      <c r="A47" s="393" t="s">
        <v>708</v>
      </c>
      <c r="B47" s="394">
        <v>1202503</v>
      </c>
      <c r="C47" s="395">
        <f>B7</f>
        <v>15276371.00976</v>
      </c>
      <c r="D47" s="414">
        <f>MAX(D7,K7)</f>
        <v>1338654.9462567691</v>
      </c>
      <c r="E47" s="398">
        <v>0</v>
      </c>
      <c r="F47" s="399">
        <v>18599267.409589998</v>
      </c>
      <c r="G47" s="396"/>
      <c r="H47" s="433"/>
      <c r="I47" s="434"/>
      <c r="J47" s="433"/>
      <c r="K47" s="397"/>
      <c r="L47" s="397"/>
    </row>
    <row r="48" spans="1:12">
      <c r="A48" s="400" t="s">
        <v>709</v>
      </c>
      <c r="B48" s="394"/>
      <c r="C48" s="395">
        <f>SUM(C43:C47)</f>
        <v>32985830813.989933</v>
      </c>
      <c r="D48" s="395">
        <f>SUM(D43:D47)</f>
        <v>1424995002.8530023</v>
      </c>
      <c r="E48" s="395">
        <f>2480600.818094*(1+(COUNTA(Port!G:G)-COUNTIF(Port!G:G,"CNY"))/COUNTA(Port!G:G)/10)</f>
        <v>2527990.4252907895</v>
      </c>
      <c r="F48" s="395">
        <f>SUM(F43:F47)</f>
        <v>513134435.46713609</v>
      </c>
      <c r="G48" s="396"/>
      <c r="H48" s="440"/>
      <c r="I48" s="441"/>
      <c r="J48" s="433"/>
      <c r="K48" s="397"/>
      <c r="L48" s="397"/>
    </row>
    <row r="49" spans="1:12">
      <c r="A49" s="393" t="s">
        <v>676</v>
      </c>
      <c r="B49" s="394">
        <v>1201751</v>
      </c>
      <c r="C49" s="395">
        <f>B18</f>
        <v>0</v>
      </c>
      <c r="D49" s="414">
        <f>MAX(D18,K18)</f>
        <v>0</v>
      </c>
      <c r="E49" s="395">
        <v>0</v>
      </c>
      <c r="F49" s="399">
        <v>5548963.8407279998</v>
      </c>
      <c r="G49" s="396"/>
      <c r="H49" s="433"/>
      <c r="I49" s="434"/>
      <c r="J49" s="433"/>
      <c r="K49" s="397"/>
      <c r="L49" s="397"/>
    </row>
    <row r="50" spans="1:12">
      <c r="A50" s="401" t="s">
        <v>675</v>
      </c>
      <c r="B50" s="402" t="s">
        <v>710</v>
      </c>
      <c r="C50" s="395">
        <f>B17</f>
        <v>25689597599.519997</v>
      </c>
      <c r="D50" s="414">
        <f>MAX(D17,K17)</f>
        <v>201037900.08050627</v>
      </c>
      <c r="E50" s="395">
        <v>0</v>
      </c>
      <c r="F50" s="399">
        <v>120398507.53238</v>
      </c>
      <c r="G50" s="403"/>
      <c r="H50" s="435"/>
      <c r="I50" s="436"/>
      <c r="J50" s="436"/>
      <c r="K50" s="404"/>
      <c r="L50" s="405"/>
    </row>
    <row r="51" spans="1:12">
      <c r="A51" s="406" t="s">
        <v>711</v>
      </c>
      <c r="B51" s="407" t="s">
        <v>712</v>
      </c>
      <c r="C51" s="395">
        <f>B19+B20</f>
        <v>6761869180.8939924</v>
      </c>
      <c r="D51" s="414">
        <f>MAX(D19+D20,K19+K20)</f>
        <v>12869503.542376513</v>
      </c>
      <c r="E51" s="395">
        <f>6921821.175472*(1+(COUNTA(Port!G:G)-COUNTIF(Port!G:G,"CNY"))/COUNTA(Port!G:G)/10)</f>
        <v>7054056.2308663921</v>
      </c>
      <c r="F51" s="399">
        <v>6921821.1754719997</v>
      </c>
      <c r="G51" s="384"/>
      <c r="H51" s="437"/>
      <c r="I51" s="438"/>
      <c r="J51" s="438"/>
      <c r="K51" s="385"/>
      <c r="L51" s="385"/>
    </row>
    <row r="52" spans="1:12">
      <c r="A52" s="401" t="s">
        <v>680</v>
      </c>
      <c r="B52" s="408" t="s">
        <v>710</v>
      </c>
      <c r="C52" s="395">
        <f>B21</f>
        <v>18783684513.920475</v>
      </c>
      <c r="D52" s="430">
        <f>MAX(D21,K21)</f>
        <v>25342289.87481131</v>
      </c>
      <c r="E52" s="409">
        <v>0</v>
      </c>
      <c r="F52" s="399">
        <v>6004443.2504559997</v>
      </c>
      <c r="G52" s="403"/>
      <c r="H52" s="435"/>
      <c r="I52" s="436"/>
      <c r="J52" s="436"/>
      <c r="K52" s="404"/>
      <c r="L52" s="404"/>
    </row>
    <row r="53" spans="1:12">
      <c r="H53" s="439"/>
      <c r="I53" s="439"/>
      <c r="J53" s="439"/>
    </row>
    <row r="97" spans="1:2">
      <c r="A97" s="410" t="s">
        <v>713</v>
      </c>
      <c r="B97" s="410" t="s">
        <v>714</v>
      </c>
    </row>
    <row r="98" spans="1:2">
      <c r="A98" s="411" t="s">
        <v>715</v>
      </c>
      <c r="B98" s="412">
        <v>4.6521999999999997</v>
      </c>
    </row>
    <row r="99" spans="1:2">
      <c r="A99" s="411" t="s">
        <v>57</v>
      </c>
      <c r="B99" s="412">
        <v>6.7232000000000003</v>
      </c>
    </row>
    <row r="100" spans="1:2">
      <c r="A100" s="411" t="s">
        <v>164</v>
      </c>
      <c r="B100" s="412">
        <v>0.86721999999999999</v>
      </c>
    </row>
    <row r="101" spans="1:2">
      <c r="A101" s="411" t="s">
        <v>170</v>
      </c>
      <c r="B101" s="413">
        <f>1/4.6466</f>
        <v>0.21521112211079066</v>
      </c>
    </row>
    <row r="102" spans="1:2">
      <c r="A102" s="411" t="s">
        <v>716</v>
      </c>
      <c r="B102" s="413">
        <v>6.4268000000000006E-2</v>
      </c>
    </row>
    <row r="103" spans="1:2">
      <c r="A103" s="411" t="s">
        <v>21</v>
      </c>
      <c r="B103" s="412">
        <v>1</v>
      </c>
    </row>
  </sheetData>
  <mergeCells count="3">
    <mergeCell ref="B1:E1"/>
    <mergeCell ref="F1:I1"/>
    <mergeCell ref="J1:L1"/>
  </mergeCells>
  <phoneticPr fontId="61" type="noConversion"/>
  <pageMargins left="0.7" right="0.7" top="0.75" bottom="0.75" header="0.3" footer="0.3"/>
  <pageSetup paperSize="9" orientation="portrait" horizontalDpi="1200" verticalDpi="1200" r:id="rId1"/>
  <ignoredErrors>
    <ignoredError sqref="I9:I14 E9:E10 E12:E14 E5:E7 I5:I7" evalError="1"/>
    <ignoredError sqref="E15:F15 F16:H16 B36 E36 E48 F22:H27 F17:G17 F18:G18 F19:G19 F20:G20 F21:G21 F28 H15" formula="1"/>
    <ignoredError sqref="E16:E28 I15:I28" evalError="1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8BCCB-47DC-4593-B72B-488FDA1F8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Path</vt:lpstr>
      <vt:lpstr>Port</vt:lpstr>
      <vt:lpstr>Compare</vt:lpstr>
      <vt:lpstr>CBIRC param</vt:lpstr>
      <vt:lpstr>Result</vt:lpstr>
      <vt:lpstr>CLPIL_NEW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Korkiat Sermsaksakul</dc:creator>
  <cp:lastModifiedBy>Korkiat Sermsakskul</cp:lastModifiedBy>
  <dcterms:created xsi:type="dcterms:W3CDTF">2015-06-05T18:17:20Z</dcterms:created>
  <dcterms:modified xsi:type="dcterms:W3CDTF">2022-01-24T11:01:50Z</dcterms:modified>
</cp:coreProperties>
</file>