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alita.li\KASIKORNBANKGROUP\Nut Trathitephun - Kbank China\16. Quantitative Framework\Quanti for each partner\"/>
    </mc:Choice>
  </mc:AlternateContent>
  <bookViews>
    <workbookView xWindow="0" yWindow="0" windowWidth="19200" windowHeight="6470" activeTab="4"/>
  </bookViews>
  <sheets>
    <sheet name="XZQJ" sheetId="10" r:id="rId1"/>
    <sheet name="Prediction_XZQJ" sheetId="11" r:id="rId2"/>
    <sheet name="V2" sheetId="9" r:id="rId3"/>
    <sheet name="Summary" sheetId="1" r:id="rId4"/>
    <sheet name="Output&amp;Input" sheetId="2" r:id="rId5"/>
    <sheet name="probability(B)" sheetId="3" r:id="rId6"/>
    <sheet name="Forecast" sheetId="4" r:id="rId7"/>
    <sheet name="Offcn_40" sheetId="7" r:id="rId8"/>
    <sheet name="Prediction_Offcn (2)" sheetId="8" r:id="rId9"/>
    <sheet name="Offcn" sheetId="5" r:id="rId10"/>
    <sheet name="Prediction_Offcn" sheetId="6" r:id="rId11"/>
  </sheets>
  <externalReferences>
    <externalReference r:id="rId12"/>
  </externalReferences>
  <definedNames>
    <definedName name="AnnualCashFlowToDate">[1]!tblIncome[[#Totals],[年度  ]]-[1]!tblExpenses[[#Totals],[年度  ]]-[1]!tblDiscretionary[[#Totals],[年度  ]]-[1]!tblSavings[[#Totals],[年度  ]]</definedName>
    <definedName name="DailyCashFlow">SUM([1]!tblDailyTotals[每天])</definedName>
    <definedName name="MonthlyCashFlowToDate">[1]!tblMontly[[#Totals],[ 总计]]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0" i="2" l="1"/>
  <c r="H4" i="11"/>
  <c r="F143" i="2"/>
  <c r="G4" i="11"/>
  <c r="F11" i="11" a="1"/>
  <c r="K12" i="11"/>
  <c r="G17" i="11"/>
  <c r="F150" i="2"/>
  <c r="F149" i="2"/>
  <c r="F153" i="2"/>
  <c r="F147" i="2"/>
  <c r="F148" i="2"/>
  <c r="F146" i="2"/>
  <c r="F11" i="2"/>
  <c r="F4" i="11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Z80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Z81" i="10"/>
  <c r="G5" i="11"/>
  <c r="H5" i="11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Z82" i="10"/>
  <c r="H6" i="11"/>
  <c r="I6" i="11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Z83" i="10"/>
  <c r="K7" i="11"/>
  <c r="I7" i="11"/>
  <c r="J7" i="11"/>
  <c r="G40" i="11"/>
  <c r="K13" i="11"/>
  <c r="H40" i="11"/>
  <c r="I62" i="11"/>
  <c r="K62" i="11"/>
  <c r="H62" i="11"/>
  <c r="I61" i="11"/>
  <c r="K61" i="11"/>
  <c r="H61" i="11"/>
  <c r="I60" i="11"/>
  <c r="K60" i="11"/>
  <c r="H60" i="11"/>
  <c r="I59" i="11"/>
  <c r="K59" i="11"/>
  <c r="H59" i="11"/>
  <c r="I58" i="11"/>
  <c r="K58" i="11"/>
  <c r="H58" i="11"/>
  <c r="I57" i="11"/>
  <c r="K57" i="11"/>
  <c r="H57" i="11"/>
  <c r="I56" i="11"/>
  <c r="K56" i="11"/>
  <c r="H56" i="11"/>
  <c r="I55" i="11"/>
  <c r="K55" i="11"/>
  <c r="H55" i="11"/>
  <c r="I54" i="11"/>
  <c r="K54" i="11"/>
  <c r="H54" i="11"/>
  <c r="I53" i="11"/>
  <c r="K53" i="11"/>
  <c r="K14" i="11"/>
  <c r="I40" i="11"/>
  <c r="H53" i="11"/>
  <c r="F36" i="11"/>
  <c r="P36" i="11"/>
  <c r="P40" i="11"/>
  <c r="P44" i="11"/>
  <c r="G36" i="11"/>
  <c r="Q36" i="11"/>
  <c r="P4" i="11"/>
  <c r="AA80" i="10"/>
  <c r="R4" i="11"/>
  <c r="Q4" i="11"/>
  <c r="AA81" i="10"/>
  <c r="S5" i="11"/>
  <c r="Q5" i="11"/>
  <c r="R5" i="11"/>
  <c r="Q6" i="11"/>
  <c r="AA82" i="10"/>
  <c r="T6" i="11"/>
  <c r="R6" i="11"/>
  <c r="S6" i="11"/>
  <c r="U6" i="11"/>
  <c r="Q7" i="11"/>
  <c r="R7" i="11"/>
  <c r="S7" i="11"/>
  <c r="T7" i="11"/>
  <c r="U7" i="11"/>
  <c r="P11" i="11" a="1"/>
  <c r="U12" i="11"/>
  <c r="Q17" i="11"/>
  <c r="Q40" i="11"/>
  <c r="Q44" i="11"/>
  <c r="H36" i="11"/>
  <c r="R36" i="11"/>
  <c r="U13" i="11"/>
  <c r="R17" i="11"/>
  <c r="R40" i="11"/>
  <c r="R44" i="11"/>
  <c r="I36" i="11"/>
  <c r="S36" i="11"/>
  <c r="U14" i="11"/>
  <c r="S17" i="11"/>
  <c r="S40" i="11"/>
  <c r="S44" i="11"/>
  <c r="J36" i="11"/>
  <c r="T36" i="11"/>
  <c r="U15" i="11"/>
  <c r="T17" i="11"/>
  <c r="T40" i="11"/>
  <c r="T44" i="11"/>
  <c r="K36" i="11"/>
  <c r="U36" i="11"/>
  <c r="U16" i="11"/>
  <c r="U17" i="11"/>
  <c r="U40" i="11"/>
  <c r="U44" i="11"/>
  <c r="V44" i="11"/>
  <c r="V46" i="11"/>
  <c r="P48" i="11"/>
  <c r="K11" i="11"/>
  <c r="F40" i="11"/>
  <c r="F44" i="11"/>
  <c r="G44" i="11"/>
  <c r="H44" i="11"/>
  <c r="I44" i="11"/>
  <c r="K15" i="11"/>
  <c r="J40" i="11"/>
  <c r="J44" i="11"/>
  <c r="K16" i="11"/>
  <c r="K40" i="11"/>
  <c r="K44" i="11"/>
  <c r="L44" i="11"/>
  <c r="L46" i="11"/>
  <c r="F48" i="11"/>
  <c r="U46" i="11"/>
  <c r="T46" i="11"/>
  <c r="S46" i="11"/>
  <c r="R46" i="11"/>
  <c r="Q46" i="11"/>
  <c r="P46" i="11"/>
  <c r="K46" i="11"/>
  <c r="J46" i="11"/>
  <c r="I46" i="11"/>
  <c r="H46" i="11"/>
  <c r="G46" i="11"/>
  <c r="K18" i="11"/>
  <c r="K27" i="11"/>
  <c r="K35" i="11"/>
  <c r="U35" i="11"/>
  <c r="J18" i="11"/>
  <c r="J27" i="11"/>
  <c r="J35" i="11"/>
  <c r="T35" i="11"/>
  <c r="I18" i="11"/>
  <c r="I27" i="11"/>
  <c r="I35" i="11"/>
  <c r="S35" i="11"/>
  <c r="H18" i="11"/>
  <c r="H27" i="11"/>
  <c r="H35" i="11"/>
  <c r="R35" i="11"/>
  <c r="O8" i="11"/>
  <c r="O33" i="11"/>
  <c r="E24" i="11"/>
  <c r="E33" i="11"/>
  <c r="O7" i="11"/>
  <c r="O32" i="11"/>
  <c r="E23" i="11"/>
  <c r="E32" i="11"/>
  <c r="O6" i="11"/>
  <c r="O31" i="11"/>
  <c r="E22" i="11"/>
  <c r="E31" i="11"/>
  <c r="O5" i="11"/>
  <c r="O30" i="11"/>
  <c r="E21" i="11"/>
  <c r="E30" i="11"/>
  <c r="O4" i="11"/>
  <c r="O29" i="11"/>
  <c r="E20" i="11"/>
  <c r="E29" i="11"/>
  <c r="P20" i="11"/>
  <c r="R20" i="11"/>
  <c r="Q20" i="11"/>
  <c r="Q21" i="11"/>
  <c r="R21" i="11"/>
  <c r="S21" i="11"/>
  <c r="Q22" i="11"/>
  <c r="T22" i="11"/>
  <c r="R22" i="11"/>
  <c r="S22" i="11"/>
  <c r="U22" i="11"/>
  <c r="Q23" i="11"/>
  <c r="R23" i="11"/>
  <c r="I23" i="11"/>
  <c r="S23" i="11"/>
  <c r="J23" i="11"/>
  <c r="T23" i="11"/>
  <c r="U23" i="11"/>
  <c r="P28" i="11" a="1"/>
  <c r="P28" i="11"/>
  <c r="Q28" i="11"/>
  <c r="R28" i="11"/>
  <c r="S28" i="11"/>
  <c r="T28" i="11"/>
  <c r="U28" i="11"/>
  <c r="P29" i="11"/>
  <c r="Q29" i="11"/>
  <c r="R29" i="11"/>
  <c r="S29" i="11"/>
  <c r="T29" i="11"/>
  <c r="U29" i="11"/>
  <c r="P30" i="11"/>
  <c r="Q30" i="11"/>
  <c r="R30" i="11"/>
  <c r="S30" i="11"/>
  <c r="T30" i="11"/>
  <c r="U30" i="11"/>
  <c r="P31" i="11"/>
  <c r="Q31" i="11"/>
  <c r="R31" i="11"/>
  <c r="S31" i="11"/>
  <c r="T31" i="11"/>
  <c r="U31" i="11"/>
  <c r="P32" i="11"/>
  <c r="Q32" i="11"/>
  <c r="R32" i="11"/>
  <c r="S32" i="11"/>
  <c r="T32" i="11"/>
  <c r="U32" i="11"/>
  <c r="P33" i="11"/>
  <c r="Q33" i="11"/>
  <c r="R33" i="11"/>
  <c r="S33" i="11"/>
  <c r="T33" i="11"/>
  <c r="U33" i="11"/>
  <c r="O3" i="11"/>
  <c r="O28" i="11"/>
  <c r="F20" i="11"/>
  <c r="H20" i="11"/>
  <c r="G20" i="11"/>
  <c r="G21" i="11"/>
  <c r="H21" i="11"/>
  <c r="I21" i="11"/>
  <c r="J22" i="11"/>
  <c r="H22" i="11"/>
  <c r="I22" i="11"/>
  <c r="F28" i="11" a="1"/>
  <c r="F28" i="11"/>
  <c r="G28" i="11"/>
  <c r="H28" i="11"/>
  <c r="I28" i="11"/>
  <c r="J28" i="11"/>
  <c r="K28" i="11"/>
  <c r="F29" i="11"/>
  <c r="G29" i="11"/>
  <c r="H29" i="11"/>
  <c r="I29" i="11"/>
  <c r="J29" i="11"/>
  <c r="K29" i="11"/>
  <c r="F30" i="11"/>
  <c r="G30" i="11"/>
  <c r="H30" i="11"/>
  <c r="I30" i="11"/>
  <c r="J30" i="11"/>
  <c r="K30" i="11"/>
  <c r="F31" i="11"/>
  <c r="G31" i="11"/>
  <c r="H31" i="11"/>
  <c r="I31" i="11"/>
  <c r="J31" i="11"/>
  <c r="K31" i="11"/>
  <c r="F32" i="11"/>
  <c r="G32" i="11"/>
  <c r="H32" i="11"/>
  <c r="I32" i="11"/>
  <c r="J32" i="11"/>
  <c r="K32" i="11"/>
  <c r="F33" i="11"/>
  <c r="G33" i="11"/>
  <c r="H33" i="11"/>
  <c r="I33" i="11"/>
  <c r="J33" i="11"/>
  <c r="K33" i="11"/>
  <c r="E19" i="11"/>
  <c r="E28" i="11"/>
  <c r="U2" i="11"/>
  <c r="U27" i="11"/>
  <c r="T2" i="11"/>
  <c r="T27" i="11"/>
  <c r="S2" i="11"/>
  <c r="S27" i="11"/>
  <c r="R2" i="11"/>
  <c r="R27" i="11"/>
  <c r="Q2" i="11"/>
  <c r="Q27" i="11"/>
  <c r="P2" i="11"/>
  <c r="P27" i="11"/>
  <c r="G18" i="11"/>
  <c r="G27" i="11"/>
  <c r="F18" i="11"/>
  <c r="F27" i="11"/>
  <c r="O24" i="11"/>
  <c r="O23" i="11"/>
  <c r="O22" i="11"/>
  <c r="O21" i="11"/>
  <c r="O20" i="11"/>
  <c r="O19" i="11"/>
  <c r="U18" i="11"/>
  <c r="T18" i="11"/>
  <c r="S18" i="11"/>
  <c r="R18" i="11"/>
  <c r="Q18" i="11"/>
  <c r="P18" i="11"/>
  <c r="H18" i="10"/>
  <c r="H72" i="10"/>
  <c r="I18" i="10"/>
  <c r="I72" i="10"/>
  <c r="J18" i="10"/>
  <c r="J72" i="10"/>
  <c r="K18" i="10"/>
  <c r="K72" i="10"/>
  <c r="L18" i="10"/>
  <c r="L72" i="10"/>
  <c r="M18" i="10"/>
  <c r="M72" i="10"/>
  <c r="N18" i="10"/>
  <c r="N72" i="10"/>
  <c r="O18" i="10"/>
  <c r="O72" i="10"/>
  <c r="AA72" i="10"/>
  <c r="B18" i="11"/>
  <c r="K17" i="11"/>
  <c r="J17" i="11"/>
  <c r="I17" i="11"/>
  <c r="H17" i="11"/>
  <c r="P18" i="10"/>
  <c r="P72" i="10"/>
  <c r="Q18" i="10"/>
  <c r="Q72" i="10"/>
  <c r="R18" i="10"/>
  <c r="R72" i="10"/>
  <c r="S18" i="10"/>
  <c r="S72" i="10"/>
  <c r="T18" i="10"/>
  <c r="T72" i="10"/>
  <c r="U18" i="10"/>
  <c r="U72" i="10"/>
  <c r="V18" i="10"/>
  <c r="V72" i="10"/>
  <c r="W18" i="10"/>
  <c r="W72" i="10"/>
  <c r="Z72" i="10"/>
  <c r="B17" i="11"/>
  <c r="O16" i="11"/>
  <c r="E16" i="11"/>
  <c r="O15" i="11"/>
  <c r="E15" i="11"/>
  <c r="O14" i="11"/>
  <c r="E14" i="11"/>
  <c r="O13" i="11"/>
  <c r="E13" i="11"/>
  <c r="O12" i="11"/>
  <c r="E12" i="11"/>
  <c r="T16" i="11"/>
  <c r="S16" i="11"/>
  <c r="R16" i="11"/>
  <c r="Q16" i="11"/>
  <c r="P16" i="11"/>
  <c r="T15" i="11"/>
  <c r="S15" i="11"/>
  <c r="R15" i="11"/>
  <c r="Q15" i="11"/>
  <c r="P15" i="11"/>
  <c r="T14" i="11"/>
  <c r="S14" i="11"/>
  <c r="R14" i="11"/>
  <c r="Q14" i="11"/>
  <c r="P14" i="11"/>
  <c r="T13" i="11"/>
  <c r="S13" i="11"/>
  <c r="R13" i="11"/>
  <c r="Q13" i="11"/>
  <c r="P13" i="11"/>
  <c r="T12" i="11"/>
  <c r="S12" i="11"/>
  <c r="R12" i="11"/>
  <c r="Q12" i="11"/>
  <c r="P12" i="11"/>
  <c r="U11" i="11"/>
  <c r="T11" i="11"/>
  <c r="S11" i="11"/>
  <c r="R11" i="11"/>
  <c r="Q11" i="11"/>
  <c r="P11" i="11"/>
  <c r="O11" i="11"/>
  <c r="J16" i="11"/>
  <c r="I16" i="11"/>
  <c r="H16" i="11"/>
  <c r="G16" i="11"/>
  <c r="F16" i="11"/>
  <c r="J15" i="11"/>
  <c r="I15" i="11"/>
  <c r="H15" i="11"/>
  <c r="G15" i="11"/>
  <c r="F15" i="11"/>
  <c r="J14" i="11"/>
  <c r="I14" i="11"/>
  <c r="H14" i="11"/>
  <c r="G14" i="11"/>
  <c r="F14" i="11"/>
  <c r="J13" i="11"/>
  <c r="I13" i="11"/>
  <c r="H13" i="11"/>
  <c r="G13" i="11"/>
  <c r="F13" i="11"/>
  <c r="J12" i="11"/>
  <c r="I12" i="11"/>
  <c r="H12" i="11"/>
  <c r="G12" i="11"/>
  <c r="F12" i="11"/>
  <c r="J11" i="11"/>
  <c r="I11" i="11"/>
  <c r="H11" i="11"/>
  <c r="G11" i="11"/>
  <c r="F11" i="11"/>
  <c r="E11" i="11"/>
  <c r="U10" i="11"/>
  <c r="T10" i="11"/>
  <c r="S10" i="11"/>
  <c r="R10" i="11"/>
  <c r="Q10" i="11"/>
  <c r="P10" i="11"/>
  <c r="K10" i="11"/>
  <c r="J10" i="11"/>
  <c r="I10" i="11"/>
  <c r="H10" i="11"/>
  <c r="G10" i="11"/>
  <c r="F10" i="11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18" i="10"/>
  <c r="G94" i="10"/>
  <c r="F18" i="10"/>
  <c r="F94" i="10"/>
  <c r="E18" i="10"/>
  <c r="E94" i="10"/>
  <c r="D18" i="10"/>
  <c r="D94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D91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H85" i="10"/>
  <c r="I85" i="10"/>
  <c r="J85" i="10"/>
  <c r="K85" i="10"/>
  <c r="L85" i="10"/>
  <c r="M85" i="10"/>
  <c r="N85" i="10"/>
  <c r="AA85" i="10"/>
  <c r="O85" i="10"/>
  <c r="P85" i="10"/>
  <c r="Q85" i="10"/>
  <c r="R85" i="10"/>
  <c r="S85" i="10"/>
  <c r="T85" i="10"/>
  <c r="U85" i="10"/>
  <c r="V85" i="10"/>
  <c r="W85" i="10"/>
  <c r="Z85" i="10"/>
  <c r="G85" i="10"/>
  <c r="F85" i="10"/>
  <c r="E85" i="10"/>
  <c r="D85" i="10"/>
  <c r="H84" i="10"/>
  <c r="I84" i="10"/>
  <c r="J84" i="10"/>
  <c r="K84" i="10"/>
  <c r="L84" i="10"/>
  <c r="M84" i="10"/>
  <c r="N84" i="10"/>
  <c r="AA84" i="10"/>
  <c r="O84" i="10"/>
  <c r="P84" i="10"/>
  <c r="Q84" i="10"/>
  <c r="R84" i="10"/>
  <c r="S84" i="10"/>
  <c r="T84" i="10"/>
  <c r="U84" i="10"/>
  <c r="V84" i="10"/>
  <c r="W84" i="10"/>
  <c r="Z84" i="10"/>
  <c r="G84" i="10"/>
  <c r="F84" i="10"/>
  <c r="E84" i="10"/>
  <c r="D84" i="10"/>
  <c r="AA83" i="10"/>
  <c r="G83" i="10"/>
  <c r="F83" i="10"/>
  <c r="E83" i="10"/>
  <c r="D83" i="10"/>
  <c r="G82" i="10"/>
  <c r="F82" i="10"/>
  <c r="E82" i="10"/>
  <c r="D82" i="10"/>
  <c r="G81" i="10"/>
  <c r="F81" i="10"/>
  <c r="E81" i="10"/>
  <c r="D81" i="10"/>
  <c r="G80" i="10"/>
  <c r="F80" i="10"/>
  <c r="E80" i="10"/>
  <c r="D80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W66" i="10"/>
  <c r="W74" i="10"/>
  <c r="V66" i="10"/>
  <c r="V74" i="10"/>
  <c r="U66" i="10"/>
  <c r="U74" i="10"/>
  <c r="T66" i="10"/>
  <c r="T74" i="10"/>
  <c r="S66" i="10"/>
  <c r="S74" i="10"/>
  <c r="R66" i="10"/>
  <c r="R74" i="10"/>
  <c r="Q66" i="10"/>
  <c r="Q74" i="10"/>
  <c r="P66" i="10"/>
  <c r="P74" i="10"/>
  <c r="O66" i="10"/>
  <c r="O74" i="10"/>
  <c r="N66" i="10"/>
  <c r="N74" i="10"/>
  <c r="M66" i="10"/>
  <c r="M74" i="10"/>
  <c r="L66" i="10"/>
  <c r="L74" i="10"/>
  <c r="K66" i="10"/>
  <c r="K74" i="10"/>
  <c r="J66" i="10"/>
  <c r="J74" i="10"/>
  <c r="I66" i="10"/>
  <c r="I74" i="10"/>
  <c r="H66" i="10"/>
  <c r="H74" i="10"/>
  <c r="G66" i="10"/>
  <c r="G74" i="10"/>
  <c r="F66" i="10"/>
  <c r="F74" i="10"/>
  <c r="E66" i="10"/>
  <c r="E74" i="10"/>
  <c r="D66" i="10"/>
  <c r="D74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G72" i="10"/>
  <c r="F72" i="10"/>
  <c r="E72" i="10"/>
  <c r="D72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Z70" i="10"/>
  <c r="K70" i="10"/>
  <c r="J70" i="10"/>
  <c r="I70" i="10"/>
  <c r="H70" i="10"/>
  <c r="G70" i="10"/>
  <c r="F70" i="10"/>
  <c r="E70" i="10"/>
  <c r="D70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Z69" i="10"/>
  <c r="K69" i="10"/>
  <c r="J69" i="10"/>
  <c r="I69" i="10"/>
  <c r="H69" i="10"/>
  <c r="G69" i="10"/>
  <c r="F69" i="10"/>
  <c r="E69" i="10"/>
  <c r="D69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W43" i="10"/>
  <c r="W40" i="10"/>
  <c r="W51" i="10"/>
  <c r="V43" i="10"/>
  <c r="V40" i="10"/>
  <c r="V51" i="10"/>
  <c r="U43" i="10"/>
  <c r="U40" i="10"/>
  <c r="U51" i="10"/>
  <c r="T43" i="10"/>
  <c r="T40" i="10"/>
  <c r="T51" i="10"/>
  <c r="S43" i="10"/>
  <c r="S40" i="10"/>
  <c r="S51" i="10"/>
  <c r="R43" i="10"/>
  <c r="R40" i="10"/>
  <c r="R51" i="10"/>
  <c r="Q43" i="10"/>
  <c r="Q40" i="10"/>
  <c r="Q51" i="10"/>
  <c r="P43" i="10"/>
  <c r="P40" i="10"/>
  <c r="P51" i="10"/>
  <c r="O43" i="10"/>
  <c r="O40" i="10"/>
  <c r="O51" i="10"/>
  <c r="N43" i="10"/>
  <c r="N40" i="10"/>
  <c r="N51" i="10"/>
  <c r="M43" i="10"/>
  <c r="M40" i="10"/>
  <c r="M51" i="10"/>
  <c r="L43" i="10"/>
  <c r="L40" i="10"/>
  <c r="L51" i="10"/>
  <c r="K43" i="10"/>
  <c r="K40" i="10"/>
  <c r="K51" i="10"/>
  <c r="J43" i="10"/>
  <c r="J40" i="10"/>
  <c r="J51" i="10"/>
  <c r="I43" i="10"/>
  <c r="I40" i="10"/>
  <c r="I51" i="10"/>
  <c r="H43" i="10"/>
  <c r="H40" i="10"/>
  <c r="H51" i="10"/>
  <c r="G43" i="10"/>
  <c r="G40" i="10"/>
  <c r="G51" i="10"/>
  <c r="F43" i="10"/>
  <c r="F40" i="10"/>
  <c r="F51" i="10"/>
  <c r="E43" i="10"/>
  <c r="E40" i="10"/>
  <c r="E51" i="10"/>
  <c r="D43" i="10"/>
  <c r="D40" i="10"/>
  <c r="D51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W41" i="10"/>
  <c r="W49" i="10"/>
  <c r="V41" i="10"/>
  <c r="V49" i="10"/>
  <c r="U41" i="10"/>
  <c r="U49" i="10"/>
  <c r="T41" i="10"/>
  <c r="T49" i="10"/>
  <c r="S41" i="10"/>
  <c r="S49" i="10"/>
  <c r="R41" i="10"/>
  <c r="R49" i="10"/>
  <c r="Q41" i="10"/>
  <c r="Q49" i="10"/>
  <c r="P41" i="10"/>
  <c r="P49" i="10"/>
  <c r="O41" i="10"/>
  <c r="O49" i="10"/>
  <c r="N41" i="10"/>
  <c r="N49" i="10"/>
  <c r="M41" i="10"/>
  <c r="M49" i="10"/>
  <c r="L41" i="10"/>
  <c r="L49" i="10"/>
  <c r="K41" i="10"/>
  <c r="K49" i="10"/>
  <c r="J41" i="10"/>
  <c r="J49" i="10"/>
  <c r="I41" i="10"/>
  <c r="I49" i="10"/>
  <c r="H41" i="10"/>
  <c r="H49" i="10"/>
  <c r="G41" i="10"/>
  <c r="G49" i="10"/>
  <c r="F41" i="10"/>
  <c r="F49" i="10"/>
  <c r="E41" i="10"/>
  <c r="E49" i="10"/>
  <c r="D41" i="10"/>
  <c r="D49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M27" i="10"/>
  <c r="M28" i="10"/>
  <c r="M31" i="10"/>
  <c r="N27" i="10"/>
  <c r="N28" i="10"/>
  <c r="N31" i="10"/>
  <c r="O27" i="10"/>
  <c r="O28" i="10"/>
  <c r="O31" i="10"/>
  <c r="P27" i="10"/>
  <c r="P28" i="10"/>
  <c r="P31" i="10"/>
  <c r="Y31" i="10"/>
  <c r="Z31" i="10"/>
  <c r="Z32" i="10"/>
  <c r="V27" i="10"/>
  <c r="V28" i="10"/>
  <c r="V31" i="10"/>
  <c r="U27" i="10"/>
  <c r="U28" i="10"/>
  <c r="U31" i="10"/>
  <c r="T27" i="10"/>
  <c r="T28" i="10"/>
  <c r="T31" i="10"/>
  <c r="R27" i="10"/>
  <c r="R31" i="10"/>
  <c r="Q27" i="10"/>
  <c r="Q31" i="10"/>
  <c r="L27" i="10"/>
  <c r="L31" i="10"/>
  <c r="K27" i="10"/>
  <c r="K31" i="10"/>
  <c r="J27" i="10"/>
  <c r="J31" i="10"/>
  <c r="I27" i="10"/>
  <c r="I31" i="10"/>
  <c r="H27" i="10"/>
  <c r="H31" i="10"/>
  <c r="G27" i="10"/>
  <c r="G31" i="10"/>
  <c r="F27" i="10"/>
  <c r="F31" i="10"/>
  <c r="E27" i="10"/>
  <c r="E31" i="10"/>
  <c r="D27" i="10"/>
  <c r="D31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W28" i="10"/>
  <c r="S28" i="10"/>
  <c r="R28" i="10"/>
  <c r="Q28" i="10"/>
  <c r="L28" i="10"/>
  <c r="K28" i="10"/>
  <c r="J28" i="10"/>
  <c r="I28" i="10"/>
  <c r="H28" i="10"/>
  <c r="G28" i="10"/>
  <c r="F28" i="10"/>
  <c r="E28" i="10"/>
  <c r="D28" i="10"/>
  <c r="W27" i="10"/>
  <c r="S27" i="10"/>
  <c r="H93" i="2"/>
  <c r="H92" i="2"/>
  <c r="K4" i="9"/>
  <c r="K5" i="9"/>
  <c r="K6" i="9"/>
  <c r="K7" i="9"/>
  <c r="K8" i="9"/>
  <c r="K9" i="9"/>
  <c r="H4" i="9"/>
  <c r="G4" i="9"/>
  <c r="H5" i="9"/>
  <c r="G5" i="9"/>
  <c r="G6" i="9"/>
  <c r="G7" i="9"/>
  <c r="G8" i="9"/>
  <c r="G9" i="9"/>
  <c r="H2" i="9"/>
  <c r="G2" i="9"/>
  <c r="K2" i="9"/>
  <c r="M2" i="9"/>
  <c r="M4" i="9"/>
  <c r="M5" i="9"/>
  <c r="M6" i="9"/>
  <c r="M7" i="9"/>
  <c r="M8" i="9"/>
  <c r="M9" i="9"/>
  <c r="C22" i="1"/>
  <c r="C23" i="1"/>
  <c r="C21" i="1"/>
  <c r="B22" i="1"/>
  <c r="B23" i="1"/>
  <c r="B21" i="1"/>
  <c r="A22" i="1"/>
  <c r="A23" i="1"/>
  <c r="A21" i="1"/>
  <c r="E168" i="2"/>
  <c r="E169" i="2"/>
  <c r="D169" i="2"/>
  <c r="D168" i="2"/>
  <c r="C17" i="1"/>
  <c r="D88" i="2"/>
  <c r="E88" i="2"/>
  <c r="E165" i="2"/>
  <c r="C18" i="1"/>
  <c r="D101" i="2"/>
  <c r="D165" i="2"/>
  <c r="B18" i="1"/>
  <c r="B17" i="1"/>
  <c r="E164" i="2"/>
  <c r="D164" i="2"/>
  <c r="C2" i="1"/>
  <c r="C3" i="1"/>
  <c r="C4" i="1"/>
  <c r="C11" i="1"/>
  <c r="E92" i="2"/>
  <c r="C12" i="1"/>
  <c r="C10" i="1"/>
  <c r="F6" i="3"/>
  <c r="F15" i="3"/>
  <c r="F31" i="3"/>
  <c r="F46" i="3"/>
  <c r="F56" i="3"/>
  <c r="F57" i="3"/>
  <c r="G56" i="3"/>
  <c r="F58" i="3"/>
  <c r="G57" i="3"/>
  <c r="F59" i="3"/>
  <c r="G58" i="3"/>
  <c r="F60" i="3"/>
  <c r="G59" i="3"/>
  <c r="F61" i="3"/>
  <c r="G60" i="3"/>
  <c r="F62" i="3"/>
  <c r="G61" i="3"/>
  <c r="F63" i="3"/>
  <c r="G62" i="3"/>
  <c r="F64" i="3"/>
  <c r="G63" i="3"/>
  <c r="F65" i="3"/>
  <c r="G64" i="3"/>
  <c r="F66" i="3"/>
  <c r="G65" i="3"/>
  <c r="F67" i="3"/>
  <c r="G66" i="3"/>
  <c r="F68" i="3"/>
  <c r="G67" i="3"/>
  <c r="F69" i="3"/>
  <c r="G68" i="3"/>
  <c r="F70" i="3"/>
  <c r="G69" i="3"/>
  <c r="F71" i="3"/>
  <c r="G70" i="3"/>
  <c r="F72" i="3"/>
  <c r="G71" i="3"/>
  <c r="F73" i="3"/>
  <c r="G72" i="3"/>
  <c r="F74" i="3"/>
  <c r="G73" i="3"/>
  <c r="F75" i="3"/>
  <c r="G74" i="3"/>
  <c r="F76" i="3"/>
  <c r="G75" i="3"/>
  <c r="F77" i="3"/>
  <c r="G76" i="3"/>
  <c r="F78" i="3"/>
  <c r="G77" i="3"/>
  <c r="F79" i="3"/>
  <c r="G78" i="3"/>
  <c r="F80" i="3"/>
  <c r="G79" i="3"/>
  <c r="F81" i="3"/>
  <c r="G80" i="3"/>
  <c r="F82" i="3"/>
  <c r="G81" i="3"/>
  <c r="F83" i="3"/>
  <c r="G82" i="3"/>
  <c r="F84" i="3"/>
  <c r="G83" i="3"/>
  <c r="F85" i="3"/>
  <c r="G84" i="3"/>
  <c r="F86" i="3"/>
  <c r="G85" i="3"/>
  <c r="F87" i="3"/>
  <c r="G86" i="3"/>
  <c r="F88" i="3"/>
  <c r="G87" i="3"/>
  <c r="F89" i="3"/>
  <c r="G88" i="3"/>
  <c r="F90" i="3"/>
  <c r="G89" i="3"/>
  <c r="F91" i="3"/>
  <c r="G90" i="3"/>
  <c r="F92" i="3"/>
  <c r="G91" i="3"/>
  <c r="F93" i="3"/>
  <c r="G92" i="3"/>
  <c r="F94" i="3"/>
  <c r="G93" i="3"/>
  <c r="F95" i="3"/>
  <c r="G94" i="3"/>
  <c r="F96" i="3"/>
  <c r="G95" i="3"/>
  <c r="F97" i="3"/>
  <c r="G96" i="3"/>
  <c r="F98" i="3"/>
  <c r="G97" i="3"/>
  <c r="F99" i="3"/>
  <c r="G98" i="3"/>
  <c r="F100" i="3"/>
  <c r="G99" i="3"/>
  <c r="F101" i="3"/>
  <c r="G100" i="3"/>
  <c r="F102" i="3"/>
  <c r="G101" i="3"/>
  <c r="F103" i="3"/>
  <c r="G102" i="3"/>
  <c r="F104" i="3"/>
  <c r="G103" i="3"/>
  <c r="F105" i="3"/>
  <c r="G104" i="3"/>
  <c r="F106" i="3"/>
  <c r="G105" i="3"/>
  <c r="F107" i="3"/>
  <c r="G106" i="3"/>
  <c r="F108" i="3"/>
  <c r="G107" i="3"/>
  <c r="F109" i="3"/>
  <c r="G108" i="3"/>
  <c r="F110" i="3"/>
  <c r="G109" i="3"/>
  <c r="F111" i="3"/>
  <c r="G110" i="3"/>
  <c r="F112" i="3"/>
  <c r="G111" i="3"/>
  <c r="F113" i="3"/>
  <c r="G112" i="3"/>
  <c r="F114" i="3"/>
  <c r="G113" i="3"/>
  <c r="F115" i="3"/>
  <c r="G114" i="3"/>
  <c r="F116" i="3"/>
  <c r="G115" i="3"/>
  <c r="F117" i="3"/>
  <c r="G116" i="3"/>
  <c r="F118" i="3"/>
  <c r="G117" i="3"/>
  <c r="F119" i="3"/>
  <c r="G118" i="3"/>
  <c r="F120" i="3"/>
  <c r="G119" i="3"/>
  <c r="F121" i="3"/>
  <c r="G120" i="3"/>
  <c r="F122" i="3"/>
  <c r="G121" i="3"/>
  <c r="F123" i="3"/>
  <c r="G122" i="3"/>
  <c r="F124" i="3"/>
  <c r="G123" i="3"/>
  <c r="F125" i="3"/>
  <c r="G124" i="3"/>
  <c r="F126" i="3"/>
  <c r="G125" i="3"/>
  <c r="F127" i="3"/>
  <c r="G126" i="3"/>
  <c r="F128" i="3"/>
  <c r="G127" i="3"/>
  <c r="F129" i="3"/>
  <c r="G128" i="3"/>
  <c r="F130" i="3"/>
  <c r="G129" i="3"/>
  <c r="F131" i="3"/>
  <c r="G130" i="3"/>
  <c r="F132" i="3"/>
  <c r="G131" i="3"/>
  <c r="F133" i="3"/>
  <c r="G132" i="3"/>
  <c r="F134" i="3"/>
  <c r="G133" i="3"/>
  <c r="F135" i="3"/>
  <c r="G134" i="3"/>
  <c r="F136" i="3"/>
  <c r="G135" i="3"/>
  <c r="F137" i="3"/>
  <c r="G136" i="3"/>
  <c r="F138" i="3"/>
  <c r="G137" i="3"/>
  <c r="F139" i="3"/>
  <c r="G138" i="3"/>
  <c r="F140" i="3"/>
  <c r="G139" i="3"/>
  <c r="F141" i="3"/>
  <c r="G140" i="3"/>
  <c r="F142" i="3"/>
  <c r="G141" i="3"/>
  <c r="F143" i="3"/>
  <c r="G142" i="3"/>
  <c r="F144" i="3"/>
  <c r="G143" i="3"/>
  <c r="F145" i="3"/>
  <c r="G144" i="3"/>
  <c r="F146" i="3"/>
  <c r="G145" i="3"/>
  <c r="F147" i="3"/>
  <c r="G146" i="3"/>
  <c r="F148" i="3"/>
  <c r="G147" i="3"/>
  <c r="F149" i="3"/>
  <c r="G148" i="3"/>
  <c r="F150" i="3"/>
  <c r="G149" i="3"/>
  <c r="F151" i="3"/>
  <c r="G150" i="3"/>
  <c r="F152" i="3"/>
  <c r="G151" i="3"/>
  <c r="F153" i="3"/>
  <c r="G152" i="3"/>
  <c r="F154" i="3"/>
  <c r="G153" i="3"/>
  <c r="F155" i="3"/>
  <c r="G154" i="3"/>
  <c r="G155" i="3"/>
  <c r="I54" i="3"/>
  <c r="E161" i="2"/>
  <c r="C14" i="1"/>
  <c r="C15" i="1"/>
  <c r="C13" i="1"/>
  <c r="C16" i="1"/>
  <c r="E162" i="2"/>
  <c r="D162" i="2"/>
  <c r="E159" i="2"/>
  <c r="D159" i="2"/>
  <c r="E158" i="2"/>
  <c r="D158" i="2"/>
  <c r="F7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G78" i="4"/>
  <c r="F57" i="4"/>
  <c r="F58" i="4"/>
  <c r="I78" i="4"/>
  <c r="G79" i="4"/>
  <c r="I79" i="4"/>
  <c r="G80" i="4"/>
  <c r="I80" i="4"/>
  <c r="G81" i="4"/>
  <c r="I81" i="4"/>
  <c r="G82" i="4"/>
  <c r="I82" i="4"/>
  <c r="G83" i="4"/>
  <c r="I83" i="4"/>
  <c r="G84" i="4"/>
  <c r="I84" i="4"/>
  <c r="G85" i="4"/>
  <c r="I85" i="4"/>
  <c r="G86" i="4"/>
  <c r="I86" i="4"/>
  <c r="G87" i="4"/>
  <c r="I87" i="4"/>
  <c r="G88" i="4"/>
  <c r="I88" i="4"/>
  <c r="G89" i="4"/>
  <c r="I89" i="4"/>
  <c r="G90" i="4"/>
  <c r="I90" i="4"/>
  <c r="G91" i="4"/>
  <c r="I91" i="4"/>
  <c r="G92" i="4"/>
  <c r="I92" i="4"/>
  <c r="G93" i="4"/>
  <c r="I93" i="4"/>
  <c r="G94" i="4"/>
  <c r="I94" i="4"/>
  <c r="G95" i="4"/>
  <c r="I95" i="4"/>
  <c r="G96" i="4"/>
  <c r="I96" i="4"/>
  <c r="G97" i="4"/>
  <c r="I97" i="4"/>
  <c r="G98" i="4"/>
  <c r="I98" i="4"/>
  <c r="G99" i="4"/>
  <c r="I99" i="4"/>
  <c r="G100" i="4"/>
  <c r="I100" i="4"/>
  <c r="G77" i="4"/>
  <c r="I77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E23" i="2"/>
  <c r="E32" i="2"/>
  <c r="E65" i="2"/>
  <c r="D24" i="2"/>
  <c r="B6" i="3"/>
  <c r="D32" i="2"/>
  <c r="B15" i="3"/>
  <c r="D65" i="2"/>
  <c r="B31" i="3"/>
  <c r="B46" i="3"/>
  <c r="B56" i="3"/>
  <c r="B57" i="3"/>
  <c r="C56" i="3"/>
  <c r="B58" i="3"/>
  <c r="C57" i="3"/>
  <c r="B59" i="3"/>
  <c r="C58" i="3"/>
  <c r="B60" i="3"/>
  <c r="C59" i="3"/>
  <c r="B61" i="3"/>
  <c r="C60" i="3"/>
  <c r="B62" i="3"/>
  <c r="C61" i="3"/>
  <c r="B63" i="3"/>
  <c r="C62" i="3"/>
  <c r="B64" i="3"/>
  <c r="C63" i="3"/>
  <c r="B65" i="3"/>
  <c r="C64" i="3"/>
  <c r="B66" i="3"/>
  <c r="C65" i="3"/>
  <c r="B67" i="3"/>
  <c r="C66" i="3"/>
  <c r="B68" i="3"/>
  <c r="C67" i="3"/>
  <c r="B69" i="3"/>
  <c r="C68" i="3"/>
  <c r="B70" i="3"/>
  <c r="C69" i="3"/>
  <c r="B71" i="3"/>
  <c r="C70" i="3"/>
  <c r="B72" i="3"/>
  <c r="C71" i="3"/>
  <c r="B73" i="3"/>
  <c r="C72" i="3"/>
  <c r="B74" i="3"/>
  <c r="C73" i="3"/>
  <c r="B75" i="3"/>
  <c r="C74" i="3"/>
  <c r="B76" i="3"/>
  <c r="C75" i="3"/>
  <c r="B77" i="3"/>
  <c r="C76" i="3"/>
  <c r="B78" i="3"/>
  <c r="C77" i="3"/>
  <c r="B79" i="3"/>
  <c r="C78" i="3"/>
  <c r="B80" i="3"/>
  <c r="C79" i="3"/>
  <c r="B81" i="3"/>
  <c r="C80" i="3"/>
  <c r="B82" i="3"/>
  <c r="C81" i="3"/>
  <c r="B83" i="3"/>
  <c r="C82" i="3"/>
  <c r="B84" i="3"/>
  <c r="C83" i="3"/>
  <c r="B85" i="3"/>
  <c r="C84" i="3"/>
  <c r="B86" i="3"/>
  <c r="C85" i="3"/>
  <c r="B87" i="3"/>
  <c r="C86" i="3"/>
  <c r="B88" i="3"/>
  <c r="C87" i="3"/>
  <c r="B89" i="3"/>
  <c r="C88" i="3"/>
  <c r="B90" i="3"/>
  <c r="C89" i="3"/>
  <c r="B91" i="3"/>
  <c r="C90" i="3"/>
  <c r="B92" i="3"/>
  <c r="C91" i="3"/>
  <c r="B93" i="3"/>
  <c r="C92" i="3"/>
  <c r="B94" i="3"/>
  <c r="C93" i="3"/>
  <c r="B95" i="3"/>
  <c r="C94" i="3"/>
  <c r="B96" i="3"/>
  <c r="C95" i="3"/>
  <c r="B97" i="3"/>
  <c r="C96" i="3"/>
  <c r="B98" i="3"/>
  <c r="C97" i="3"/>
  <c r="B99" i="3"/>
  <c r="C98" i="3"/>
  <c r="B100" i="3"/>
  <c r="C99" i="3"/>
  <c r="B101" i="3"/>
  <c r="C100" i="3"/>
  <c r="B102" i="3"/>
  <c r="C101" i="3"/>
  <c r="B103" i="3"/>
  <c r="C102" i="3"/>
  <c r="B104" i="3"/>
  <c r="C103" i="3"/>
  <c r="B105" i="3"/>
  <c r="C104" i="3"/>
  <c r="B106" i="3"/>
  <c r="C105" i="3"/>
  <c r="B107" i="3"/>
  <c r="C106" i="3"/>
  <c r="B108" i="3"/>
  <c r="C107" i="3"/>
  <c r="B109" i="3"/>
  <c r="C108" i="3"/>
  <c r="B110" i="3"/>
  <c r="C109" i="3"/>
  <c r="B111" i="3"/>
  <c r="C110" i="3"/>
  <c r="B112" i="3"/>
  <c r="C111" i="3"/>
  <c r="B113" i="3"/>
  <c r="C112" i="3"/>
  <c r="B114" i="3"/>
  <c r="C113" i="3"/>
  <c r="B115" i="3"/>
  <c r="C114" i="3"/>
  <c r="B116" i="3"/>
  <c r="C115" i="3"/>
  <c r="B117" i="3"/>
  <c r="C116" i="3"/>
  <c r="B118" i="3"/>
  <c r="C117" i="3"/>
  <c r="B119" i="3"/>
  <c r="C118" i="3"/>
  <c r="B120" i="3"/>
  <c r="C119" i="3"/>
  <c r="B121" i="3"/>
  <c r="C120" i="3"/>
  <c r="B122" i="3"/>
  <c r="C121" i="3"/>
  <c r="B123" i="3"/>
  <c r="C122" i="3"/>
  <c r="B124" i="3"/>
  <c r="C123" i="3"/>
  <c r="B125" i="3"/>
  <c r="C124" i="3"/>
  <c r="B126" i="3"/>
  <c r="C125" i="3"/>
  <c r="B127" i="3"/>
  <c r="C126" i="3"/>
  <c r="B128" i="3"/>
  <c r="C127" i="3"/>
  <c r="B129" i="3"/>
  <c r="C128" i="3"/>
  <c r="B130" i="3"/>
  <c r="C129" i="3"/>
  <c r="B131" i="3"/>
  <c r="C130" i="3"/>
  <c r="B132" i="3"/>
  <c r="C131" i="3"/>
  <c r="B133" i="3"/>
  <c r="C132" i="3"/>
  <c r="B134" i="3"/>
  <c r="C133" i="3"/>
  <c r="B135" i="3"/>
  <c r="C134" i="3"/>
  <c r="B136" i="3"/>
  <c r="C135" i="3"/>
  <c r="B137" i="3"/>
  <c r="C136" i="3"/>
  <c r="B138" i="3"/>
  <c r="C137" i="3"/>
  <c r="B139" i="3"/>
  <c r="C138" i="3"/>
  <c r="B140" i="3"/>
  <c r="C139" i="3"/>
  <c r="B141" i="3"/>
  <c r="C140" i="3"/>
  <c r="B142" i="3"/>
  <c r="C141" i="3"/>
  <c r="B143" i="3"/>
  <c r="C142" i="3"/>
  <c r="B144" i="3"/>
  <c r="C143" i="3"/>
  <c r="B145" i="3"/>
  <c r="C144" i="3"/>
  <c r="B146" i="3"/>
  <c r="C145" i="3"/>
  <c r="B147" i="3"/>
  <c r="C146" i="3"/>
  <c r="B148" i="3"/>
  <c r="C147" i="3"/>
  <c r="B149" i="3"/>
  <c r="C148" i="3"/>
  <c r="B150" i="3"/>
  <c r="C149" i="3"/>
  <c r="B151" i="3"/>
  <c r="C150" i="3"/>
  <c r="B152" i="3"/>
  <c r="C151" i="3"/>
  <c r="B153" i="3"/>
  <c r="C152" i="3"/>
  <c r="B154" i="3"/>
  <c r="C153" i="3"/>
  <c r="B155" i="3"/>
  <c r="C154" i="3"/>
  <c r="C155" i="3"/>
  <c r="E54" i="3"/>
  <c r="D161" i="2"/>
  <c r="B47" i="3"/>
  <c r="B52" i="3"/>
  <c r="B53" i="3"/>
  <c r="I98" i="3"/>
  <c r="H54" i="3"/>
  <c r="E171" i="2"/>
  <c r="E73" i="3"/>
  <c r="D54" i="3"/>
  <c r="D171" i="2"/>
  <c r="D9" i="2"/>
  <c r="N72" i="4"/>
  <c r="N73" i="4"/>
  <c r="N74" i="4"/>
  <c r="N75" i="4"/>
  <c r="N76" i="4"/>
  <c r="Q76" i="4"/>
  <c r="N77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O77" i="4"/>
  <c r="Q77" i="4"/>
  <c r="O78" i="4"/>
  <c r="Q78" i="4"/>
  <c r="O79" i="4"/>
  <c r="Q79" i="4"/>
  <c r="O80" i="4"/>
  <c r="Q80" i="4"/>
  <c r="O81" i="4"/>
  <c r="Q81" i="4"/>
  <c r="O82" i="4"/>
  <c r="Q82" i="4"/>
  <c r="O83" i="4"/>
  <c r="Q83" i="4"/>
  <c r="O84" i="4"/>
  <c r="Q84" i="4"/>
  <c r="O85" i="4"/>
  <c r="Q85" i="4"/>
  <c r="O86" i="4"/>
  <c r="Q86" i="4"/>
  <c r="O87" i="4"/>
  <c r="Q87" i="4"/>
  <c r="O88" i="4"/>
  <c r="Q88" i="4"/>
  <c r="O89" i="4"/>
  <c r="Q89" i="4"/>
  <c r="O90" i="4"/>
  <c r="Q90" i="4"/>
  <c r="O91" i="4"/>
  <c r="Q91" i="4"/>
  <c r="O92" i="4"/>
  <c r="Q92" i="4"/>
  <c r="O93" i="4"/>
  <c r="Q93" i="4"/>
  <c r="O94" i="4"/>
  <c r="Q94" i="4"/>
  <c r="O95" i="4"/>
  <c r="Q95" i="4"/>
  <c r="O96" i="4"/>
  <c r="Q96" i="4"/>
  <c r="O97" i="4"/>
  <c r="Q97" i="4"/>
  <c r="O98" i="4"/>
  <c r="Q98" i="4"/>
  <c r="O99" i="4"/>
  <c r="Q99" i="4"/>
  <c r="O100" i="4"/>
  <c r="Q100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O76" i="4"/>
  <c r="B76" i="4"/>
  <c r="E7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L76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Z80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D79" i="5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D75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D94" i="7"/>
  <c r="D93" i="7"/>
  <c r="D92" i="7"/>
  <c r="D91" i="7"/>
  <c r="D90" i="7"/>
  <c r="D89" i="7"/>
  <c r="D88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D74" i="7"/>
  <c r="D72" i="7"/>
  <c r="D70" i="7"/>
  <c r="D69" i="7"/>
  <c r="D67" i="7"/>
  <c r="D66" i="7"/>
  <c r="Z82" i="5"/>
  <c r="Z83" i="5"/>
  <c r="Z84" i="5"/>
  <c r="Z85" i="5"/>
  <c r="Z81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D94" i="5"/>
  <c r="D93" i="5"/>
  <c r="D92" i="5"/>
  <c r="D91" i="5"/>
  <c r="D90" i="5"/>
  <c r="D89" i="5"/>
  <c r="D88" i="5"/>
  <c r="E72" i="5"/>
  <c r="F72" i="5"/>
  <c r="D72" i="5"/>
  <c r="E70" i="5"/>
  <c r="F70" i="5"/>
  <c r="D70" i="5"/>
  <c r="E69" i="5"/>
  <c r="F69" i="5"/>
  <c r="G69" i="5"/>
  <c r="D69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D75" i="5"/>
  <c r="F4" i="8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Z80" i="7"/>
  <c r="H4" i="8"/>
  <c r="G4" i="8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Z81" i="7"/>
  <c r="I5" i="8"/>
  <c r="G5" i="8"/>
  <c r="H5" i="8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Z82" i="7"/>
  <c r="J6" i="8"/>
  <c r="H6" i="8"/>
  <c r="I6" i="8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Z83" i="7"/>
  <c r="K7" i="8"/>
  <c r="I7" i="8"/>
  <c r="J7" i="8"/>
  <c r="F11" i="8" a="1"/>
  <c r="K12" i="8"/>
  <c r="G40" i="8"/>
  <c r="K13" i="8"/>
  <c r="H40" i="8"/>
  <c r="I62" i="8"/>
  <c r="K62" i="8"/>
  <c r="H62" i="8"/>
  <c r="I61" i="8"/>
  <c r="K61" i="8"/>
  <c r="H61" i="8"/>
  <c r="I60" i="8"/>
  <c r="K60" i="8"/>
  <c r="H60" i="8"/>
  <c r="I59" i="8"/>
  <c r="K59" i="8"/>
  <c r="H59" i="8"/>
  <c r="I58" i="8"/>
  <c r="K58" i="8"/>
  <c r="H58" i="8"/>
  <c r="I57" i="8"/>
  <c r="K57" i="8"/>
  <c r="H57" i="8"/>
  <c r="I56" i="8"/>
  <c r="K56" i="8"/>
  <c r="H56" i="8"/>
  <c r="I55" i="8"/>
  <c r="K55" i="8"/>
  <c r="H55" i="8"/>
  <c r="I54" i="8"/>
  <c r="K54" i="8"/>
  <c r="H54" i="8"/>
  <c r="I53" i="8"/>
  <c r="K53" i="8"/>
  <c r="K14" i="8"/>
  <c r="I40" i="8"/>
  <c r="H53" i="8"/>
  <c r="F36" i="8"/>
  <c r="P36" i="8"/>
  <c r="P40" i="8"/>
  <c r="P44" i="8"/>
  <c r="G36" i="8"/>
  <c r="Q36" i="8"/>
  <c r="P4" i="8"/>
  <c r="AA80" i="7"/>
  <c r="R4" i="8"/>
  <c r="Q4" i="8"/>
  <c r="AA81" i="7"/>
  <c r="S5" i="8"/>
  <c r="Q5" i="8"/>
  <c r="R5" i="8"/>
  <c r="Q6" i="8"/>
  <c r="AA82" i="7"/>
  <c r="T6" i="8"/>
  <c r="R6" i="8"/>
  <c r="S6" i="8"/>
  <c r="U6" i="8"/>
  <c r="Q7" i="8"/>
  <c r="R7" i="8"/>
  <c r="S7" i="8"/>
  <c r="T7" i="8"/>
  <c r="U7" i="8"/>
  <c r="P11" i="8" a="1"/>
  <c r="U12" i="8"/>
  <c r="Q17" i="8"/>
  <c r="Q40" i="8"/>
  <c r="Q44" i="8"/>
  <c r="H36" i="8"/>
  <c r="R36" i="8"/>
  <c r="U13" i="8"/>
  <c r="R17" i="8"/>
  <c r="R40" i="8"/>
  <c r="R44" i="8"/>
  <c r="I36" i="8"/>
  <c r="S36" i="8"/>
  <c r="U14" i="8"/>
  <c r="S17" i="8"/>
  <c r="S40" i="8"/>
  <c r="S44" i="8"/>
  <c r="J36" i="8"/>
  <c r="T36" i="8"/>
  <c r="U15" i="8"/>
  <c r="T17" i="8"/>
  <c r="T40" i="8"/>
  <c r="T44" i="8"/>
  <c r="K36" i="8"/>
  <c r="U36" i="8"/>
  <c r="U16" i="8"/>
  <c r="U17" i="8"/>
  <c r="U40" i="8"/>
  <c r="U44" i="8"/>
  <c r="V44" i="8"/>
  <c r="V46" i="8"/>
  <c r="P48" i="8"/>
  <c r="K11" i="8"/>
  <c r="F40" i="8"/>
  <c r="F44" i="8"/>
  <c r="G44" i="8"/>
  <c r="H44" i="8"/>
  <c r="I44" i="8"/>
  <c r="K15" i="8"/>
  <c r="J40" i="8"/>
  <c r="J44" i="8"/>
  <c r="K16" i="8"/>
  <c r="K40" i="8"/>
  <c r="K44" i="8"/>
  <c r="L44" i="8"/>
  <c r="L46" i="8"/>
  <c r="F48" i="8"/>
  <c r="U46" i="8"/>
  <c r="T46" i="8"/>
  <c r="S46" i="8"/>
  <c r="R46" i="8"/>
  <c r="Q46" i="8"/>
  <c r="P46" i="8"/>
  <c r="K46" i="8"/>
  <c r="J46" i="8"/>
  <c r="I46" i="8"/>
  <c r="H46" i="8"/>
  <c r="G46" i="8"/>
  <c r="K18" i="8"/>
  <c r="K27" i="8"/>
  <c r="K35" i="8"/>
  <c r="U35" i="8"/>
  <c r="J18" i="8"/>
  <c r="J27" i="8"/>
  <c r="J35" i="8"/>
  <c r="T35" i="8"/>
  <c r="I18" i="8"/>
  <c r="I27" i="8"/>
  <c r="I35" i="8"/>
  <c r="S35" i="8"/>
  <c r="H18" i="8"/>
  <c r="H27" i="8"/>
  <c r="H35" i="8"/>
  <c r="R35" i="8"/>
  <c r="O8" i="8"/>
  <c r="O33" i="8"/>
  <c r="E24" i="8"/>
  <c r="E33" i="8"/>
  <c r="O7" i="8"/>
  <c r="O32" i="8"/>
  <c r="E23" i="8"/>
  <c r="E32" i="8"/>
  <c r="O6" i="8"/>
  <c r="O31" i="8"/>
  <c r="E22" i="8"/>
  <c r="E31" i="8"/>
  <c r="O5" i="8"/>
  <c r="O30" i="8"/>
  <c r="E21" i="8"/>
  <c r="E30" i="8"/>
  <c r="O4" i="8"/>
  <c r="O29" i="8"/>
  <c r="E20" i="8"/>
  <c r="E29" i="8"/>
  <c r="P20" i="8"/>
  <c r="R20" i="8"/>
  <c r="Q20" i="8"/>
  <c r="Q21" i="8"/>
  <c r="R21" i="8"/>
  <c r="S21" i="8"/>
  <c r="Q22" i="8"/>
  <c r="T22" i="8"/>
  <c r="R22" i="8"/>
  <c r="S22" i="8"/>
  <c r="U22" i="8"/>
  <c r="Q23" i="8"/>
  <c r="R23" i="8"/>
  <c r="I23" i="8"/>
  <c r="S23" i="8"/>
  <c r="J23" i="8"/>
  <c r="T23" i="8"/>
  <c r="U23" i="8"/>
  <c r="P28" i="8" a="1"/>
  <c r="P28" i="8"/>
  <c r="Q28" i="8"/>
  <c r="R28" i="8"/>
  <c r="S28" i="8"/>
  <c r="T28" i="8"/>
  <c r="U28" i="8"/>
  <c r="P29" i="8"/>
  <c r="Q29" i="8"/>
  <c r="R29" i="8"/>
  <c r="S29" i="8"/>
  <c r="T29" i="8"/>
  <c r="U29" i="8"/>
  <c r="P30" i="8"/>
  <c r="Q30" i="8"/>
  <c r="R30" i="8"/>
  <c r="S30" i="8"/>
  <c r="T30" i="8"/>
  <c r="U30" i="8"/>
  <c r="P31" i="8"/>
  <c r="Q31" i="8"/>
  <c r="R31" i="8"/>
  <c r="S31" i="8"/>
  <c r="T31" i="8"/>
  <c r="U31" i="8"/>
  <c r="P32" i="8"/>
  <c r="Q32" i="8"/>
  <c r="R32" i="8"/>
  <c r="S32" i="8"/>
  <c r="T32" i="8"/>
  <c r="U32" i="8"/>
  <c r="P33" i="8"/>
  <c r="Q33" i="8"/>
  <c r="R33" i="8"/>
  <c r="S33" i="8"/>
  <c r="T33" i="8"/>
  <c r="U33" i="8"/>
  <c r="O3" i="8"/>
  <c r="O28" i="8"/>
  <c r="F20" i="8"/>
  <c r="H20" i="8"/>
  <c r="G20" i="8"/>
  <c r="G21" i="8"/>
  <c r="H21" i="8"/>
  <c r="I21" i="8"/>
  <c r="J22" i="8"/>
  <c r="H22" i="8"/>
  <c r="I22" i="8"/>
  <c r="F28" i="8" a="1"/>
  <c r="F28" i="8"/>
  <c r="G28" i="8"/>
  <c r="H28" i="8"/>
  <c r="I28" i="8"/>
  <c r="J28" i="8"/>
  <c r="K28" i="8"/>
  <c r="F29" i="8"/>
  <c r="G29" i="8"/>
  <c r="H29" i="8"/>
  <c r="I29" i="8"/>
  <c r="J29" i="8"/>
  <c r="K29" i="8"/>
  <c r="F30" i="8"/>
  <c r="G30" i="8"/>
  <c r="H30" i="8"/>
  <c r="I30" i="8"/>
  <c r="J30" i="8"/>
  <c r="K30" i="8"/>
  <c r="F31" i="8"/>
  <c r="G31" i="8"/>
  <c r="H31" i="8"/>
  <c r="I31" i="8"/>
  <c r="J31" i="8"/>
  <c r="K31" i="8"/>
  <c r="F32" i="8"/>
  <c r="G32" i="8"/>
  <c r="H32" i="8"/>
  <c r="I32" i="8"/>
  <c r="J32" i="8"/>
  <c r="K32" i="8"/>
  <c r="F33" i="8"/>
  <c r="G33" i="8"/>
  <c r="H33" i="8"/>
  <c r="I33" i="8"/>
  <c r="J33" i="8"/>
  <c r="K33" i="8"/>
  <c r="E19" i="8"/>
  <c r="E28" i="8"/>
  <c r="U2" i="8"/>
  <c r="U27" i="8"/>
  <c r="T2" i="8"/>
  <c r="T27" i="8"/>
  <c r="S2" i="8"/>
  <c r="S27" i="8"/>
  <c r="R2" i="8"/>
  <c r="R27" i="8"/>
  <c r="Q2" i="8"/>
  <c r="Q27" i="8"/>
  <c r="P2" i="8"/>
  <c r="P27" i="8"/>
  <c r="G18" i="8"/>
  <c r="G27" i="8"/>
  <c r="F18" i="8"/>
  <c r="F27" i="8"/>
  <c r="O24" i="8"/>
  <c r="O23" i="8"/>
  <c r="O22" i="8"/>
  <c r="O21" i="8"/>
  <c r="O20" i="8"/>
  <c r="O19" i="8"/>
  <c r="U18" i="8"/>
  <c r="T18" i="8"/>
  <c r="S18" i="8"/>
  <c r="R18" i="8"/>
  <c r="Q18" i="8"/>
  <c r="P18" i="8"/>
  <c r="H34" i="7"/>
  <c r="I34" i="7"/>
  <c r="J34" i="7"/>
  <c r="K34" i="7"/>
  <c r="L34" i="7"/>
  <c r="M34" i="7"/>
  <c r="N34" i="7"/>
  <c r="O34" i="7"/>
  <c r="AA72" i="7"/>
  <c r="B18" i="8"/>
  <c r="K17" i="8"/>
  <c r="J17" i="8"/>
  <c r="I17" i="8"/>
  <c r="H17" i="8"/>
  <c r="G17" i="8"/>
  <c r="P34" i="7"/>
  <c r="Q34" i="7"/>
  <c r="R34" i="7"/>
  <c r="S34" i="7"/>
  <c r="T34" i="7"/>
  <c r="U34" i="7"/>
  <c r="V34" i="7"/>
  <c r="W34" i="7"/>
  <c r="Z72" i="7"/>
  <c r="B17" i="8"/>
  <c r="O16" i="8"/>
  <c r="E16" i="8"/>
  <c r="O15" i="8"/>
  <c r="E15" i="8"/>
  <c r="O14" i="8"/>
  <c r="E14" i="8"/>
  <c r="O13" i="8"/>
  <c r="E13" i="8"/>
  <c r="O12" i="8"/>
  <c r="E12" i="8"/>
  <c r="T16" i="8"/>
  <c r="S16" i="8"/>
  <c r="R16" i="8"/>
  <c r="Q16" i="8"/>
  <c r="P16" i="8"/>
  <c r="T15" i="8"/>
  <c r="S15" i="8"/>
  <c r="R15" i="8"/>
  <c r="Q15" i="8"/>
  <c r="P15" i="8"/>
  <c r="T14" i="8"/>
  <c r="S14" i="8"/>
  <c r="R14" i="8"/>
  <c r="Q14" i="8"/>
  <c r="P14" i="8"/>
  <c r="T13" i="8"/>
  <c r="S13" i="8"/>
  <c r="R13" i="8"/>
  <c r="Q13" i="8"/>
  <c r="P13" i="8"/>
  <c r="T12" i="8"/>
  <c r="S12" i="8"/>
  <c r="R12" i="8"/>
  <c r="Q12" i="8"/>
  <c r="P12" i="8"/>
  <c r="U11" i="8"/>
  <c r="T11" i="8"/>
  <c r="S11" i="8"/>
  <c r="R11" i="8"/>
  <c r="Q11" i="8"/>
  <c r="P11" i="8"/>
  <c r="O11" i="8"/>
  <c r="J16" i="8"/>
  <c r="I16" i="8"/>
  <c r="H16" i="8"/>
  <c r="G16" i="8"/>
  <c r="F16" i="8"/>
  <c r="J15" i="8"/>
  <c r="I15" i="8"/>
  <c r="H15" i="8"/>
  <c r="G15" i="8"/>
  <c r="F15" i="8"/>
  <c r="J14" i="8"/>
  <c r="I14" i="8"/>
  <c r="H14" i="8"/>
  <c r="G14" i="8"/>
  <c r="F14" i="8"/>
  <c r="J13" i="8"/>
  <c r="I13" i="8"/>
  <c r="H13" i="8"/>
  <c r="G13" i="8"/>
  <c r="F13" i="8"/>
  <c r="J12" i="8"/>
  <c r="I12" i="8"/>
  <c r="H12" i="8"/>
  <c r="G12" i="8"/>
  <c r="F12" i="8"/>
  <c r="J11" i="8"/>
  <c r="I11" i="8"/>
  <c r="H11" i="8"/>
  <c r="G11" i="8"/>
  <c r="F11" i="8"/>
  <c r="E11" i="8"/>
  <c r="U10" i="8"/>
  <c r="T10" i="8"/>
  <c r="S10" i="8"/>
  <c r="R10" i="8"/>
  <c r="Q10" i="8"/>
  <c r="P10" i="8"/>
  <c r="K10" i="8"/>
  <c r="J10" i="8"/>
  <c r="I10" i="8"/>
  <c r="H10" i="8"/>
  <c r="G10" i="8"/>
  <c r="F10" i="8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H85" i="7"/>
  <c r="I85" i="7"/>
  <c r="J85" i="7"/>
  <c r="K85" i="7"/>
  <c r="L85" i="7"/>
  <c r="M85" i="7"/>
  <c r="N85" i="7"/>
  <c r="AA85" i="7"/>
  <c r="O85" i="7"/>
  <c r="P85" i="7"/>
  <c r="Q85" i="7"/>
  <c r="R85" i="7"/>
  <c r="S85" i="7"/>
  <c r="T85" i="7"/>
  <c r="U85" i="7"/>
  <c r="V85" i="7"/>
  <c r="W85" i="7"/>
  <c r="Z85" i="7"/>
  <c r="G85" i="7"/>
  <c r="F85" i="7"/>
  <c r="E85" i="7"/>
  <c r="D85" i="7"/>
  <c r="H84" i="7"/>
  <c r="I84" i="7"/>
  <c r="J84" i="7"/>
  <c r="K84" i="7"/>
  <c r="L84" i="7"/>
  <c r="M84" i="7"/>
  <c r="N84" i="7"/>
  <c r="AA84" i="7"/>
  <c r="O84" i="7"/>
  <c r="P84" i="7"/>
  <c r="Q84" i="7"/>
  <c r="R84" i="7"/>
  <c r="S84" i="7"/>
  <c r="T84" i="7"/>
  <c r="U84" i="7"/>
  <c r="V84" i="7"/>
  <c r="W84" i="7"/>
  <c r="Z84" i="7"/>
  <c r="G84" i="7"/>
  <c r="F84" i="7"/>
  <c r="E84" i="7"/>
  <c r="D84" i="7"/>
  <c r="AA83" i="7"/>
  <c r="G83" i="7"/>
  <c r="F83" i="7"/>
  <c r="E83" i="7"/>
  <c r="D83" i="7"/>
  <c r="G82" i="7"/>
  <c r="F82" i="7"/>
  <c r="E82" i="7"/>
  <c r="D82" i="7"/>
  <c r="G81" i="7"/>
  <c r="F81" i="7"/>
  <c r="E81" i="7"/>
  <c r="D81" i="7"/>
  <c r="G80" i="7"/>
  <c r="F80" i="7"/>
  <c r="E80" i="7"/>
  <c r="D80" i="7"/>
  <c r="D77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D76" i="7"/>
  <c r="D73" i="7"/>
  <c r="G34" i="7"/>
  <c r="F34" i="7"/>
  <c r="E34" i="7"/>
  <c r="D34" i="7"/>
  <c r="D71" i="7"/>
  <c r="Z70" i="7"/>
  <c r="Z69" i="7"/>
  <c r="D68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W43" i="7"/>
  <c r="W40" i="7"/>
  <c r="W51" i="7"/>
  <c r="V43" i="7"/>
  <c r="V40" i="7"/>
  <c r="V51" i="7"/>
  <c r="U43" i="7"/>
  <c r="U40" i="7"/>
  <c r="U51" i="7"/>
  <c r="T43" i="7"/>
  <c r="T40" i="7"/>
  <c r="T51" i="7"/>
  <c r="S43" i="7"/>
  <c r="S40" i="7"/>
  <c r="S51" i="7"/>
  <c r="R43" i="7"/>
  <c r="R40" i="7"/>
  <c r="R51" i="7"/>
  <c r="Q43" i="7"/>
  <c r="Q40" i="7"/>
  <c r="Q51" i="7"/>
  <c r="P43" i="7"/>
  <c r="P40" i="7"/>
  <c r="P51" i="7"/>
  <c r="O43" i="7"/>
  <c r="O40" i="7"/>
  <c r="O51" i="7"/>
  <c r="N43" i="7"/>
  <c r="N40" i="7"/>
  <c r="N51" i="7"/>
  <c r="M43" i="7"/>
  <c r="M40" i="7"/>
  <c r="M51" i="7"/>
  <c r="L43" i="7"/>
  <c r="L40" i="7"/>
  <c r="L51" i="7"/>
  <c r="K43" i="7"/>
  <c r="K40" i="7"/>
  <c r="K51" i="7"/>
  <c r="J43" i="7"/>
  <c r="J40" i="7"/>
  <c r="J51" i="7"/>
  <c r="I43" i="7"/>
  <c r="I40" i="7"/>
  <c r="I51" i="7"/>
  <c r="H43" i="7"/>
  <c r="H40" i="7"/>
  <c r="H51" i="7"/>
  <c r="G43" i="7"/>
  <c r="G40" i="7"/>
  <c r="G51" i="7"/>
  <c r="F43" i="7"/>
  <c r="F40" i="7"/>
  <c r="F51" i="7"/>
  <c r="E43" i="7"/>
  <c r="E40" i="7"/>
  <c r="E51" i="7"/>
  <c r="D43" i="7"/>
  <c r="D40" i="7"/>
  <c r="D51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W41" i="7"/>
  <c r="W49" i="7"/>
  <c r="V41" i="7"/>
  <c r="V49" i="7"/>
  <c r="U41" i="7"/>
  <c r="U49" i="7"/>
  <c r="T41" i="7"/>
  <c r="T49" i="7"/>
  <c r="S41" i="7"/>
  <c r="S49" i="7"/>
  <c r="R41" i="7"/>
  <c r="R49" i="7"/>
  <c r="Q41" i="7"/>
  <c r="Q49" i="7"/>
  <c r="P41" i="7"/>
  <c r="P49" i="7"/>
  <c r="O41" i="7"/>
  <c r="O49" i="7"/>
  <c r="N41" i="7"/>
  <c r="N49" i="7"/>
  <c r="M41" i="7"/>
  <c r="M49" i="7"/>
  <c r="L41" i="7"/>
  <c r="L49" i="7"/>
  <c r="K41" i="7"/>
  <c r="K49" i="7"/>
  <c r="J41" i="7"/>
  <c r="J49" i="7"/>
  <c r="I41" i="7"/>
  <c r="I49" i="7"/>
  <c r="H41" i="7"/>
  <c r="H49" i="7"/>
  <c r="G41" i="7"/>
  <c r="G49" i="7"/>
  <c r="F41" i="7"/>
  <c r="F49" i="7"/>
  <c r="E41" i="7"/>
  <c r="E49" i="7"/>
  <c r="D41" i="7"/>
  <c r="D49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M27" i="7"/>
  <c r="M28" i="7"/>
  <c r="M31" i="7"/>
  <c r="N27" i="7"/>
  <c r="N28" i="7"/>
  <c r="N31" i="7"/>
  <c r="O27" i="7"/>
  <c r="O28" i="7"/>
  <c r="O31" i="7"/>
  <c r="P27" i="7"/>
  <c r="P28" i="7"/>
  <c r="P31" i="7"/>
  <c r="Y31" i="7"/>
  <c r="Z31" i="7"/>
  <c r="Z32" i="7"/>
  <c r="V27" i="7"/>
  <c r="V28" i="7"/>
  <c r="V31" i="7"/>
  <c r="U27" i="7"/>
  <c r="U28" i="7"/>
  <c r="U31" i="7"/>
  <c r="T27" i="7"/>
  <c r="T28" i="7"/>
  <c r="T31" i="7"/>
  <c r="R27" i="7"/>
  <c r="R31" i="7"/>
  <c r="Q27" i="7"/>
  <c r="Q31" i="7"/>
  <c r="L27" i="7"/>
  <c r="L31" i="7"/>
  <c r="K27" i="7"/>
  <c r="K31" i="7"/>
  <c r="J27" i="7"/>
  <c r="J31" i="7"/>
  <c r="I27" i="7"/>
  <c r="I31" i="7"/>
  <c r="H27" i="7"/>
  <c r="H31" i="7"/>
  <c r="G27" i="7"/>
  <c r="G31" i="7"/>
  <c r="F27" i="7"/>
  <c r="F31" i="7"/>
  <c r="E27" i="7"/>
  <c r="E31" i="7"/>
  <c r="D27" i="7"/>
  <c r="D31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W28" i="7"/>
  <c r="S28" i="7"/>
  <c r="R28" i="7"/>
  <c r="Q28" i="7"/>
  <c r="L28" i="7"/>
  <c r="K28" i="7"/>
  <c r="J28" i="7"/>
  <c r="I28" i="7"/>
  <c r="H28" i="7"/>
  <c r="G28" i="7"/>
  <c r="F28" i="7"/>
  <c r="E28" i="7"/>
  <c r="D28" i="7"/>
  <c r="W27" i="7"/>
  <c r="S27" i="7"/>
  <c r="K7" i="6"/>
  <c r="I7" i="6"/>
  <c r="S7" i="6"/>
  <c r="J7" i="6"/>
  <c r="T7" i="6"/>
  <c r="U7" i="6"/>
  <c r="P11" i="6" a="1"/>
  <c r="U12" i="6"/>
  <c r="D95" i="2"/>
  <c r="E95" i="2"/>
  <c r="E99" i="2"/>
  <c r="U13" i="6"/>
  <c r="D96" i="2"/>
  <c r="E96" i="2"/>
  <c r="U14" i="6"/>
  <c r="D97" i="2"/>
  <c r="E97" i="2"/>
  <c r="U15" i="6"/>
  <c r="D98" i="2"/>
  <c r="E98" i="2"/>
  <c r="I5" i="6"/>
  <c r="G5" i="6"/>
  <c r="H5" i="6"/>
  <c r="J6" i="6"/>
  <c r="H6" i="6"/>
  <c r="I6" i="6"/>
  <c r="F11" i="6" a="1"/>
  <c r="K13" i="6"/>
  <c r="D89" i="2"/>
  <c r="E89" i="2"/>
  <c r="K14" i="6"/>
  <c r="D90" i="2"/>
  <c r="E90" i="2"/>
  <c r="K15" i="6"/>
  <c r="D91" i="2"/>
  <c r="E91" i="2"/>
  <c r="K12" i="6"/>
  <c r="D99" i="2"/>
  <c r="Z72" i="5"/>
  <c r="B17" i="6"/>
  <c r="F47" i="3"/>
  <c r="F50" i="3"/>
  <c r="F49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56" i="3"/>
  <c r="H56" i="3"/>
  <c r="F53" i="3"/>
  <c r="F52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56" i="3"/>
  <c r="B50" i="3"/>
  <c r="B49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56" i="3"/>
  <c r="A6" i="3"/>
  <c r="A7" i="3"/>
  <c r="A8" i="3"/>
  <c r="A9" i="3"/>
  <c r="A10" i="3"/>
  <c r="A11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F4" i="6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H4" i="6"/>
  <c r="G4" i="6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G40" i="6"/>
  <c r="H40" i="6"/>
  <c r="I62" i="6"/>
  <c r="K62" i="6"/>
  <c r="H62" i="6"/>
  <c r="I61" i="6"/>
  <c r="K61" i="6"/>
  <c r="H61" i="6"/>
  <c r="I60" i="6"/>
  <c r="K60" i="6"/>
  <c r="H60" i="6"/>
  <c r="I59" i="6"/>
  <c r="K59" i="6"/>
  <c r="H59" i="6"/>
  <c r="I58" i="6"/>
  <c r="K58" i="6"/>
  <c r="H58" i="6"/>
  <c r="I57" i="6"/>
  <c r="K57" i="6"/>
  <c r="H57" i="6"/>
  <c r="I56" i="6"/>
  <c r="K56" i="6"/>
  <c r="H56" i="6"/>
  <c r="I55" i="6"/>
  <c r="K55" i="6"/>
  <c r="H55" i="6"/>
  <c r="I54" i="6"/>
  <c r="K54" i="6"/>
  <c r="H54" i="6"/>
  <c r="I53" i="6"/>
  <c r="K53" i="6"/>
  <c r="I40" i="6"/>
  <c r="H53" i="6"/>
  <c r="F36" i="6"/>
  <c r="P36" i="6"/>
  <c r="P40" i="6"/>
  <c r="P44" i="6"/>
  <c r="G36" i="6"/>
  <c r="Q36" i="6"/>
  <c r="P4" i="6"/>
  <c r="AA80" i="5"/>
  <c r="R4" i="6"/>
  <c r="Q4" i="6"/>
  <c r="AA81" i="5"/>
  <c r="S5" i="6"/>
  <c r="Q5" i="6"/>
  <c r="R5" i="6"/>
  <c r="Q6" i="6"/>
  <c r="AA82" i="5"/>
  <c r="T6" i="6"/>
  <c r="R6" i="6"/>
  <c r="S6" i="6"/>
  <c r="U6" i="6"/>
  <c r="Q7" i="6"/>
  <c r="R7" i="6"/>
  <c r="Q17" i="6"/>
  <c r="Q40" i="6"/>
  <c r="Q44" i="6"/>
  <c r="H36" i="6"/>
  <c r="R36" i="6"/>
  <c r="R17" i="6"/>
  <c r="R40" i="6"/>
  <c r="R44" i="6"/>
  <c r="I36" i="6"/>
  <c r="S36" i="6"/>
  <c r="S17" i="6"/>
  <c r="S40" i="6"/>
  <c r="S44" i="6"/>
  <c r="J36" i="6"/>
  <c r="T36" i="6"/>
  <c r="T17" i="6"/>
  <c r="T40" i="6"/>
  <c r="T44" i="6"/>
  <c r="K36" i="6"/>
  <c r="U36" i="6"/>
  <c r="U16" i="6"/>
  <c r="U17" i="6"/>
  <c r="U40" i="6"/>
  <c r="U44" i="6"/>
  <c r="V44" i="6"/>
  <c r="V46" i="6"/>
  <c r="P48" i="6"/>
  <c r="K11" i="6"/>
  <c r="F40" i="6"/>
  <c r="F44" i="6"/>
  <c r="G44" i="6"/>
  <c r="H44" i="6"/>
  <c r="I44" i="6"/>
  <c r="J40" i="6"/>
  <c r="J44" i="6"/>
  <c r="K16" i="6"/>
  <c r="K40" i="6"/>
  <c r="K44" i="6"/>
  <c r="L44" i="6"/>
  <c r="L46" i="6"/>
  <c r="F48" i="6"/>
  <c r="U46" i="6"/>
  <c r="T46" i="6"/>
  <c r="S46" i="6"/>
  <c r="R46" i="6"/>
  <c r="Q46" i="6"/>
  <c r="P46" i="6"/>
  <c r="K46" i="6"/>
  <c r="J46" i="6"/>
  <c r="I46" i="6"/>
  <c r="H46" i="6"/>
  <c r="G46" i="6"/>
  <c r="K18" i="6"/>
  <c r="K27" i="6"/>
  <c r="K35" i="6"/>
  <c r="U35" i="6"/>
  <c r="J18" i="6"/>
  <c r="J27" i="6"/>
  <c r="J35" i="6"/>
  <c r="T35" i="6"/>
  <c r="I18" i="6"/>
  <c r="I27" i="6"/>
  <c r="I35" i="6"/>
  <c r="S35" i="6"/>
  <c r="H18" i="6"/>
  <c r="H27" i="6"/>
  <c r="H35" i="6"/>
  <c r="R35" i="6"/>
  <c r="O8" i="6"/>
  <c r="O33" i="6"/>
  <c r="E24" i="6"/>
  <c r="E33" i="6"/>
  <c r="O7" i="6"/>
  <c r="O32" i="6"/>
  <c r="E23" i="6"/>
  <c r="E32" i="6"/>
  <c r="O6" i="6"/>
  <c r="O31" i="6"/>
  <c r="E22" i="6"/>
  <c r="E31" i="6"/>
  <c r="O5" i="6"/>
  <c r="O30" i="6"/>
  <c r="E21" i="6"/>
  <c r="E30" i="6"/>
  <c r="O4" i="6"/>
  <c r="O29" i="6"/>
  <c r="E20" i="6"/>
  <c r="E29" i="6"/>
  <c r="P20" i="6"/>
  <c r="R20" i="6"/>
  <c r="Q20" i="6"/>
  <c r="Q21" i="6"/>
  <c r="R21" i="6"/>
  <c r="S21" i="6"/>
  <c r="Q22" i="6"/>
  <c r="T22" i="6"/>
  <c r="R22" i="6"/>
  <c r="S22" i="6"/>
  <c r="U22" i="6"/>
  <c r="Q23" i="6"/>
  <c r="R23" i="6"/>
  <c r="I23" i="6"/>
  <c r="S23" i="6"/>
  <c r="J23" i="6"/>
  <c r="T23" i="6"/>
  <c r="U23" i="6"/>
  <c r="P28" i="6" a="1"/>
  <c r="P28" i="6"/>
  <c r="Q28" i="6"/>
  <c r="R28" i="6"/>
  <c r="S28" i="6"/>
  <c r="T28" i="6"/>
  <c r="U28" i="6"/>
  <c r="P29" i="6"/>
  <c r="Q29" i="6"/>
  <c r="R29" i="6"/>
  <c r="S29" i="6"/>
  <c r="T29" i="6"/>
  <c r="U29" i="6"/>
  <c r="P30" i="6"/>
  <c r="Q30" i="6"/>
  <c r="R30" i="6"/>
  <c r="S30" i="6"/>
  <c r="T30" i="6"/>
  <c r="U30" i="6"/>
  <c r="P31" i="6"/>
  <c r="Q31" i="6"/>
  <c r="R31" i="6"/>
  <c r="S31" i="6"/>
  <c r="T31" i="6"/>
  <c r="U31" i="6"/>
  <c r="P32" i="6"/>
  <c r="Q32" i="6"/>
  <c r="R32" i="6"/>
  <c r="S32" i="6"/>
  <c r="T32" i="6"/>
  <c r="U32" i="6"/>
  <c r="P33" i="6"/>
  <c r="Q33" i="6"/>
  <c r="R33" i="6"/>
  <c r="S33" i="6"/>
  <c r="T33" i="6"/>
  <c r="U33" i="6"/>
  <c r="O3" i="6"/>
  <c r="O28" i="6"/>
  <c r="F20" i="6"/>
  <c r="H20" i="6"/>
  <c r="G20" i="6"/>
  <c r="G21" i="6"/>
  <c r="H21" i="6"/>
  <c r="I21" i="6"/>
  <c r="J22" i="6"/>
  <c r="H22" i="6"/>
  <c r="I22" i="6"/>
  <c r="F28" i="6" a="1"/>
  <c r="F28" i="6"/>
  <c r="G28" i="6"/>
  <c r="H28" i="6"/>
  <c r="I28" i="6"/>
  <c r="J28" i="6"/>
  <c r="K28" i="6"/>
  <c r="F29" i="6"/>
  <c r="G29" i="6"/>
  <c r="H29" i="6"/>
  <c r="I29" i="6"/>
  <c r="J29" i="6"/>
  <c r="K29" i="6"/>
  <c r="F30" i="6"/>
  <c r="G30" i="6"/>
  <c r="H30" i="6"/>
  <c r="I30" i="6"/>
  <c r="J30" i="6"/>
  <c r="K30" i="6"/>
  <c r="F31" i="6"/>
  <c r="G31" i="6"/>
  <c r="H31" i="6"/>
  <c r="I31" i="6"/>
  <c r="J31" i="6"/>
  <c r="K31" i="6"/>
  <c r="F32" i="6"/>
  <c r="G32" i="6"/>
  <c r="H32" i="6"/>
  <c r="I32" i="6"/>
  <c r="J32" i="6"/>
  <c r="K32" i="6"/>
  <c r="F33" i="6"/>
  <c r="G33" i="6"/>
  <c r="H33" i="6"/>
  <c r="I33" i="6"/>
  <c r="J33" i="6"/>
  <c r="K33" i="6"/>
  <c r="E19" i="6"/>
  <c r="E28" i="6"/>
  <c r="U2" i="6"/>
  <c r="U27" i="6"/>
  <c r="T2" i="6"/>
  <c r="T27" i="6"/>
  <c r="S2" i="6"/>
  <c r="S27" i="6"/>
  <c r="R2" i="6"/>
  <c r="R27" i="6"/>
  <c r="Q2" i="6"/>
  <c r="Q27" i="6"/>
  <c r="P2" i="6"/>
  <c r="P27" i="6"/>
  <c r="G18" i="6"/>
  <c r="G27" i="6"/>
  <c r="F18" i="6"/>
  <c r="F27" i="6"/>
  <c r="O24" i="6"/>
  <c r="O23" i="6"/>
  <c r="O22" i="6"/>
  <c r="O21" i="6"/>
  <c r="O20" i="6"/>
  <c r="O19" i="6"/>
  <c r="U18" i="6"/>
  <c r="T18" i="6"/>
  <c r="S18" i="6"/>
  <c r="R18" i="6"/>
  <c r="Q18" i="6"/>
  <c r="P18" i="6"/>
  <c r="H34" i="5"/>
  <c r="I34" i="5"/>
  <c r="J34" i="5"/>
  <c r="K34" i="5"/>
  <c r="L34" i="5"/>
  <c r="M34" i="5"/>
  <c r="N34" i="5"/>
  <c r="O34" i="5"/>
  <c r="AA72" i="5"/>
  <c r="B18" i="6"/>
  <c r="K17" i="6"/>
  <c r="J17" i="6"/>
  <c r="I17" i="6"/>
  <c r="H17" i="6"/>
  <c r="G17" i="6"/>
  <c r="P34" i="5"/>
  <c r="Q34" i="5"/>
  <c r="R34" i="5"/>
  <c r="S34" i="5"/>
  <c r="T34" i="5"/>
  <c r="U34" i="5"/>
  <c r="V34" i="5"/>
  <c r="W34" i="5"/>
  <c r="O16" i="6"/>
  <c r="E16" i="6"/>
  <c r="O15" i="6"/>
  <c r="E15" i="6"/>
  <c r="O14" i="6"/>
  <c r="E14" i="6"/>
  <c r="O13" i="6"/>
  <c r="E13" i="6"/>
  <c r="O12" i="6"/>
  <c r="E12" i="6"/>
  <c r="T16" i="6"/>
  <c r="S16" i="6"/>
  <c r="R16" i="6"/>
  <c r="Q16" i="6"/>
  <c r="P16" i="6"/>
  <c r="T15" i="6"/>
  <c r="S15" i="6"/>
  <c r="R15" i="6"/>
  <c r="Q15" i="6"/>
  <c r="P15" i="6"/>
  <c r="T14" i="6"/>
  <c r="S14" i="6"/>
  <c r="R14" i="6"/>
  <c r="Q14" i="6"/>
  <c r="P14" i="6"/>
  <c r="T13" i="6"/>
  <c r="S13" i="6"/>
  <c r="R13" i="6"/>
  <c r="Q13" i="6"/>
  <c r="P13" i="6"/>
  <c r="T12" i="6"/>
  <c r="S12" i="6"/>
  <c r="R12" i="6"/>
  <c r="Q12" i="6"/>
  <c r="P12" i="6"/>
  <c r="U11" i="6"/>
  <c r="T11" i="6"/>
  <c r="S11" i="6"/>
  <c r="R11" i="6"/>
  <c r="Q11" i="6"/>
  <c r="P11" i="6"/>
  <c r="O11" i="6"/>
  <c r="J16" i="6"/>
  <c r="I16" i="6"/>
  <c r="H16" i="6"/>
  <c r="G16" i="6"/>
  <c r="F16" i="6"/>
  <c r="J15" i="6"/>
  <c r="I15" i="6"/>
  <c r="H15" i="6"/>
  <c r="G15" i="6"/>
  <c r="F15" i="6"/>
  <c r="J14" i="6"/>
  <c r="I14" i="6"/>
  <c r="H14" i="6"/>
  <c r="G14" i="6"/>
  <c r="F14" i="6"/>
  <c r="J13" i="6"/>
  <c r="I13" i="6"/>
  <c r="H13" i="6"/>
  <c r="G13" i="6"/>
  <c r="F13" i="6"/>
  <c r="J12" i="6"/>
  <c r="I12" i="6"/>
  <c r="H12" i="6"/>
  <c r="G12" i="6"/>
  <c r="F12" i="6"/>
  <c r="J11" i="6"/>
  <c r="I11" i="6"/>
  <c r="H11" i="6"/>
  <c r="G11" i="6"/>
  <c r="F11" i="6"/>
  <c r="E11" i="6"/>
  <c r="U10" i="6"/>
  <c r="T10" i="6"/>
  <c r="S10" i="6"/>
  <c r="R10" i="6"/>
  <c r="Q10" i="6"/>
  <c r="P10" i="6"/>
  <c r="K10" i="6"/>
  <c r="J10" i="6"/>
  <c r="I10" i="6"/>
  <c r="H10" i="6"/>
  <c r="G10" i="6"/>
  <c r="F10" i="6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H85" i="5"/>
  <c r="I85" i="5"/>
  <c r="J85" i="5"/>
  <c r="K85" i="5"/>
  <c r="L85" i="5"/>
  <c r="M85" i="5"/>
  <c r="N85" i="5"/>
  <c r="AA85" i="5"/>
  <c r="O85" i="5"/>
  <c r="P85" i="5"/>
  <c r="Q85" i="5"/>
  <c r="R85" i="5"/>
  <c r="S85" i="5"/>
  <c r="T85" i="5"/>
  <c r="U85" i="5"/>
  <c r="V85" i="5"/>
  <c r="W85" i="5"/>
  <c r="G85" i="5"/>
  <c r="F85" i="5"/>
  <c r="E85" i="5"/>
  <c r="D85" i="5"/>
  <c r="H84" i="5"/>
  <c r="I84" i="5"/>
  <c r="J84" i="5"/>
  <c r="K84" i="5"/>
  <c r="L84" i="5"/>
  <c r="M84" i="5"/>
  <c r="N84" i="5"/>
  <c r="AA84" i="5"/>
  <c r="O84" i="5"/>
  <c r="P84" i="5"/>
  <c r="Q84" i="5"/>
  <c r="R84" i="5"/>
  <c r="S84" i="5"/>
  <c r="T84" i="5"/>
  <c r="U84" i="5"/>
  <c r="V84" i="5"/>
  <c r="W84" i="5"/>
  <c r="G84" i="5"/>
  <c r="F84" i="5"/>
  <c r="E84" i="5"/>
  <c r="D84" i="5"/>
  <c r="AA83" i="5"/>
  <c r="G83" i="5"/>
  <c r="F83" i="5"/>
  <c r="E83" i="5"/>
  <c r="D83" i="5"/>
  <c r="G82" i="5"/>
  <c r="F82" i="5"/>
  <c r="E82" i="5"/>
  <c r="D82" i="5"/>
  <c r="G81" i="5"/>
  <c r="F81" i="5"/>
  <c r="E81" i="5"/>
  <c r="D81" i="5"/>
  <c r="G80" i="5"/>
  <c r="F80" i="5"/>
  <c r="E80" i="5"/>
  <c r="D80" i="5"/>
  <c r="D77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D76" i="5"/>
  <c r="D66" i="5"/>
  <c r="D74" i="5"/>
  <c r="D73" i="5"/>
  <c r="G34" i="5"/>
  <c r="F34" i="5"/>
  <c r="E34" i="5"/>
  <c r="D34" i="5"/>
  <c r="D71" i="5"/>
  <c r="Z70" i="5"/>
  <c r="Z69" i="5"/>
  <c r="D68" i="5"/>
  <c r="D67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W43" i="5"/>
  <c r="W40" i="5"/>
  <c r="W51" i="5"/>
  <c r="V43" i="5"/>
  <c r="V40" i="5"/>
  <c r="V51" i="5"/>
  <c r="U43" i="5"/>
  <c r="U40" i="5"/>
  <c r="U51" i="5"/>
  <c r="T43" i="5"/>
  <c r="T40" i="5"/>
  <c r="T51" i="5"/>
  <c r="S43" i="5"/>
  <c r="S40" i="5"/>
  <c r="S51" i="5"/>
  <c r="R43" i="5"/>
  <c r="R40" i="5"/>
  <c r="R51" i="5"/>
  <c r="Q43" i="5"/>
  <c r="Q40" i="5"/>
  <c r="Q51" i="5"/>
  <c r="P43" i="5"/>
  <c r="P40" i="5"/>
  <c r="P51" i="5"/>
  <c r="O43" i="5"/>
  <c r="O40" i="5"/>
  <c r="O51" i="5"/>
  <c r="N43" i="5"/>
  <c r="N40" i="5"/>
  <c r="N51" i="5"/>
  <c r="M43" i="5"/>
  <c r="M40" i="5"/>
  <c r="M51" i="5"/>
  <c r="L43" i="5"/>
  <c r="L40" i="5"/>
  <c r="L51" i="5"/>
  <c r="K43" i="5"/>
  <c r="K40" i="5"/>
  <c r="K51" i="5"/>
  <c r="J43" i="5"/>
  <c r="J40" i="5"/>
  <c r="J51" i="5"/>
  <c r="I43" i="5"/>
  <c r="I40" i="5"/>
  <c r="I51" i="5"/>
  <c r="H43" i="5"/>
  <c r="H40" i="5"/>
  <c r="H51" i="5"/>
  <c r="G43" i="5"/>
  <c r="G40" i="5"/>
  <c r="G51" i="5"/>
  <c r="F43" i="5"/>
  <c r="F40" i="5"/>
  <c r="F51" i="5"/>
  <c r="E43" i="5"/>
  <c r="E40" i="5"/>
  <c r="E51" i="5"/>
  <c r="D43" i="5"/>
  <c r="D40" i="5"/>
  <c r="D51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W41" i="5"/>
  <c r="W49" i="5"/>
  <c r="V41" i="5"/>
  <c r="V49" i="5"/>
  <c r="U41" i="5"/>
  <c r="U49" i="5"/>
  <c r="T41" i="5"/>
  <c r="T49" i="5"/>
  <c r="S41" i="5"/>
  <c r="S49" i="5"/>
  <c r="R41" i="5"/>
  <c r="R49" i="5"/>
  <c r="Q41" i="5"/>
  <c r="Q49" i="5"/>
  <c r="P41" i="5"/>
  <c r="P49" i="5"/>
  <c r="O41" i="5"/>
  <c r="O49" i="5"/>
  <c r="N41" i="5"/>
  <c r="N49" i="5"/>
  <c r="M41" i="5"/>
  <c r="M49" i="5"/>
  <c r="L41" i="5"/>
  <c r="L49" i="5"/>
  <c r="K41" i="5"/>
  <c r="K49" i="5"/>
  <c r="J41" i="5"/>
  <c r="J49" i="5"/>
  <c r="I41" i="5"/>
  <c r="I49" i="5"/>
  <c r="H41" i="5"/>
  <c r="H49" i="5"/>
  <c r="G41" i="5"/>
  <c r="G49" i="5"/>
  <c r="F41" i="5"/>
  <c r="F49" i="5"/>
  <c r="E41" i="5"/>
  <c r="E49" i="5"/>
  <c r="D41" i="5"/>
  <c r="D49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M27" i="5"/>
  <c r="M28" i="5"/>
  <c r="M31" i="5"/>
  <c r="N27" i="5"/>
  <c r="N28" i="5"/>
  <c r="N31" i="5"/>
  <c r="O27" i="5"/>
  <c r="O28" i="5"/>
  <c r="O31" i="5"/>
  <c r="P27" i="5"/>
  <c r="P28" i="5"/>
  <c r="P31" i="5"/>
  <c r="Y31" i="5"/>
  <c r="Z31" i="5"/>
  <c r="Z32" i="5"/>
  <c r="V27" i="5"/>
  <c r="V28" i="5"/>
  <c r="V31" i="5"/>
  <c r="U27" i="5"/>
  <c r="U28" i="5"/>
  <c r="U31" i="5"/>
  <c r="T27" i="5"/>
  <c r="T28" i="5"/>
  <c r="T31" i="5"/>
  <c r="R27" i="5"/>
  <c r="R31" i="5"/>
  <c r="Q27" i="5"/>
  <c r="Q31" i="5"/>
  <c r="L27" i="5"/>
  <c r="L31" i="5"/>
  <c r="K27" i="5"/>
  <c r="K31" i="5"/>
  <c r="J27" i="5"/>
  <c r="J31" i="5"/>
  <c r="I27" i="5"/>
  <c r="I31" i="5"/>
  <c r="H27" i="5"/>
  <c r="H31" i="5"/>
  <c r="G27" i="5"/>
  <c r="G31" i="5"/>
  <c r="F27" i="5"/>
  <c r="F31" i="5"/>
  <c r="E27" i="5"/>
  <c r="E31" i="5"/>
  <c r="D27" i="5"/>
  <c r="D31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W28" i="5"/>
  <c r="S28" i="5"/>
  <c r="R28" i="5"/>
  <c r="Q28" i="5"/>
  <c r="L28" i="5"/>
  <c r="K28" i="5"/>
  <c r="J28" i="5"/>
  <c r="I28" i="5"/>
  <c r="H28" i="5"/>
  <c r="G28" i="5"/>
  <c r="F28" i="5"/>
  <c r="E28" i="5"/>
  <c r="D28" i="5"/>
  <c r="W27" i="5"/>
  <c r="S27" i="5"/>
  <c r="AE8" i="4"/>
  <c r="AE9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E10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V100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W100" i="4"/>
  <c r="Y100" i="4"/>
  <c r="X100" i="4"/>
  <c r="S1" i="4"/>
  <c r="R100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S100" i="4"/>
  <c r="U100" i="4"/>
  <c r="T10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H100" i="4"/>
  <c r="B100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C100" i="4"/>
  <c r="E100" i="4"/>
  <c r="D100" i="4"/>
  <c r="W99" i="4"/>
  <c r="Y99" i="4"/>
  <c r="X99" i="4"/>
  <c r="S99" i="4"/>
  <c r="U99" i="4"/>
  <c r="T99" i="4"/>
  <c r="H99" i="4"/>
  <c r="C99" i="4"/>
  <c r="E99" i="4"/>
  <c r="D99" i="4"/>
  <c r="W98" i="4"/>
  <c r="Y98" i="4"/>
  <c r="X98" i="4"/>
  <c r="S98" i="4"/>
  <c r="U98" i="4"/>
  <c r="T98" i="4"/>
  <c r="H98" i="4"/>
  <c r="C98" i="4"/>
  <c r="E98" i="4"/>
  <c r="D98" i="4"/>
  <c r="W97" i="4"/>
  <c r="Y97" i="4"/>
  <c r="X97" i="4"/>
  <c r="S97" i="4"/>
  <c r="U97" i="4"/>
  <c r="T97" i="4"/>
  <c r="H97" i="4"/>
  <c r="C97" i="4"/>
  <c r="E97" i="4"/>
  <c r="D97" i="4"/>
  <c r="W96" i="4"/>
  <c r="Y96" i="4"/>
  <c r="X96" i="4"/>
  <c r="S96" i="4"/>
  <c r="U96" i="4"/>
  <c r="T96" i="4"/>
  <c r="H96" i="4"/>
  <c r="C96" i="4"/>
  <c r="E96" i="4"/>
  <c r="D96" i="4"/>
  <c r="W95" i="4"/>
  <c r="Y95" i="4"/>
  <c r="X95" i="4"/>
  <c r="S95" i="4"/>
  <c r="U95" i="4"/>
  <c r="T95" i="4"/>
  <c r="H95" i="4"/>
  <c r="C95" i="4"/>
  <c r="E95" i="4"/>
  <c r="D95" i="4"/>
  <c r="W94" i="4"/>
  <c r="Y94" i="4"/>
  <c r="X94" i="4"/>
  <c r="S94" i="4"/>
  <c r="U94" i="4"/>
  <c r="T94" i="4"/>
  <c r="H94" i="4"/>
  <c r="C94" i="4"/>
  <c r="E94" i="4"/>
  <c r="D94" i="4"/>
  <c r="W93" i="4"/>
  <c r="Y93" i="4"/>
  <c r="X93" i="4"/>
  <c r="S93" i="4"/>
  <c r="U93" i="4"/>
  <c r="T93" i="4"/>
  <c r="H93" i="4"/>
  <c r="C93" i="4"/>
  <c r="E93" i="4"/>
  <c r="D93" i="4"/>
  <c r="W92" i="4"/>
  <c r="Y92" i="4"/>
  <c r="X92" i="4"/>
  <c r="S92" i="4"/>
  <c r="U92" i="4"/>
  <c r="T92" i="4"/>
  <c r="H92" i="4"/>
  <c r="C92" i="4"/>
  <c r="E92" i="4"/>
  <c r="D92" i="4"/>
  <c r="W91" i="4"/>
  <c r="Y91" i="4"/>
  <c r="X91" i="4"/>
  <c r="S91" i="4"/>
  <c r="U91" i="4"/>
  <c r="T91" i="4"/>
  <c r="H91" i="4"/>
  <c r="C91" i="4"/>
  <c r="E91" i="4"/>
  <c r="D91" i="4"/>
  <c r="W90" i="4"/>
  <c r="Y90" i="4"/>
  <c r="X90" i="4"/>
  <c r="S90" i="4"/>
  <c r="U90" i="4"/>
  <c r="T90" i="4"/>
  <c r="H90" i="4"/>
  <c r="C90" i="4"/>
  <c r="E90" i="4"/>
  <c r="D90" i="4"/>
  <c r="W89" i="4"/>
  <c r="Y89" i="4"/>
  <c r="X89" i="4"/>
  <c r="S89" i="4"/>
  <c r="U89" i="4"/>
  <c r="T89" i="4"/>
  <c r="H89" i="4"/>
  <c r="C89" i="4"/>
  <c r="E89" i="4"/>
  <c r="D89" i="4"/>
  <c r="W88" i="4"/>
  <c r="Y88" i="4"/>
  <c r="X88" i="4"/>
  <c r="S88" i="4"/>
  <c r="U88" i="4"/>
  <c r="T88" i="4"/>
  <c r="H88" i="4"/>
  <c r="C88" i="4"/>
  <c r="E88" i="4"/>
  <c r="D88" i="4"/>
  <c r="W87" i="4"/>
  <c r="Y87" i="4"/>
  <c r="X87" i="4"/>
  <c r="S87" i="4"/>
  <c r="U87" i="4"/>
  <c r="T87" i="4"/>
  <c r="H87" i="4"/>
  <c r="C87" i="4"/>
  <c r="E87" i="4"/>
  <c r="D87" i="4"/>
  <c r="W86" i="4"/>
  <c r="Y86" i="4"/>
  <c r="X86" i="4"/>
  <c r="S86" i="4"/>
  <c r="U86" i="4"/>
  <c r="T86" i="4"/>
  <c r="H86" i="4"/>
  <c r="C86" i="4"/>
  <c r="E86" i="4"/>
  <c r="D86" i="4"/>
  <c r="W85" i="4"/>
  <c r="Y85" i="4"/>
  <c r="X85" i="4"/>
  <c r="S85" i="4"/>
  <c r="U85" i="4"/>
  <c r="T85" i="4"/>
  <c r="H85" i="4"/>
  <c r="C85" i="4"/>
  <c r="E85" i="4"/>
  <c r="D85" i="4"/>
  <c r="W84" i="4"/>
  <c r="Y84" i="4"/>
  <c r="X84" i="4"/>
  <c r="S84" i="4"/>
  <c r="U84" i="4"/>
  <c r="T84" i="4"/>
  <c r="H84" i="4"/>
  <c r="C84" i="4"/>
  <c r="E84" i="4"/>
  <c r="D84" i="4"/>
  <c r="W83" i="4"/>
  <c r="Y83" i="4"/>
  <c r="X83" i="4"/>
  <c r="S83" i="4"/>
  <c r="U83" i="4"/>
  <c r="T83" i="4"/>
  <c r="H83" i="4"/>
  <c r="C83" i="4"/>
  <c r="E83" i="4"/>
  <c r="D83" i="4"/>
  <c r="W82" i="4"/>
  <c r="Y82" i="4"/>
  <c r="X82" i="4"/>
  <c r="S82" i="4"/>
  <c r="U82" i="4"/>
  <c r="T82" i="4"/>
  <c r="H82" i="4"/>
  <c r="C82" i="4"/>
  <c r="E82" i="4"/>
  <c r="D82" i="4"/>
  <c r="W81" i="4"/>
  <c r="Y81" i="4"/>
  <c r="X81" i="4"/>
  <c r="S81" i="4"/>
  <c r="U81" i="4"/>
  <c r="T81" i="4"/>
  <c r="H81" i="4"/>
  <c r="C81" i="4"/>
  <c r="E81" i="4"/>
  <c r="D81" i="4"/>
  <c r="W80" i="4"/>
  <c r="Y80" i="4"/>
  <c r="X80" i="4"/>
  <c r="S80" i="4"/>
  <c r="U80" i="4"/>
  <c r="T80" i="4"/>
  <c r="H80" i="4"/>
  <c r="C80" i="4"/>
  <c r="E80" i="4"/>
  <c r="D80" i="4"/>
  <c r="W79" i="4"/>
  <c r="Y79" i="4"/>
  <c r="X79" i="4"/>
  <c r="S79" i="4"/>
  <c r="U79" i="4"/>
  <c r="T79" i="4"/>
  <c r="H79" i="4"/>
  <c r="C79" i="4"/>
  <c r="E79" i="4"/>
  <c r="D79" i="4"/>
  <c r="W78" i="4"/>
  <c r="Y78" i="4"/>
  <c r="X78" i="4"/>
  <c r="S78" i="4"/>
  <c r="U78" i="4"/>
  <c r="T78" i="4"/>
  <c r="H78" i="4"/>
  <c r="C78" i="4"/>
  <c r="E78" i="4"/>
  <c r="D78" i="4"/>
  <c r="W77" i="4"/>
  <c r="Y77" i="4"/>
  <c r="X77" i="4"/>
  <c r="S77" i="4"/>
  <c r="U77" i="4"/>
  <c r="T77" i="4"/>
  <c r="H77" i="4"/>
  <c r="C77" i="4"/>
  <c r="E77" i="4"/>
  <c r="D77" i="4"/>
  <c r="W76" i="4"/>
  <c r="Y76" i="4"/>
  <c r="X76" i="4"/>
  <c r="S76" i="4"/>
  <c r="U76" i="4"/>
  <c r="T76" i="4"/>
  <c r="I76" i="4"/>
  <c r="H76" i="4"/>
  <c r="G76" i="4"/>
  <c r="D76" i="4"/>
  <c r="C76" i="4"/>
  <c r="W75" i="4"/>
  <c r="Y75" i="4"/>
  <c r="X75" i="4"/>
  <c r="S75" i="4"/>
  <c r="U75" i="4"/>
  <c r="T75" i="4"/>
  <c r="W74" i="4"/>
  <c r="Y74" i="4"/>
  <c r="X74" i="4"/>
  <c r="S74" i="4"/>
  <c r="U74" i="4"/>
  <c r="T74" i="4"/>
  <c r="W73" i="4"/>
  <c r="Y73" i="4"/>
  <c r="X73" i="4"/>
  <c r="S73" i="4"/>
  <c r="U73" i="4"/>
  <c r="T73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V42" i="4"/>
  <c r="R42" i="4"/>
  <c r="B42" i="4"/>
  <c r="V41" i="4"/>
  <c r="R41" i="4"/>
  <c r="B41" i="4"/>
  <c r="V40" i="4"/>
  <c r="R40" i="4"/>
  <c r="N40" i="4"/>
  <c r="J40" i="4"/>
  <c r="F40" i="4"/>
  <c r="B40" i="4"/>
  <c r="V39" i="4"/>
  <c r="R39" i="4"/>
  <c r="N39" i="4"/>
  <c r="J39" i="4"/>
  <c r="F39" i="4"/>
  <c r="B39" i="4"/>
  <c r="V38" i="4"/>
  <c r="R38" i="4"/>
  <c r="N38" i="4"/>
  <c r="J38" i="4"/>
  <c r="F38" i="4"/>
  <c r="B38" i="4"/>
  <c r="V37" i="4"/>
  <c r="R37" i="4"/>
  <c r="N37" i="4"/>
  <c r="J37" i="4"/>
  <c r="F37" i="4"/>
  <c r="B37" i="4"/>
  <c r="V36" i="4"/>
  <c r="R36" i="4"/>
  <c r="N36" i="4"/>
  <c r="J36" i="4"/>
  <c r="F36" i="4"/>
  <c r="B36" i="4"/>
  <c r="V35" i="4"/>
  <c r="R35" i="4"/>
  <c r="N35" i="4"/>
  <c r="J35" i="4"/>
  <c r="F35" i="4"/>
  <c r="B35" i="4"/>
  <c r="V34" i="4"/>
  <c r="R34" i="4"/>
  <c r="N34" i="4"/>
  <c r="J34" i="4"/>
  <c r="F34" i="4"/>
  <c r="B34" i="4"/>
  <c r="V33" i="4"/>
  <c r="R33" i="4"/>
  <c r="N33" i="4"/>
  <c r="J33" i="4"/>
  <c r="F33" i="4"/>
  <c r="B33" i="4"/>
  <c r="V32" i="4"/>
  <c r="R32" i="4"/>
  <c r="N32" i="4"/>
  <c r="J32" i="4"/>
  <c r="F32" i="4"/>
  <c r="B32" i="4"/>
  <c r="V31" i="4"/>
  <c r="R31" i="4"/>
  <c r="N31" i="4"/>
  <c r="J31" i="4"/>
  <c r="F31" i="4"/>
  <c r="B31" i="4"/>
  <c r="V30" i="4"/>
  <c r="R30" i="4"/>
  <c r="N30" i="4"/>
  <c r="J30" i="4"/>
  <c r="F30" i="4"/>
  <c r="B30" i="4"/>
  <c r="V29" i="4"/>
  <c r="R29" i="4"/>
  <c r="N29" i="4"/>
  <c r="J29" i="4"/>
  <c r="F29" i="4"/>
  <c r="B29" i="4"/>
  <c r="V28" i="4"/>
  <c r="R28" i="4"/>
  <c r="N28" i="4"/>
  <c r="J28" i="4"/>
  <c r="F28" i="4"/>
  <c r="B28" i="4"/>
  <c r="V27" i="4"/>
  <c r="R27" i="4"/>
  <c r="N27" i="4"/>
  <c r="J27" i="4"/>
  <c r="F27" i="4"/>
  <c r="B27" i="4"/>
  <c r="V26" i="4"/>
  <c r="R26" i="4"/>
  <c r="N26" i="4"/>
  <c r="J26" i="4"/>
  <c r="F26" i="4"/>
  <c r="B26" i="4"/>
  <c r="V25" i="4"/>
  <c r="R25" i="4"/>
  <c r="N25" i="4"/>
  <c r="J25" i="4"/>
  <c r="F25" i="4"/>
  <c r="B25" i="4"/>
  <c r="V24" i="4"/>
  <c r="R24" i="4"/>
  <c r="N24" i="4"/>
  <c r="J24" i="4"/>
  <c r="F24" i="4"/>
  <c r="B24" i="4"/>
  <c r="V23" i="4"/>
  <c r="R23" i="4"/>
  <c r="N23" i="4"/>
  <c r="J23" i="4"/>
  <c r="F23" i="4"/>
  <c r="B23" i="4"/>
  <c r="V22" i="4"/>
  <c r="R22" i="4"/>
  <c r="N22" i="4"/>
  <c r="J22" i="4"/>
  <c r="F22" i="4"/>
  <c r="B22" i="4"/>
  <c r="V21" i="4"/>
  <c r="R21" i="4"/>
  <c r="N21" i="4"/>
  <c r="J21" i="4"/>
  <c r="F21" i="4"/>
  <c r="B21" i="4"/>
  <c r="V20" i="4"/>
  <c r="R20" i="4"/>
  <c r="N20" i="4"/>
  <c r="J20" i="4"/>
  <c r="F20" i="4"/>
  <c r="B20" i="4"/>
  <c r="V19" i="4"/>
  <c r="R19" i="4"/>
  <c r="N19" i="4"/>
  <c r="J19" i="4"/>
  <c r="F19" i="4"/>
  <c r="B19" i="4"/>
  <c r="V18" i="4"/>
  <c r="R18" i="4"/>
  <c r="N18" i="4"/>
  <c r="J18" i="4"/>
  <c r="F18" i="4"/>
  <c r="B18" i="4"/>
  <c r="V17" i="4"/>
  <c r="R17" i="4"/>
  <c r="N17" i="4"/>
  <c r="J17" i="4"/>
  <c r="F17" i="4"/>
  <c r="B17" i="4"/>
  <c r="V16" i="4"/>
  <c r="R16" i="4"/>
  <c r="N16" i="4"/>
  <c r="J16" i="4"/>
  <c r="F16" i="4"/>
  <c r="B16" i="4"/>
  <c r="V15" i="4"/>
  <c r="R15" i="4"/>
  <c r="N15" i="4"/>
  <c r="J15" i="4"/>
  <c r="F15" i="4"/>
  <c r="B15" i="4"/>
  <c r="V14" i="4"/>
  <c r="R14" i="4"/>
  <c r="N14" i="4"/>
  <c r="J14" i="4"/>
  <c r="F14" i="4"/>
  <c r="B14" i="4"/>
  <c r="V13" i="4"/>
  <c r="R13" i="4"/>
  <c r="N13" i="4"/>
  <c r="J13" i="4"/>
  <c r="F13" i="4"/>
  <c r="B13" i="4"/>
  <c r="V12" i="4"/>
  <c r="R12" i="4"/>
  <c r="N12" i="4"/>
  <c r="J12" i="4"/>
  <c r="F12" i="4"/>
  <c r="B12" i="4"/>
  <c r="V11" i="4"/>
  <c r="R11" i="4"/>
  <c r="N11" i="4"/>
  <c r="J11" i="4"/>
  <c r="F11" i="4"/>
  <c r="B11" i="4"/>
  <c r="AD10" i="4"/>
  <c r="V10" i="4"/>
  <c r="R10" i="4"/>
  <c r="N10" i="4"/>
  <c r="J10" i="4"/>
  <c r="F10" i="4"/>
  <c r="B10" i="4"/>
  <c r="V9" i="4"/>
  <c r="R9" i="4"/>
  <c r="N9" i="4"/>
  <c r="J9" i="4"/>
  <c r="F9" i="4"/>
  <c r="B9" i="4"/>
  <c r="V8" i="4"/>
  <c r="R8" i="4"/>
  <c r="N8" i="4"/>
  <c r="J8" i="4"/>
  <c r="F8" i="4"/>
  <c r="B8" i="4"/>
  <c r="AE7" i="4"/>
  <c r="V7" i="4"/>
  <c r="R7" i="4"/>
  <c r="N7" i="4"/>
  <c r="J7" i="4"/>
  <c r="F7" i="4"/>
  <c r="B7" i="4"/>
  <c r="AE6" i="4"/>
  <c r="AD6" i="4"/>
  <c r="V6" i="4"/>
  <c r="R6" i="4"/>
  <c r="N6" i="4"/>
  <c r="J6" i="4"/>
  <c r="F6" i="4"/>
  <c r="B6" i="4"/>
  <c r="V5" i="4"/>
  <c r="R5" i="4"/>
  <c r="N5" i="4"/>
  <c r="J5" i="4"/>
  <c r="F5" i="4"/>
  <c r="B5" i="4"/>
  <c r="AA3" i="4"/>
  <c r="Z3" i="4"/>
  <c r="C1" i="4"/>
  <c r="D76" i="2"/>
  <c r="B42" i="3"/>
  <c r="D68" i="2"/>
  <c r="B34" i="3"/>
  <c r="D64" i="2"/>
  <c r="B30" i="3"/>
  <c r="F25" i="3"/>
  <c r="D23" i="2"/>
  <c r="D42" i="2"/>
  <c r="B25" i="3"/>
  <c r="A12" i="3"/>
  <c r="F1" i="3"/>
  <c r="F2" i="3"/>
  <c r="F3" i="3"/>
  <c r="F5" i="3"/>
  <c r="B1" i="3"/>
  <c r="B2" i="3"/>
  <c r="B3" i="3"/>
  <c r="B5" i="3"/>
  <c r="E176" i="2"/>
  <c r="D176" i="2"/>
  <c r="E175" i="2"/>
  <c r="D175" i="2"/>
  <c r="E174" i="2"/>
  <c r="D174" i="2"/>
  <c r="E173" i="2"/>
  <c r="D173" i="2"/>
  <c r="E128" i="2"/>
  <c r="E129" i="2"/>
  <c r="E130" i="2"/>
  <c r="D138" i="2"/>
  <c r="D134" i="2"/>
  <c r="D136" i="2"/>
  <c r="E136" i="2"/>
  <c r="E131" i="2"/>
  <c r="E140" i="2"/>
  <c r="D128" i="2"/>
  <c r="D129" i="2"/>
  <c r="D130" i="2"/>
  <c r="D132" i="2"/>
  <c r="D133" i="2"/>
  <c r="D131" i="2"/>
  <c r="D140" i="2"/>
  <c r="E146" i="2"/>
  <c r="E147" i="2"/>
  <c r="E148" i="2"/>
  <c r="E150" i="2"/>
  <c r="E151" i="2"/>
  <c r="E149" i="2"/>
  <c r="E153" i="2"/>
  <c r="D146" i="2"/>
  <c r="D147" i="2"/>
  <c r="D148" i="2"/>
  <c r="D150" i="2"/>
  <c r="D151" i="2"/>
  <c r="D149" i="2"/>
  <c r="D153" i="2"/>
  <c r="C150" i="2"/>
  <c r="A146" i="2"/>
  <c r="E127" i="2"/>
  <c r="E145" i="2"/>
  <c r="D127" i="2"/>
  <c r="D145" i="2"/>
  <c r="E126" i="2"/>
  <c r="E144" i="2"/>
  <c r="D126" i="2"/>
  <c r="D144" i="2"/>
  <c r="E125" i="2"/>
  <c r="E143" i="2"/>
  <c r="D125" i="2"/>
  <c r="D143" i="2"/>
  <c r="E138" i="2"/>
  <c r="C138" i="2"/>
  <c r="E133" i="2"/>
  <c r="E132" i="2"/>
  <c r="E113" i="2"/>
  <c r="D113" i="2"/>
  <c r="E106" i="2"/>
  <c r="D106" i="2"/>
  <c r="E86" i="2"/>
  <c r="E105" i="2"/>
  <c r="D86" i="2"/>
  <c r="D105" i="2"/>
  <c r="E85" i="2"/>
  <c r="E104" i="2"/>
  <c r="D85" i="2"/>
  <c r="D104" i="2"/>
  <c r="C104" i="2"/>
  <c r="E84" i="2"/>
  <c r="E103" i="2"/>
  <c r="D84" i="2"/>
  <c r="D103" i="2"/>
  <c r="D92" i="2"/>
  <c r="C85" i="2"/>
  <c r="E21" i="2"/>
  <c r="E47" i="2"/>
  <c r="E62" i="2"/>
  <c r="D21" i="2"/>
  <c r="D47" i="2"/>
  <c r="D62" i="2"/>
  <c r="E42" i="2"/>
  <c r="D41" i="2"/>
  <c r="D34" i="2"/>
  <c r="D30" i="2"/>
  <c r="D27" i="2"/>
  <c r="D25" i="2"/>
  <c r="E20" i="2"/>
  <c r="D20" i="2"/>
  <c r="E9" i="2"/>
  <c r="B16" i="1"/>
  <c r="B15" i="1"/>
  <c r="B14" i="1"/>
  <c r="B13" i="1"/>
  <c r="B12" i="1"/>
  <c r="B11" i="1"/>
  <c r="B10" i="1"/>
  <c r="B4" i="1"/>
  <c r="A4" i="1"/>
  <c r="B3" i="1"/>
  <c r="A3" i="1"/>
  <c r="B2" i="1"/>
  <c r="A2" i="1"/>
  <c r="F37" i="6" a="1"/>
  <c r="G37" i="6"/>
  <c r="H37" i="6"/>
  <c r="I37" i="6"/>
  <c r="J37" i="6"/>
  <c r="K37" i="6"/>
  <c r="G38" i="6"/>
  <c r="D107" i="2"/>
  <c r="H38" i="6"/>
  <c r="E107" i="2"/>
  <c r="D108" i="2"/>
  <c r="I38" i="6"/>
  <c r="E108" i="2"/>
  <c r="D109" i="2"/>
  <c r="J38" i="6"/>
  <c r="E109" i="2"/>
  <c r="D110" i="2"/>
  <c r="K38" i="6"/>
  <c r="E110" i="2"/>
  <c r="P37" i="6" a="1"/>
  <c r="Q37" i="6"/>
  <c r="R37" i="6"/>
  <c r="S37" i="6"/>
  <c r="T37" i="6"/>
  <c r="U37" i="6"/>
  <c r="Q38" i="6"/>
  <c r="D114" i="2"/>
  <c r="R38" i="6"/>
  <c r="E114" i="2"/>
  <c r="D115" i="2"/>
  <c r="S38" i="6"/>
  <c r="E115" i="2"/>
  <c r="D116" i="2"/>
  <c r="T38" i="6"/>
  <c r="E116" i="2"/>
  <c r="D117" i="2"/>
  <c r="U38" i="6"/>
  <c r="E117" i="2"/>
  <c r="F37" i="6"/>
  <c r="P37" i="6"/>
  <c r="L41" i="6"/>
  <c r="L42" i="6"/>
  <c r="V42" i="6"/>
  <c r="H48" i="6"/>
  <c r="I48" i="6"/>
  <c r="J48" i="6"/>
  <c r="K48" i="6"/>
  <c r="R48" i="6"/>
  <c r="S48" i="6"/>
  <c r="T48" i="6"/>
  <c r="U48" i="6"/>
  <c r="G48" i="6"/>
  <c r="L48" i="6"/>
  <c r="L49" i="6"/>
  <c r="L50" i="6"/>
  <c r="Q48" i="6"/>
  <c r="V48" i="6"/>
  <c r="V49" i="6"/>
  <c r="V50" i="6"/>
  <c r="F37" i="8" a="1"/>
  <c r="G37" i="8"/>
  <c r="H37" i="8"/>
  <c r="I37" i="8"/>
  <c r="J37" i="8"/>
  <c r="K37" i="8"/>
  <c r="G38" i="8"/>
  <c r="H38" i="8"/>
  <c r="I38" i="8"/>
  <c r="J38" i="8"/>
  <c r="K38" i="8"/>
  <c r="L41" i="8"/>
  <c r="L42" i="8"/>
  <c r="P37" i="8" a="1"/>
  <c r="Q37" i="8"/>
  <c r="R37" i="8"/>
  <c r="S37" i="8"/>
  <c r="T37" i="8"/>
  <c r="U37" i="8"/>
  <c r="Q38" i="8"/>
  <c r="R38" i="8"/>
  <c r="S38" i="8"/>
  <c r="T38" i="8"/>
  <c r="U38" i="8"/>
  <c r="V42" i="8"/>
  <c r="H48" i="8"/>
  <c r="I48" i="8"/>
  <c r="J48" i="8"/>
  <c r="K48" i="8"/>
  <c r="R48" i="8"/>
  <c r="S48" i="8"/>
  <c r="T48" i="8"/>
  <c r="U48" i="8"/>
  <c r="F37" i="8"/>
  <c r="G48" i="8"/>
  <c r="L48" i="8"/>
  <c r="L49" i="8"/>
  <c r="L50" i="8"/>
  <c r="P37" i="8"/>
  <c r="Q48" i="8"/>
  <c r="V48" i="8"/>
  <c r="V49" i="8"/>
  <c r="V50" i="8"/>
  <c r="E111" i="2"/>
  <c r="E112" i="2"/>
  <c r="D111" i="2"/>
  <c r="D112" i="2"/>
  <c r="D118" i="2"/>
  <c r="D119" i="2"/>
  <c r="E118" i="2"/>
  <c r="E119" i="2"/>
  <c r="F37" i="11" a="1"/>
  <c r="G37" i="11"/>
  <c r="H37" i="11"/>
  <c r="I37" i="11"/>
  <c r="J37" i="11"/>
  <c r="K37" i="11"/>
  <c r="G38" i="11"/>
  <c r="H38" i="11"/>
  <c r="I38" i="11"/>
  <c r="J38" i="11"/>
  <c r="K38" i="11"/>
  <c r="L41" i="11"/>
  <c r="L42" i="11"/>
  <c r="P37" i="11" a="1"/>
  <c r="Q37" i="11"/>
  <c r="R37" i="11"/>
  <c r="S37" i="11"/>
  <c r="T37" i="11"/>
  <c r="U37" i="11"/>
  <c r="Q38" i="11"/>
  <c r="R38" i="11"/>
  <c r="S38" i="11"/>
  <c r="T38" i="11"/>
  <c r="U38" i="11"/>
  <c r="V42" i="11"/>
  <c r="H48" i="11"/>
  <c r="I48" i="11"/>
  <c r="J48" i="11"/>
  <c r="K48" i="11"/>
  <c r="R48" i="11"/>
  <c r="S48" i="11"/>
  <c r="T48" i="11"/>
  <c r="U48" i="11"/>
  <c r="F37" i="11"/>
  <c r="G48" i="11"/>
  <c r="L48" i="11"/>
  <c r="L49" i="11"/>
  <c r="L50" i="11"/>
  <c r="P37" i="11"/>
  <c r="Q48" i="11"/>
  <c r="V48" i="11"/>
  <c r="V49" i="11"/>
  <c r="V50" i="11"/>
</calcChain>
</file>

<file path=xl/sharedStrings.xml><?xml version="1.0" encoding="utf-8"?>
<sst xmlns="http://schemas.openxmlformats.org/spreadsheetml/2006/main" count="908" uniqueCount="274">
  <si>
    <t>Status</t>
  </si>
  <si>
    <t>PASS</t>
  </si>
  <si>
    <t>1.  Forecast ECL</t>
  </si>
  <si>
    <t>1.1 %ECL &lt; Yield to KBank 
(At least 1 year)</t>
  </si>
  <si>
    <t>1.2 %ECL &lt; Yield to FG + Leasing
(At least 6months)</t>
  </si>
  <si>
    <t>2. %Premium Fee &gt; %ECL</t>
  </si>
  <si>
    <t>Remarks</t>
  </si>
  <si>
    <t>Input</t>
  </si>
  <si>
    <t>Platform</t>
  </si>
  <si>
    <t>OffCN</t>
  </si>
  <si>
    <t>Output</t>
  </si>
  <si>
    <t>Loan Channel</t>
  </si>
  <si>
    <t>Zhongqi</t>
  </si>
  <si>
    <t>Guarantor</t>
  </si>
  <si>
    <t>Da Qin</t>
  </si>
  <si>
    <t>Limit</t>
  </si>
  <si>
    <t>%Deposit margin</t>
  </si>
  <si>
    <t>%Yield for cus</t>
  </si>
  <si>
    <t>%Yield to KBANK</t>
  </si>
  <si>
    <t>%Yield to FG/IN</t>
  </si>
  <si>
    <t>%Yield to Leasing/Dealer/Partner</t>
  </si>
  <si>
    <t>%Yield to platform</t>
  </si>
  <si>
    <t>Co-lender</t>
  </si>
  <si>
    <t>%MFTP</t>
  </si>
  <si>
    <t>%OPEX</t>
  </si>
  <si>
    <t>%Other…</t>
  </si>
  <si>
    <t>Balance Sheet</t>
  </si>
  <si>
    <t>Guanrantor</t>
  </si>
  <si>
    <t>Item (MRMB)</t>
  </si>
  <si>
    <t>Total assets</t>
  </si>
  <si>
    <t>Current Asset</t>
  </si>
  <si>
    <t>- Cash</t>
  </si>
  <si>
    <t>- Guaranty margin deposit</t>
  </si>
  <si>
    <t>- Account receivable</t>
  </si>
  <si>
    <t>- Other account receivables</t>
  </si>
  <si>
    <t>- Prepayments/Other current asset</t>
  </si>
  <si>
    <t>Fixed assets</t>
  </si>
  <si>
    <t>Non current asset/Loan term invest(Ai-Beijing)</t>
  </si>
  <si>
    <t>Total liability</t>
  </si>
  <si>
    <t>Short-term responsibility preparati</t>
  </si>
  <si>
    <t>Salary Payable</t>
  </si>
  <si>
    <t>Provision reserved for guaranty compensation</t>
  </si>
  <si>
    <t>Provision reserved for unexpired guarantee liability</t>
  </si>
  <si>
    <t>Other account payables</t>
  </si>
  <si>
    <t>Tax payable</t>
  </si>
  <si>
    <t>Accrued liabilities</t>
  </si>
  <si>
    <t>Special payables</t>
  </si>
  <si>
    <t>Payable and accounts payable</t>
  </si>
  <si>
    <t>Total equity</t>
  </si>
  <si>
    <t>Paid-up Capital</t>
  </si>
  <si>
    <t>Capital Surplus</t>
  </si>
  <si>
    <t>Retained earning</t>
  </si>
  <si>
    <t xml:space="preserve">Income statement </t>
  </si>
  <si>
    <t>Item（MRMB）</t>
  </si>
  <si>
    <t>- Earned premiums</t>
  </si>
  <si>
    <t>- Unearned premium reserves</t>
  </si>
  <si>
    <t>Total revenue</t>
  </si>
  <si>
    <t>Net revenue</t>
  </si>
  <si>
    <t xml:space="preserve">- Provision reserved </t>
  </si>
  <si>
    <t>- Operation &amp; management expense</t>
  </si>
  <si>
    <t>- Loss from asset impairment</t>
  </si>
  <si>
    <t>Total expense</t>
  </si>
  <si>
    <t>Gross profit</t>
  </si>
  <si>
    <t>Operating profit</t>
  </si>
  <si>
    <t>Tax</t>
  </si>
  <si>
    <t>Net profit</t>
  </si>
  <si>
    <t>Guarantee detail</t>
  </si>
  <si>
    <t>Items （MRMB 百万元）</t>
  </si>
  <si>
    <t>New Amount of guarantee for the current year</t>
  </si>
  <si>
    <t>Outstanding at current year</t>
  </si>
  <si>
    <t>Loan Credit guarante</t>
  </si>
  <si>
    <t xml:space="preserve">Litigation preservation guarantee  </t>
  </si>
  <si>
    <t>Amount of expired guarantee for the current year</t>
  </si>
  <si>
    <t>Amount of outstanding guarantee as of end of period</t>
  </si>
  <si>
    <t>Amount of outstanding guarantee liabilities as of end of period</t>
  </si>
  <si>
    <t xml:space="preserve">Loan Credit guarantee </t>
  </si>
  <si>
    <t xml:space="preserve">Litigation preservation guarantee </t>
  </si>
  <si>
    <t>Number of guaranties as of end of period</t>
  </si>
  <si>
    <t>Cumulative amount of outstanding guarantee</t>
  </si>
  <si>
    <t>The amount of guarantee compensation for that year</t>
  </si>
  <si>
    <t>Maximum single guarantee liability balance</t>
  </si>
  <si>
    <t>Top five customers guarantee liability balance</t>
  </si>
  <si>
    <t>Risk Parameter</t>
  </si>
  <si>
    <t>LGD</t>
  </si>
  <si>
    <t>EAD</t>
  </si>
  <si>
    <t>PD</t>
  </si>
  <si>
    <t>Scenario</t>
  </si>
  <si>
    <t>Base</t>
  </si>
  <si>
    <t>Period</t>
  </si>
  <si>
    <t>Sep19-Dec20</t>
  </si>
  <si>
    <t>Sep19-Dec21</t>
  </si>
  <si>
    <t>0 DPD</t>
  </si>
  <si>
    <t>1-30 DPD</t>
  </si>
  <si>
    <t>31-60 DPD</t>
  </si>
  <si>
    <t>61-90 DPD</t>
  </si>
  <si>
    <t>ECL</t>
  </si>
  <si>
    <t>Worst</t>
  </si>
  <si>
    <t>Sep19-Mar20</t>
  </si>
  <si>
    <t>Sep19-Mar21</t>
  </si>
  <si>
    <t>Portfolio Composition</t>
  </si>
  <si>
    <t>Current</t>
  </si>
  <si>
    <t>PD sumproduct</t>
  </si>
  <si>
    <t xml:space="preserve">With Fallback </t>
  </si>
  <si>
    <t>Yield to Kbank</t>
  </si>
  <si>
    <t>COF</t>
  </si>
  <si>
    <t>OPEX</t>
  </si>
  <si>
    <t>EL total</t>
  </si>
  <si>
    <t xml:space="preserve">EL Buyback Success
</t>
  </si>
  <si>
    <t>EL Buyback Fail</t>
  </si>
  <si>
    <t>Guaruntee deposit</t>
  </si>
  <si>
    <t>B (prob for BBsuccess)</t>
  </si>
  <si>
    <t>LGD for fail</t>
  </si>
  <si>
    <t>LGD for success</t>
  </si>
  <si>
    <t>EBPT-EL</t>
  </si>
  <si>
    <t>Final ECL=Fail+Pass</t>
  </si>
  <si>
    <t xml:space="preserve">WO/Fallback </t>
  </si>
  <si>
    <t>EL</t>
  </si>
  <si>
    <t>Critical PD</t>
  </si>
  <si>
    <t>Criteria 2 : %Premium Fee &gt; %EL(PD*LGD)</t>
  </si>
  <si>
    <t>Criteria 3 : Critical PD &gt; PD+Buffer 2%</t>
  </si>
  <si>
    <t>Criteria 4 : %EBPT-%ECL &gt;</t>
  </si>
  <si>
    <t>Trigger</t>
  </si>
  <si>
    <t>Yield IN/FG+Leasing</t>
  </si>
  <si>
    <t>Yield Kbank</t>
  </si>
  <si>
    <t>Date</t>
  </si>
  <si>
    <t>Selected scenario</t>
  </si>
  <si>
    <t>Log normal</t>
  </si>
  <si>
    <t>Variance</t>
  </si>
  <si>
    <t>Normal</t>
  </si>
  <si>
    <t>Varaiance</t>
  </si>
  <si>
    <t>Stressed PD</t>
  </si>
  <si>
    <t>Equity Value</t>
  </si>
  <si>
    <t>Value</t>
  </si>
  <si>
    <t>Normal_CDF</t>
  </si>
  <si>
    <t>Log normal_CDF</t>
  </si>
  <si>
    <t>Forecast based on a historical time series</t>
  </si>
  <si>
    <t>LGD-Xingnongdai</t>
  </si>
  <si>
    <t>Premium fee</t>
  </si>
  <si>
    <t>Offcn</t>
  </si>
  <si>
    <t>Forecast</t>
  </si>
  <si>
    <t>Lower CF Bound</t>
  </si>
  <si>
    <t>Upper CF Bound</t>
  </si>
  <si>
    <t>%NPL By out</t>
  </si>
  <si>
    <t>Total O/S(合同保有量)</t>
  </si>
  <si>
    <t>%NPL By disburse</t>
  </si>
  <si>
    <t>Disbursement(Accumulate)</t>
  </si>
  <si>
    <t>%DPD&gt;30+ by out</t>
  </si>
  <si>
    <t>Yield to Leasing</t>
  </si>
  <si>
    <t>Yield to FG</t>
  </si>
  <si>
    <t>Item</t>
  </si>
  <si>
    <t>Unit</t>
    <phoneticPr fontId="0" type="noConversion"/>
  </si>
  <si>
    <t>New disbursement</t>
  </si>
  <si>
    <t>pcs</t>
    <phoneticPr fontId="0" type="noConversion"/>
  </si>
  <si>
    <t>Total O/S</t>
  </si>
  <si>
    <t>pcs</t>
  </si>
  <si>
    <t>Erarly payoff</t>
  </si>
  <si>
    <t>/</t>
    <phoneticPr fontId="0" type="noConversion"/>
  </si>
  <si>
    <t>Current Loan</t>
  </si>
  <si>
    <t>DPD1-30days</t>
  </si>
  <si>
    <t>DPD31-60days</t>
  </si>
  <si>
    <t>DPD61-90days</t>
  </si>
  <si>
    <t>DPD91-120days</t>
  </si>
  <si>
    <t>DPD121-150days</t>
  </si>
  <si>
    <t>DPD151-180days</t>
  </si>
  <si>
    <t>DPD180+days</t>
  </si>
  <si>
    <t>Total Write-off Account (累计核销户数)</t>
  </si>
  <si>
    <t>Non Performing Loan Account (累计坏账户数)</t>
  </si>
  <si>
    <t>Total O/S(合同保有量)</t>
    <phoneticPr fontId="0" type="noConversion"/>
  </si>
  <si>
    <t>Outstanding for Pass exam</t>
  </si>
  <si>
    <t>Mil</t>
  </si>
  <si>
    <t>DPD121-180days</t>
  </si>
  <si>
    <t>Mil</t>
    <phoneticPr fontId="0" type="noConversion"/>
  </si>
  <si>
    <t>Total outstanding</t>
  </si>
  <si>
    <t>Overdue Ratio (DPD&gt;30)(30+逾期个数)</t>
  </si>
  <si>
    <t>Calculation Item</t>
  </si>
  <si>
    <t>Account</t>
  </si>
  <si>
    <t>Disbursement(Accumulate Acc)</t>
  </si>
  <si>
    <t>DPD &gt; 30+</t>
  </si>
  <si>
    <t>DPD 1-90</t>
  </si>
  <si>
    <t>DPD 1-180</t>
  </si>
  <si>
    <t>%NPL By acc</t>
  </si>
  <si>
    <t>%NPL+w/o by acc</t>
  </si>
  <si>
    <t>%NPL By disburse acc</t>
  </si>
  <si>
    <t>%DPD&gt;30+ by acc</t>
  </si>
  <si>
    <t>%DPD&gt;30+w/o by acc</t>
  </si>
  <si>
    <t>%DPD&gt;30+ by disburse acc</t>
  </si>
  <si>
    <t>%DPD&gt;1+ by acc</t>
  </si>
  <si>
    <t>%DPD&gt;1+ by disburse acc</t>
  </si>
  <si>
    <t>%w/o by acc</t>
  </si>
  <si>
    <t>Flow（迁徙率）</t>
  </si>
  <si>
    <t>C-M1</t>
  </si>
  <si>
    <t>M1-M2</t>
  </si>
  <si>
    <t>M2-M3</t>
  </si>
  <si>
    <t>M3-M4</t>
  </si>
  <si>
    <t>%Deliquency</t>
  </si>
  <si>
    <t>Delinquency past 1+ day</t>
  </si>
  <si>
    <t>Delinquency past 30+ day</t>
  </si>
  <si>
    <t>Delinquency past 90+ day</t>
  </si>
  <si>
    <t>Delinquency past 120+ day</t>
  </si>
  <si>
    <t>Outstading</t>
  </si>
  <si>
    <t>%NPL+w/o by out</t>
  </si>
  <si>
    <t>%DPD&gt;30+w/o by out</t>
  </si>
  <si>
    <t>%DPD&gt;30+ by disburse</t>
  </si>
  <si>
    <t>%DPD&gt;1+ by out</t>
  </si>
  <si>
    <t>%DPD&gt;1+ by disburse</t>
  </si>
  <si>
    <t>%w/o by out</t>
  </si>
  <si>
    <t>Average</t>
  </si>
  <si>
    <t>BAD</t>
  </si>
  <si>
    <t>M4-M5</t>
  </si>
  <si>
    <t>M5-M6</t>
  </si>
  <si>
    <t>M6-M7</t>
  </si>
  <si>
    <t>Delinquency past 60+ day</t>
  </si>
  <si>
    <t>Delinquency past 180+ day</t>
  </si>
  <si>
    <t>NOLMAL</t>
  </si>
  <si>
    <t>Starting Portfolio</t>
  </si>
  <si>
    <t>For calculation PD</t>
  </si>
  <si>
    <t>1M</t>
  </si>
  <si>
    <t>Repay</t>
  </si>
  <si>
    <t>31-90 DPD</t>
  </si>
  <si>
    <t>91-120 DPD</t>
  </si>
  <si>
    <t>120-180 DPD</t>
  </si>
  <si>
    <t>91+ DPD</t>
  </si>
  <si>
    <t>12M</t>
  </si>
  <si>
    <t>Monthly Disbursement (PD)</t>
  </si>
  <si>
    <t>Monthly Disbursement (Forecast AQ)</t>
  </si>
  <si>
    <t>Repayment Rate</t>
  </si>
  <si>
    <t>SD</t>
  </si>
  <si>
    <t>For asset quality</t>
  </si>
  <si>
    <t>For add Repayment Rate &gt;</t>
  </si>
  <si>
    <t>Starting Portfolio @0M</t>
  </si>
  <si>
    <t>Expected Portfolio @12M</t>
  </si>
  <si>
    <t>Asset Quality(Normalized)</t>
  </si>
  <si>
    <t>Demand ECL</t>
  </si>
  <si>
    <t>GP</t>
  </si>
  <si>
    <t>SP</t>
  </si>
  <si>
    <t>Supply</t>
  </si>
  <si>
    <t>Provision</t>
  </si>
  <si>
    <t>DPD 1+</t>
  </si>
  <si>
    <t>Demand</t>
  </si>
  <si>
    <t>Demand/Supply</t>
  </si>
  <si>
    <t>Decision Review</t>
  </si>
  <si>
    <t>Stop Disbursement</t>
  </si>
  <si>
    <t>Offcn_40</t>
  </si>
  <si>
    <t>Lixiangxue</t>
  </si>
  <si>
    <t>%EL(PD*LGD)</t>
  </si>
  <si>
    <t>%Premium Fee</t>
  </si>
  <si>
    <t>PD+Buffer 2%</t>
  </si>
  <si>
    <t>%EBPT</t>
  </si>
  <si>
    <t>%ECL</t>
  </si>
  <si>
    <t>Max loss limit</t>
  </si>
  <si>
    <t>%Margin/Max loss</t>
  </si>
  <si>
    <t>Student</t>
  </si>
  <si>
    <t>Zhong gong</t>
  </si>
  <si>
    <t>Response The rest 99%</t>
  </si>
  <si>
    <t>Not Response The rest 1%</t>
  </si>
  <si>
    <t>Pay Principal
99%</t>
  </si>
  <si>
    <t>Not Pay Prinpal
1%</t>
  </si>
  <si>
    <t>Not Take Exam</t>
  </si>
  <si>
    <t>Pay Principal</t>
  </si>
  <si>
    <t>- Low Chance
-Not enough Info, Not Calculate</t>
  </si>
  <si>
    <t>Response The rest</t>
  </si>
  <si>
    <t>Not Response The rest</t>
  </si>
  <si>
    <t>Not Pay Prinpal</t>
  </si>
  <si>
    <t>Drop Out</t>
  </si>
  <si>
    <t>Not Pay Principal</t>
  </si>
  <si>
    <t>Terminate the class</t>
  </si>
  <si>
    <t xml:space="preserve">Pay Principal
</t>
  </si>
  <si>
    <t>Pass Exam</t>
  </si>
  <si>
    <t>Fail Exam</t>
  </si>
  <si>
    <t xml:space="preserve">Not Pay Prinpal
</t>
  </si>
  <si>
    <r>
      <t xml:space="preserve">= (40% x 2.73% x 80%) + ( 60% x </t>
    </r>
    <r>
      <rPr>
        <sz val="14"/>
        <color rgb="FFFF0000"/>
        <rFont val="Calibri"/>
        <family val="2"/>
      </rPr>
      <t xml:space="preserve">100% </t>
    </r>
    <r>
      <rPr>
        <sz val="14"/>
        <color rgb="FF000000"/>
        <rFont val="Calibri"/>
        <family val="2"/>
      </rPr>
      <t>x 1%) – 3%</t>
    </r>
  </si>
  <si>
    <t>XZQJ</t>
  </si>
  <si>
    <t>NO FG</t>
  </si>
  <si>
    <t>EBPT-ECL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</si>
</sst>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87" formatCode="0.0%"/>
    <numFmt numFmtId="188" formatCode="0.000"/>
    <numFmt numFmtId="189" formatCode="0.0000%"/>
    <numFmt numFmtId="190" formatCode="0.000%"/>
    <numFmt numFmtId="191" formatCode="0.0000"/>
    <numFmt numFmtId="192" formatCode="[$-409]mmm\-yy;@"/>
    <numFmt numFmtId="193" formatCode="[$-409]mmm/yyyy;@"/>
    <numFmt numFmtId="194" formatCode="#,##0_ "/>
    <numFmt numFmtId="195" formatCode="0.00000%"/>
  </numFmts>
  <fonts count="9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0061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10"/>
      <color theme="0"/>
      <name val="Tahoma"/>
      <family val="2"/>
      <scheme val="minor"/>
    </font>
    <font>
      <i/>
      <sz val="10"/>
      <color theme="0" tint="-0.34998626667073579"/>
      <name val="Tahoma"/>
      <family val="2"/>
      <scheme val="minor"/>
    </font>
    <font>
      <b/>
      <sz val="11"/>
      <color rgb="FF006100"/>
      <name val="Tahoma"/>
      <family val="2"/>
      <scheme val="minor"/>
    </font>
    <font>
      <sz val="10"/>
      <color theme="1"/>
      <name val="Arial"/>
      <family val="2"/>
    </font>
    <font>
      <b/>
      <sz val="13"/>
      <color indexed="56"/>
      <name val="Tahoma"/>
      <family val="2"/>
      <charset val="222"/>
    </font>
    <font>
      <b/>
      <sz val="10"/>
      <color indexed="56"/>
      <name val="Tahoma"/>
      <family val="2"/>
    </font>
    <font>
      <sz val="10"/>
      <color theme="1"/>
      <name val="Tahoma"/>
      <family val="2"/>
    </font>
    <font>
      <sz val="10"/>
      <color rgb="FF3F3F76"/>
      <name val="Tahoma"/>
      <family val="2"/>
    </font>
    <font>
      <b/>
      <sz val="10"/>
      <color theme="1"/>
      <name val="Tahoma"/>
      <family val="2"/>
    </font>
    <font>
      <sz val="11"/>
      <color indexed="62"/>
      <name val="Calibri"/>
      <family val="2"/>
    </font>
    <font>
      <sz val="10"/>
      <color indexed="62"/>
      <name val="Tahoma"/>
      <family val="2"/>
    </font>
    <font>
      <i/>
      <sz val="10"/>
      <color rgb="FF7F7F7F"/>
      <name val="Tahoma"/>
      <family val="2"/>
    </font>
    <font>
      <i/>
      <sz val="10"/>
      <color theme="0" tint="-0.499984740745262"/>
      <name val="Tahoma"/>
      <family val="2"/>
    </font>
    <font>
      <b/>
      <sz val="10"/>
      <color theme="0"/>
      <name val="Tahoma"/>
      <family val="2"/>
    </font>
    <font>
      <sz val="10"/>
      <color rgb="FF3F3F76"/>
      <name val="Tahoma"/>
      <family val="2"/>
      <scheme val="minor"/>
    </font>
    <font>
      <b/>
      <sz val="10"/>
      <color theme="0" tint="-0.499984740745262"/>
      <name val="Tahoma"/>
      <family val="2"/>
      <scheme val="minor"/>
    </font>
    <font>
      <b/>
      <sz val="10"/>
      <color rgb="FF000000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10"/>
      <color rgb="FFFF0000"/>
      <name val="Tahoma"/>
      <family val="2"/>
      <scheme val="minor"/>
    </font>
    <font>
      <sz val="9"/>
      <color theme="1"/>
      <name val="Tahoma"/>
      <family val="2"/>
      <scheme val="minor"/>
    </font>
    <font>
      <b/>
      <sz val="10"/>
      <color rgb="FFFFFFFF"/>
      <name val="Tahoma"/>
      <family val="2"/>
      <scheme val="minor"/>
    </font>
    <font>
      <b/>
      <sz val="10"/>
      <color theme="0" tint="-0.34998626667073579"/>
      <name val="Tahoma"/>
      <family val="2"/>
    </font>
    <font>
      <b/>
      <sz val="11"/>
      <color theme="0" tint="-0.34998626667073579"/>
      <name val="Tahoma"/>
      <family val="2"/>
      <scheme val="minor"/>
    </font>
    <font>
      <sz val="11"/>
      <color theme="0" tint="-0.14999847407452621"/>
      <name val="Tahoma"/>
      <family val="2"/>
      <scheme val="minor"/>
    </font>
    <font>
      <sz val="10"/>
      <color theme="0" tint="-0.499984740745262"/>
      <name val="Tahoma"/>
      <family val="2"/>
    </font>
    <font>
      <b/>
      <sz val="10"/>
      <color theme="0" tint="-0.249977111117893"/>
      <name val="Tahoma"/>
      <family val="2"/>
    </font>
    <font>
      <b/>
      <sz val="11"/>
      <color theme="0" tint="-0.249977111117893"/>
      <name val="Tahoma"/>
      <family val="2"/>
      <scheme val="minor"/>
    </font>
    <font>
      <sz val="10"/>
      <color theme="0"/>
      <name val="Tahoma"/>
      <family val="2"/>
    </font>
    <font>
      <sz val="10"/>
      <color rgb="FF7F7F7F"/>
      <name val="Tahoma"/>
      <family val="2"/>
    </font>
    <font>
      <b/>
      <sz val="10"/>
      <color rgb="FFFF5050"/>
      <name val="Tahoma"/>
      <family val="2"/>
    </font>
    <font>
      <b/>
      <sz val="10"/>
      <color rgb="FFFF0000"/>
      <name val="Tahoma"/>
      <family val="2"/>
    </font>
    <font>
      <b/>
      <sz val="10"/>
      <color theme="0" tint="-0.499984740745262"/>
      <name val="Tahoma"/>
      <family val="2"/>
    </font>
    <font>
      <i/>
      <sz val="11"/>
      <color indexed="23"/>
      <name val="Calibri"/>
      <family val="2"/>
    </font>
    <font>
      <i/>
      <sz val="10"/>
      <name val="Tahoma"/>
      <family val="2"/>
    </font>
    <font>
      <sz val="10"/>
      <name val="Tahoma"/>
      <family val="2"/>
    </font>
    <font>
      <i/>
      <sz val="10"/>
      <color indexed="23"/>
      <name val="Tahoma"/>
      <family val="2"/>
    </font>
    <font>
      <sz val="10"/>
      <color theme="1" tint="0.34998626667073579"/>
      <name val="Tahoma"/>
      <family val="2"/>
    </font>
    <font>
      <b/>
      <sz val="10"/>
      <color rgb="FF000000"/>
      <name val="Tahoma"/>
      <family val="2"/>
    </font>
    <font>
      <sz val="10"/>
      <name val="Tahoma"/>
      <family val="2"/>
      <scheme val="minor"/>
    </font>
    <font>
      <b/>
      <sz val="14"/>
      <color rgb="FF30966D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theme="0"/>
      <name val="Tahoma"/>
      <family val="2"/>
      <scheme val="minor"/>
    </font>
    <font>
      <b/>
      <sz val="14"/>
      <name val="Tahoma"/>
      <family val="2"/>
      <scheme val="minor"/>
    </font>
    <font>
      <sz val="14"/>
      <color rgb="FF000000"/>
      <name val="Tahoma"/>
      <family val="2"/>
      <scheme val="minor"/>
    </font>
    <font>
      <sz val="14"/>
      <name val="Tahoma"/>
      <family val="2"/>
      <scheme val="minor"/>
    </font>
    <font>
      <sz val="14"/>
      <color rgb="FF30966D"/>
      <name val="Tahoma"/>
      <family val="2"/>
      <scheme val="minor"/>
    </font>
    <font>
      <sz val="14"/>
      <color rgb="FFFF0000"/>
      <name val="Tahoma"/>
      <family val="2"/>
      <scheme val="minor"/>
    </font>
    <font>
      <sz val="11"/>
      <color theme="1"/>
      <name val="Tahoma"/>
      <family val="2"/>
      <charset val="134"/>
      <scheme val="minor"/>
    </font>
    <font>
      <sz val="10"/>
      <color indexed="8"/>
      <name val="Arial"/>
      <family val="2"/>
    </font>
    <font>
      <sz val="9"/>
      <color theme="3" tint="-0.249977111117893"/>
      <name val="Arial"/>
      <family val="2"/>
    </font>
    <font>
      <sz val="10"/>
      <color theme="1"/>
      <name val="Tahoma"/>
      <family val="2"/>
      <charset val="134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7" tint="-0.249977111117893"/>
      <name val="Arial"/>
      <family val="2"/>
    </font>
    <font>
      <sz val="11"/>
      <color theme="7" tint="-0.249977111117893"/>
      <name val="Tahoma"/>
      <family val="2"/>
      <scheme val="minor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2"/>
      <name val="Tahoma"/>
      <family val="2"/>
      <scheme val="minor"/>
    </font>
    <font>
      <b/>
      <sz val="12"/>
      <color theme="9"/>
      <name val="Tahoma"/>
      <family val="2"/>
      <scheme val="minor"/>
    </font>
    <font>
      <sz val="12"/>
      <name val="Tahoma"/>
      <family val="2"/>
      <scheme val="minor"/>
    </font>
    <font>
      <sz val="12"/>
      <color rgb="FF3F3F76"/>
      <name val="Tahoma"/>
      <family val="2"/>
      <scheme val="minor"/>
    </font>
    <font>
      <sz val="12"/>
      <color theme="9"/>
      <name val="Tahoma"/>
      <family val="2"/>
      <scheme val="minor"/>
    </font>
    <font>
      <sz val="12"/>
      <color rgb="FF7030A0"/>
      <name val="Tahoma"/>
      <family val="2"/>
      <scheme val="minor"/>
    </font>
    <font>
      <sz val="12"/>
      <color theme="5"/>
      <name val="Tahoma"/>
      <family val="2"/>
      <scheme val="minor"/>
    </font>
    <font>
      <b/>
      <u/>
      <sz val="12"/>
      <color theme="1"/>
      <name val="Tahoma"/>
      <family val="2"/>
      <scheme val="minor"/>
    </font>
    <font>
      <sz val="12"/>
      <color theme="0"/>
      <name val="Tahoma"/>
      <family val="2"/>
      <scheme val="minor"/>
    </font>
    <font>
      <b/>
      <sz val="12"/>
      <color theme="0"/>
      <name val="Tahoma"/>
      <family val="2"/>
      <scheme val="minor"/>
    </font>
    <font>
      <i/>
      <sz val="11"/>
      <color theme="0" tint="-0.34998626667073579"/>
      <name val="Tahoma"/>
      <family val="2"/>
      <scheme val="minor"/>
    </font>
    <font>
      <sz val="10"/>
      <color theme="0" tint="-0.34998626667073579"/>
      <name val="Tahoma"/>
      <family val="2"/>
    </font>
    <font>
      <sz val="11"/>
      <color theme="1"/>
      <name val="Tahoma"/>
      <family val="2"/>
      <charset val="22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D291E"/>
        <bgColor theme="4"/>
      </patternFill>
    </fill>
    <fill>
      <patternFill patternType="solid">
        <fgColor theme="8" tint="0.79998168889431442"/>
        <bgColor theme="4"/>
      </patternFill>
    </fill>
    <fill>
      <patternFill patternType="solid">
        <fgColor theme="9" tint="0.79998168889431442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rgb="FFB2B2B2"/>
      </bottom>
      <diagonal/>
    </border>
    <border>
      <left/>
      <right style="thin">
        <color theme="0" tint="-0.499984740745262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theme="0" tint="-0.499984740745262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  <xf numFmtId="0" fontId="7" fillId="0" borderId="3" applyNumberFormat="0" applyFill="0" applyAlignment="0" applyProtection="0"/>
    <xf numFmtId="0" fontId="16" fillId="0" borderId="14" applyNumberFormat="0" applyFill="0" applyAlignment="0" applyProtection="0"/>
    <xf numFmtId="0" fontId="21" fillId="7" borderId="15" applyNumberFormat="0" applyAlignment="0" applyProtection="0"/>
    <xf numFmtId="0" fontId="44" fillId="0" borderId="0" applyNumberFormat="0" applyFill="0" applyBorder="0" applyAlignment="0" applyProtection="0"/>
    <xf numFmtId="0" fontId="59" fillId="0" borderId="0">
      <alignment vertical="center"/>
    </xf>
    <xf numFmtId="0" fontId="60" fillId="0" borderId="0">
      <alignment vertical="top"/>
    </xf>
    <xf numFmtId="0" fontId="62" fillId="0" borderId="0">
      <alignment vertical="center"/>
    </xf>
    <xf numFmtId="0" fontId="87" fillId="0" borderId="0"/>
    <xf numFmtId="9" fontId="87" fillId="0" borderId="0" applyFont="0" applyFill="0" applyBorder="0" applyAlignment="0" applyProtection="0"/>
  </cellStyleXfs>
  <cellXfs count="662">
    <xf numFmtId="0" fontId="0" fillId="0" borderId="0" xfId="0"/>
    <xf numFmtId="0" fontId="8" fillId="0" borderId="0" xfId="0" applyFo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87" fontId="10" fillId="2" borderId="13" xfId="3" applyNumberFormat="1" applyFont="1" applyBorder="1" applyAlignment="1">
      <alignment horizontal="center"/>
    </xf>
    <xf numFmtId="0" fontId="8" fillId="0" borderId="13" xfId="0" applyFont="1" applyBorder="1"/>
    <xf numFmtId="0" fontId="8" fillId="0" borderId="0" xfId="0" applyFont="1" applyAlignment="1">
      <alignment horizontal="center"/>
    </xf>
    <xf numFmtId="0" fontId="9" fillId="0" borderId="4" xfId="0" applyFont="1" applyBorder="1"/>
    <xf numFmtId="0" fontId="8" fillId="0" borderId="5" xfId="0" applyFont="1" applyBorder="1"/>
    <xf numFmtId="0" fontId="9" fillId="0" borderId="12" xfId="0" applyFont="1" applyBorder="1"/>
    <xf numFmtId="0" fontId="11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2" borderId="13" xfId="3" applyFont="1" applyBorder="1" applyAlignment="1">
      <alignment horizontal="center"/>
    </xf>
    <xf numFmtId="10" fontId="13" fillId="0" borderId="13" xfId="0" applyNumberFormat="1" applyFont="1" applyBorder="1"/>
    <xf numFmtId="0" fontId="13" fillId="0" borderId="0" xfId="0" applyFont="1"/>
    <xf numFmtId="10" fontId="13" fillId="0" borderId="13" xfId="2" applyNumberFormat="1" applyFont="1" applyBorder="1"/>
    <xf numFmtId="0" fontId="9" fillId="0" borderId="12" xfId="0" applyFont="1" applyBorder="1" applyAlignment="1">
      <alignment horizontal="center"/>
    </xf>
    <xf numFmtId="0" fontId="14" fillId="2" borderId="13" xfId="3" applyFont="1" applyBorder="1" applyAlignment="1">
      <alignment horizontal="center"/>
    </xf>
    <xf numFmtId="10" fontId="13" fillId="0" borderId="13" xfId="0" applyNumberFormat="1" applyFont="1" applyBorder="1" applyAlignment="1">
      <alignment horizontal="right"/>
    </xf>
    <xf numFmtId="10" fontId="10" fillId="2" borderId="13" xfId="3" applyNumberFormat="1" applyFont="1" applyBorder="1" applyAlignment="1">
      <alignment horizontal="center"/>
    </xf>
    <xf numFmtId="0" fontId="8" fillId="0" borderId="9" xfId="0" applyFont="1" applyBorder="1" applyAlignment="1">
      <alignment vertical="top" wrapText="1"/>
    </xf>
    <xf numFmtId="0" fontId="18" fillId="0" borderId="0" xfId="0" applyFont="1"/>
    <xf numFmtId="9" fontId="19" fillId="3" borderId="9" xfId="4" applyNumberFormat="1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4" fillId="3" borderId="1" xfId="4" applyAlignment="1">
      <alignment horizontal="center" vertical="center" wrapText="1"/>
    </xf>
    <xf numFmtId="10" fontId="18" fillId="5" borderId="0" xfId="7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2" fillId="7" borderId="16" xfId="9" applyFont="1" applyBorder="1" applyAlignment="1">
      <alignment horizontal="center"/>
    </xf>
    <xf numFmtId="9" fontId="22" fillId="7" borderId="15" xfId="9" applyNumberFormat="1" applyFont="1" applyBorder="1" applyAlignment="1">
      <alignment horizontal="center"/>
    </xf>
    <xf numFmtId="10" fontId="23" fillId="5" borderId="2" xfId="6" applyNumberFormat="1" applyFont="1" applyAlignment="1">
      <alignment horizontal="center"/>
    </xf>
    <xf numFmtId="10" fontId="22" fillId="7" borderId="15" xfId="9" applyNumberFormat="1" applyFont="1" applyBorder="1" applyAlignment="1">
      <alignment horizontal="center"/>
    </xf>
    <xf numFmtId="187" fontId="22" fillId="7" borderId="15" xfId="9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19" fillId="3" borderId="1" xfId="4" applyNumberFormat="1" applyFont="1" applyAlignment="1">
      <alignment horizontal="center"/>
    </xf>
    <xf numFmtId="0" fontId="0" fillId="0" borderId="0" xfId="0" applyAlignment="1">
      <alignment horizontal="center"/>
    </xf>
    <xf numFmtId="0" fontId="25" fillId="8" borderId="0" xfId="0" applyFont="1" applyFill="1" applyAlignment="1">
      <alignment horizontal="left" vertical="center"/>
    </xf>
    <xf numFmtId="0" fontId="26" fillId="0" borderId="19" xfId="4" applyFont="1" applyFill="1" applyBorder="1" applyAlignment="1">
      <alignment horizontal="center" vertical="center" wrapText="1"/>
    </xf>
    <xf numFmtId="0" fontId="26" fillId="0" borderId="23" xfId="4" applyFont="1" applyFill="1" applyBorder="1" applyAlignment="1">
      <alignment horizontal="center" vertical="center" wrapText="1"/>
    </xf>
    <xf numFmtId="0" fontId="26" fillId="0" borderId="22" xfId="4" applyFont="1" applyFill="1" applyBorder="1" applyAlignment="1">
      <alignment horizontal="center" vertical="center" wrapText="1"/>
    </xf>
    <xf numFmtId="14" fontId="22" fillId="7" borderId="15" xfId="9" applyNumberFormat="1" applyFont="1" applyBorder="1" applyAlignment="1">
      <alignment horizontal="center"/>
    </xf>
    <xf numFmtId="0" fontId="9" fillId="5" borderId="26" xfId="6" applyFont="1" applyBorder="1" applyAlignment="1">
      <alignment horizontal="left"/>
    </xf>
    <xf numFmtId="0" fontId="9" fillId="5" borderId="27" xfId="6" applyFont="1" applyBorder="1" applyAlignment="1">
      <alignment horizontal="left"/>
    </xf>
    <xf numFmtId="43" fontId="29" fillId="5" borderId="28" xfId="6" applyNumberFormat="1" applyFont="1" applyBorder="1" applyAlignment="1">
      <alignment horizontal="center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43" fontId="4" fillId="3" borderId="29" xfId="4" applyNumberFormat="1" applyBorder="1" applyAlignment="1">
      <alignment horizontal="center"/>
    </xf>
    <xf numFmtId="43" fontId="4" fillId="3" borderId="30" xfId="4" applyNumberFormat="1" applyBorder="1" applyAlignment="1">
      <alignment horizontal="center"/>
    </xf>
    <xf numFmtId="0" fontId="8" fillId="0" borderId="26" xfId="0" quotePrefix="1" applyFont="1" applyBorder="1" applyAlignment="1">
      <alignment horizontal="left"/>
    </xf>
    <xf numFmtId="43" fontId="4" fillId="3" borderId="1" xfId="4" applyNumberFormat="1" applyBorder="1" applyAlignment="1">
      <alignment horizontal="center"/>
    </xf>
    <xf numFmtId="0" fontId="8" fillId="9" borderId="26" xfId="0" quotePrefix="1" applyFont="1" applyFill="1" applyBorder="1" applyAlignment="1">
      <alignment horizontal="left"/>
    </xf>
    <xf numFmtId="0" fontId="8" fillId="9" borderId="27" xfId="0" applyFont="1" applyFill="1" applyBorder="1" applyAlignment="1">
      <alignment horizontal="left"/>
    </xf>
    <xf numFmtId="43" fontId="4" fillId="3" borderId="0" xfId="4" applyNumberFormat="1" applyBorder="1" applyAlignment="1">
      <alignment horizontal="center"/>
    </xf>
    <xf numFmtId="43" fontId="28" fillId="5" borderId="2" xfId="6" applyNumberFormat="1" applyFont="1" applyBorder="1" applyAlignment="1">
      <alignment horizontal="center"/>
    </xf>
    <xf numFmtId="0" fontId="8" fillId="0" borderId="27" xfId="0" quotePrefix="1" applyFont="1" applyBorder="1" applyAlignment="1">
      <alignment horizontal="left"/>
    </xf>
    <xf numFmtId="0" fontId="4" fillId="3" borderId="1" xfId="4" applyBorder="1" applyAlignment="1">
      <alignment horizontal="center"/>
    </xf>
    <xf numFmtId="0" fontId="8" fillId="0" borderId="26" xfId="0" quotePrefix="1" applyFont="1" applyFill="1" applyBorder="1" applyAlignment="1">
      <alignment horizontal="left"/>
    </xf>
    <xf numFmtId="0" fontId="8" fillId="0" borderId="27" xfId="0" quotePrefix="1" applyFont="1" applyFill="1" applyBorder="1" applyAlignment="1">
      <alignment horizontal="left"/>
    </xf>
    <xf numFmtId="0" fontId="4" fillId="3" borderId="0" xfId="4" applyBorder="1" applyAlignment="1">
      <alignment horizontal="center"/>
    </xf>
    <xf numFmtId="0" fontId="8" fillId="0" borderId="32" xfId="0" quotePrefix="1" applyFont="1" applyBorder="1" applyAlignment="1">
      <alignment horizontal="left"/>
    </xf>
    <xf numFmtId="0" fontId="8" fillId="0" borderId="33" xfId="0" quotePrefix="1" applyFont="1" applyBorder="1" applyAlignment="1">
      <alignment horizontal="left"/>
    </xf>
    <xf numFmtId="43" fontId="4" fillId="3" borderId="34" xfId="4" applyNumberFormat="1" applyBorder="1" applyAlignment="1">
      <alignment horizontal="center"/>
    </xf>
    <xf numFmtId="0" fontId="31" fillId="0" borderId="0" xfId="0" applyFont="1"/>
    <xf numFmtId="14" fontId="32" fillId="11" borderId="23" xfId="0" applyNumberFormat="1" applyFont="1" applyFill="1" applyBorder="1" applyAlignment="1">
      <alignment horizontal="center"/>
    </xf>
    <xf numFmtId="14" fontId="12" fillId="10" borderId="23" xfId="0" applyNumberFormat="1" applyFont="1" applyFill="1" applyBorder="1" applyAlignment="1">
      <alignment horizontal="center"/>
    </xf>
    <xf numFmtId="43" fontId="4" fillId="3" borderId="23" xfId="4" applyNumberFormat="1" applyBorder="1" applyAlignment="1">
      <alignment horizontal="center"/>
    </xf>
    <xf numFmtId="43" fontId="9" fillId="5" borderId="23" xfId="6" applyNumberFormat="1" applyFont="1" applyBorder="1" applyAlignment="1">
      <alignment horizontal="center"/>
    </xf>
    <xf numFmtId="43" fontId="29" fillId="5" borderId="23" xfId="6" applyNumberFormat="1" applyFont="1" applyBorder="1" applyAlignment="1">
      <alignment horizontal="center"/>
    </xf>
    <xf numFmtId="0" fontId="17" fillId="12" borderId="0" xfId="8" applyFont="1" applyFill="1" applyBorder="1" applyAlignment="1"/>
    <xf numFmtId="0" fontId="0" fillId="12" borderId="0" xfId="0" applyFill="1"/>
    <xf numFmtId="9" fontId="4" fillId="3" borderId="23" xfId="2" applyFont="1" applyFill="1" applyBorder="1" applyAlignment="1">
      <alignment horizontal="left"/>
    </xf>
    <xf numFmtId="0" fontId="7" fillId="13" borderId="0" xfId="0" applyFont="1" applyFill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3" fillId="0" borderId="20" xfId="0" applyFont="1" applyBorder="1" applyAlignment="1">
      <alignment horizontal="left" vertical="center"/>
    </xf>
    <xf numFmtId="0" fontId="34" fillId="0" borderId="2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0" fillId="13" borderId="23" xfId="0" applyFont="1" applyFill="1" applyBorder="1" applyAlignment="1">
      <alignment horizontal="left"/>
    </xf>
    <xf numFmtId="0" fontId="7" fillId="13" borderId="23" xfId="0" applyFont="1" applyFill="1" applyBorder="1" applyAlignment="1">
      <alignment horizontal="center"/>
    </xf>
    <xf numFmtId="0" fontId="35" fillId="0" borderId="0" xfId="0" applyFont="1" applyAlignment="1">
      <alignment horizontal="left"/>
    </xf>
    <xf numFmtId="0" fontId="36" fillId="0" borderId="20" xfId="0" applyFont="1" applyFill="1" applyBorder="1" applyAlignment="1">
      <alignment horizontal="left" vertical="center"/>
    </xf>
    <xf numFmtId="43" fontId="26" fillId="0" borderId="23" xfId="4" applyNumberFormat="1" applyFont="1" applyFill="1" applyBorder="1" applyAlignment="1">
      <alignment horizontal="center"/>
    </xf>
    <xf numFmtId="0" fontId="36" fillId="0" borderId="31" xfId="0" applyFont="1" applyFill="1" applyBorder="1" applyAlignment="1">
      <alignment horizontal="left" vertical="center"/>
    </xf>
    <xf numFmtId="10" fontId="4" fillId="3" borderId="23" xfId="2" applyNumberFormat="1" applyFont="1" applyFill="1" applyBorder="1" applyAlignment="1">
      <alignment horizontal="center"/>
    </xf>
    <xf numFmtId="187" fontId="4" fillId="3" borderId="23" xfId="4" applyNumberFormat="1" applyBorder="1" applyAlignment="1">
      <alignment horizontal="center"/>
    </xf>
    <xf numFmtId="10" fontId="4" fillId="3" borderId="23" xfId="4" applyNumberFormat="1" applyBorder="1" applyAlignment="1">
      <alignment horizontal="center"/>
    </xf>
    <xf numFmtId="0" fontId="36" fillId="0" borderId="35" xfId="0" applyFont="1" applyFill="1" applyBorder="1" applyAlignment="1">
      <alignment horizontal="left" vertical="center"/>
    </xf>
    <xf numFmtId="0" fontId="27" fillId="5" borderId="23" xfId="6" applyFont="1" applyBorder="1" applyAlignment="1">
      <alignment horizontal="left"/>
    </xf>
    <xf numFmtId="10" fontId="1" fillId="5" borderId="22" xfId="2" applyNumberFormat="1" applyFont="1" applyFill="1" applyBorder="1" applyAlignment="1">
      <alignment horizontal="center"/>
    </xf>
    <xf numFmtId="187" fontId="1" fillId="5" borderId="22" xfId="2" applyNumberFormat="1" applyFont="1" applyFill="1" applyBorder="1" applyAlignment="1">
      <alignment horizontal="center"/>
    </xf>
    <xf numFmtId="0" fontId="27" fillId="5" borderId="35" xfId="6" applyFont="1" applyBorder="1" applyAlignment="1">
      <alignment horizontal="left" vertical="center"/>
    </xf>
    <xf numFmtId="187" fontId="1" fillId="5" borderId="22" xfId="2" applyNumberFormat="1" applyFont="1" applyFill="1" applyBorder="1" applyAlignment="1">
      <alignment horizontal="center" vertical="center"/>
    </xf>
    <xf numFmtId="43" fontId="26" fillId="0" borderId="35" xfId="4" applyNumberFormat="1" applyFont="1" applyFill="1" applyBorder="1" applyAlignment="1">
      <alignment horizontal="center"/>
    </xf>
    <xf numFmtId="0" fontId="27" fillId="5" borderId="35" xfId="6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27" fillId="14" borderId="0" xfId="6" applyFont="1" applyFill="1" applyBorder="1" applyAlignment="1">
      <alignment horizontal="left"/>
    </xf>
    <xf numFmtId="187" fontId="1" fillId="14" borderId="0" xfId="2" applyNumberFormat="1" applyFont="1" applyFill="1" applyBorder="1" applyAlignment="1">
      <alignment horizontal="center"/>
    </xf>
    <xf numFmtId="187" fontId="0" fillId="14" borderId="0" xfId="2" applyNumberFormat="1" applyFont="1" applyFill="1" applyBorder="1" applyAlignment="1">
      <alignment horizontal="center"/>
    </xf>
    <xf numFmtId="0" fontId="7" fillId="15" borderId="0" xfId="0" applyFont="1" applyFill="1" applyAlignment="1">
      <alignment horizontal="left"/>
    </xf>
    <xf numFmtId="0" fontId="37" fillId="0" borderId="20" xfId="0" applyFont="1" applyBorder="1" applyAlignment="1">
      <alignment horizontal="left" vertical="center"/>
    </xf>
    <xf numFmtId="0" fontId="38" fillId="0" borderId="23" xfId="0" applyFont="1" applyBorder="1" applyAlignment="1">
      <alignment horizontal="center" vertical="center" wrapText="1"/>
    </xf>
    <xf numFmtId="43" fontId="8" fillId="0" borderId="21" xfId="0" applyNumberFormat="1" applyFont="1" applyBorder="1" applyAlignment="1">
      <alignment horizontal="center"/>
    </xf>
    <xf numFmtId="0" fontId="27" fillId="5" borderId="20" xfId="6" applyFont="1" applyBorder="1" applyAlignment="1">
      <alignment horizontal="left"/>
    </xf>
    <xf numFmtId="43" fontId="26" fillId="0" borderId="22" xfId="4" applyNumberFormat="1" applyFont="1" applyFill="1" applyBorder="1" applyAlignment="1">
      <alignment horizontal="center"/>
    </xf>
    <xf numFmtId="0" fontId="17" fillId="16" borderId="0" xfId="8" applyFont="1" applyFill="1" applyBorder="1" applyAlignment="1"/>
    <xf numFmtId="0" fontId="18" fillId="16" borderId="0" xfId="0" applyFont="1" applyFill="1"/>
    <xf numFmtId="0" fontId="22" fillId="7" borderId="15" xfId="9" applyFont="1" applyBorder="1" applyAlignment="1">
      <alignment horizontal="left"/>
    </xf>
    <xf numFmtId="0" fontId="39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10" fontId="40" fillId="0" borderId="2" xfId="6" applyNumberFormat="1" applyFont="1" applyFill="1" applyAlignment="1">
      <alignment horizontal="center"/>
    </xf>
    <xf numFmtId="0" fontId="41" fillId="17" borderId="0" xfId="0" applyFont="1" applyFill="1" applyAlignment="1">
      <alignment horizontal="left" vertical="center"/>
    </xf>
    <xf numFmtId="0" fontId="41" fillId="0" borderId="0" xfId="0" applyFont="1" applyFill="1" applyAlignment="1">
      <alignment horizontal="left" vertical="center"/>
    </xf>
    <xf numFmtId="0" fontId="42" fillId="0" borderId="0" xfId="0" applyFont="1" applyFill="1" applyBorder="1" applyAlignment="1">
      <alignment horizontal="left"/>
    </xf>
    <xf numFmtId="10" fontId="40" fillId="0" borderId="2" xfId="6" applyNumberFormat="1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left"/>
    </xf>
    <xf numFmtId="187" fontId="20" fillId="0" borderId="0" xfId="2" applyNumberFormat="1" applyFont="1" applyAlignment="1">
      <alignment horizontal="center"/>
    </xf>
    <xf numFmtId="10" fontId="20" fillId="0" borderId="0" xfId="2" applyNumberFormat="1" applyFont="1" applyAlignment="1">
      <alignment horizontal="center"/>
    </xf>
    <xf numFmtId="10" fontId="43" fillId="5" borderId="2" xfId="6" applyNumberFormat="1" applyFont="1" applyAlignment="1">
      <alignment horizontal="center"/>
    </xf>
    <xf numFmtId="187" fontId="43" fillId="5" borderId="2" xfId="6" applyNumberFormat="1" applyFont="1" applyAlignment="1">
      <alignment horizontal="center"/>
    </xf>
    <xf numFmtId="10" fontId="18" fillId="0" borderId="0" xfId="2" applyNumberFormat="1" applyFont="1"/>
    <xf numFmtId="0" fontId="45" fillId="0" borderId="0" xfId="10" applyFont="1" applyFill="1" applyBorder="1" applyAlignment="1">
      <alignment horizontal="left"/>
    </xf>
    <xf numFmtId="0" fontId="46" fillId="0" borderId="0" xfId="0" applyFont="1" applyFill="1" applyBorder="1" applyAlignment="1">
      <alignment horizontal="left"/>
    </xf>
    <xf numFmtId="187" fontId="46" fillId="0" borderId="0" xfId="0" applyNumberFormat="1" applyFont="1" applyFill="1" applyAlignment="1">
      <alignment horizontal="center"/>
    </xf>
    <xf numFmtId="187" fontId="46" fillId="0" borderId="0" xfId="2" applyNumberFormat="1" applyFont="1" applyFill="1" applyAlignment="1">
      <alignment horizontal="center"/>
    </xf>
    <xf numFmtId="10" fontId="18" fillId="0" borderId="0" xfId="0" applyNumberFormat="1" applyFont="1" applyAlignment="1">
      <alignment horizontal="left"/>
    </xf>
    <xf numFmtId="0" fontId="47" fillId="0" borderId="0" xfId="1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187" fontId="24" fillId="0" borderId="0" xfId="2" applyNumberFormat="1" applyFont="1" applyAlignment="1">
      <alignment horizontal="center"/>
    </xf>
    <xf numFmtId="10" fontId="24" fillId="0" borderId="0" xfId="2" applyNumberFormat="1" applyFont="1" applyAlignment="1">
      <alignment horizontal="center"/>
    </xf>
    <xf numFmtId="10" fontId="18" fillId="0" borderId="0" xfId="0" applyNumberFormat="1" applyFont="1"/>
    <xf numFmtId="187" fontId="24" fillId="0" borderId="0" xfId="0" applyNumberFormat="1" applyFont="1" applyFill="1" applyAlignment="1">
      <alignment horizontal="center"/>
    </xf>
    <xf numFmtId="187" fontId="24" fillId="0" borderId="0" xfId="0" applyNumberFormat="1" applyFont="1" applyAlignment="1">
      <alignment horizontal="center"/>
    </xf>
    <xf numFmtId="189" fontId="18" fillId="0" borderId="0" xfId="0" applyNumberFormat="1" applyFont="1"/>
    <xf numFmtId="187" fontId="24" fillId="7" borderId="15" xfId="9" applyNumberFormat="1" applyFont="1" applyBorder="1" applyAlignment="1">
      <alignment horizontal="center"/>
    </xf>
    <xf numFmtId="187" fontId="24" fillId="0" borderId="0" xfId="2" applyNumberFormat="1" applyFont="1" applyFill="1" applyBorder="1" applyAlignment="1">
      <alignment horizontal="center"/>
    </xf>
    <xf numFmtId="10" fontId="20" fillId="5" borderId="3" xfId="7" applyNumberFormat="1" applyFont="1" applyFill="1" applyAlignment="1">
      <alignment horizontal="left"/>
    </xf>
    <xf numFmtId="10" fontId="20" fillId="5" borderId="3" xfId="7" applyNumberFormat="1" applyFont="1" applyFill="1" applyAlignment="1">
      <alignment horizontal="center"/>
    </xf>
    <xf numFmtId="187" fontId="20" fillId="5" borderId="3" xfId="7" applyNumberFormat="1" applyFont="1" applyFill="1" applyAlignment="1">
      <alignment horizontal="center"/>
    </xf>
    <xf numFmtId="0" fontId="41" fillId="12" borderId="0" xfId="0" applyFont="1" applyFill="1" applyAlignment="1">
      <alignment horizontal="left"/>
    </xf>
    <xf numFmtId="0" fontId="18" fillId="0" borderId="0" xfId="0" applyFont="1" applyAlignment="1">
      <alignment vertical="center"/>
    </xf>
    <xf numFmtId="187" fontId="18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10" fontId="48" fillId="0" borderId="2" xfId="6" applyNumberFormat="1" applyFont="1" applyFill="1" applyAlignment="1">
      <alignment horizontal="center"/>
    </xf>
    <xf numFmtId="0" fontId="18" fillId="0" borderId="0" xfId="0" applyFont="1" applyBorder="1" applyAlignment="1">
      <alignment horizontal="left"/>
    </xf>
    <xf numFmtId="0" fontId="20" fillId="0" borderId="9" xfId="0" applyFont="1" applyBorder="1" applyAlignment="1">
      <alignment horizontal="center" vertical="center" wrapText="1"/>
    </xf>
    <xf numFmtId="0" fontId="49" fillId="0" borderId="9" xfId="0" applyFont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left"/>
    </xf>
    <xf numFmtId="10" fontId="18" fillId="18" borderId="9" xfId="0" applyNumberFormat="1" applyFont="1" applyFill="1" applyBorder="1" applyAlignment="1">
      <alignment horizontal="center"/>
    </xf>
    <xf numFmtId="0" fontId="18" fillId="19" borderId="0" xfId="0" applyFont="1" applyFill="1" applyBorder="1" applyAlignment="1">
      <alignment horizontal="left"/>
    </xf>
    <xf numFmtId="10" fontId="18" fillId="19" borderId="9" xfId="0" applyNumberFormat="1" applyFont="1" applyFill="1" applyBorder="1" applyAlignment="1">
      <alignment horizontal="center"/>
    </xf>
    <xf numFmtId="0" fontId="20" fillId="20" borderId="4" xfId="0" applyFont="1" applyFill="1" applyBorder="1" applyAlignment="1">
      <alignment horizontal="center" vertical="center"/>
    </xf>
    <xf numFmtId="0" fontId="8" fillId="20" borderId="5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/>
    </xf>
    <xf numFmtId="0" fontId="8" fillId="20" borderId="7" xfId="0" applyFont="1" applyFill="1" applyBorder="1" applyAlignment="1">
      <alignment horizontal="center" vertical="center"/>
    </xf>
    <xf numFmtId="0" fontId="0" fillId="20" borderId="0" xfId="0" applyFill="1" applyAlignment="1">
      <alignment vertical="center"/>
    </xf>
    <xf numFmtId="0" fontId="20" fillId="20" borderId="12" xfId="0" applyFont="1" applyFill="1" applyBorder="1" applyAlignment="1">
      <alignment horizontal="center" vertical="center"/>
    </xf>
    <xf numFmtId="0" fontId="8" fillId="20" borderId="12" xfId="0" applyFont="1" applyFill="1" applyBorder="1" applyAlignment="1">
      <alignment horizontal="center" vertical="center" wrapText="1"/>
    </xf>
    <xf numFmtId="0" fontId="8" fillId="20" borderId="0" xfId="0" applyFont="1" applyFill="1" applyBorder="1" applyAlignment="1">
      <alignment horizontal="center" vertical="center" wrapText="1"/>
    </xf>
    <xf numFmtId="0" fontId="8" fillId="20" borderId="13" xfId="0" applyFont="1" applyFill="1" applyBorder="1" applyAlignment="1">
      <alignment horizontal="center" vertical="center"/>
    </xf>
    <xf numFmtId="0" fontId="8" fillId="20" borderId="36" xfId="0" applyFont="1" applyFill="1" applyBorder="1" applyAlignment="1">
      <alignment horizontal="center" vertical="center" wrapText="1"/>
    </xf>
    <xf numFmtId="0" fontId="20" fillId="20" borderId="12" xfId="0" applyFont="1" applyFill="1" applyBorder="1" applyAlignment="1">
      <alignment horizontal="center" vertical="center" wrapText="1"/>
    </xf>
    <xf numFmtId="0" fontId="9" fillId="20" borderId="37" xfId="0" applyFont="1" applyFill="1" applyBorder="1" applyAlignment="1">
      <alignment horizontal="center" vertical="center"/>
    </xf>
    <xf numFmtId="14" fontId="8" fillId="20" borderId="37" xfId="0" applyNumberFormat="1" applyFont="1" applyFill="1" applyBorder="1" applyAlignment="1">
      <alignment horizontal="center" vertical="center"/>
    </xf>
    <xf numFmtId="14" fontId="8" fillId="20" borderId="38" xfId="0" applyNumberFormat="1" applyFont="1" applyFill="1" applyBorder="1" applyAlignment="1">
      <alignment horizontal="center" vertical="center"/>
    </xf>
    <xf numFmtId="14" fontId="8" fillId="20" borderId="39" xfId="0" applyNumberFormat="1" applyFont="1" applyFill="1" applyBorder="1" applyAlignment="1">
      <alignment horizontal="center" vertical="center"/>
    </xf>
    <xf numFmtId="14" fontId="8" fillId="20" borderId="40" xfId="0" applyNumberFormat="1" applyFont="1" applyFill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0" fontId="8" fillId="0" borderId="0" xfId="2" applyNumberFormat="1" applyFont="1" applyBorder="1" applyAlignment="1">
      <alignment horizontal="center"/>
    </xf>
    <xf numFmtId="14" fontId="8" fillId="0" borderId="12" xfId="0" applyNumberFormat="1" applyFont="1" applyBorder="1" applyAlignment="1">
      <alignment horizontal="center"/>
    </xf>
    <xf numFmtId="14" fontId="8" fillId="0" borderId="36" xfId="0" applyNumberFormat="1" applyFont="1" applyBorder="1" applyAlignment="1">
      <alignment horizontal="center"/>
    </xf>
    <xf numFmtId="0" fontId="9" fillId="21" borderId="12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/>
    </xf>
    <xf numFmtId="43" fontId="8" fillId="22" borderId="13" xfId="0" applyNumberFormat="1" applyFont="1" applyFill="1" applyBorder="1" applyAlignment="1">
      <alignment horizontal="center"/>
    </xf>
    <xf numFmtId="0" fontId="7" fillId="21" borderId="12" xfId="0" applyFont="1" applyFill="1" applyBorder="1" applyAlignment="1">
      <alignment horizontal="center"/>
    </xf>
    <xf numFmtId="0" fontId="7" fillId="21" borderId="36" xfId="0" applyFont="1" applyFill="1" applyBorder="1" applyAlignment="1">
      <alignment horizontal="center"/>
    </xf>
    <xf numFmtId="0" fontId="8" fillId="0" borderId="12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0" borderId="12" xfId="0" applyFont="1" applyBorder="1" applyAlignment="1">
      <alignment horizontal="left" vertical="center" indent="2"/>
    </xf>
    <xf numFmtId="0" fontId="8" fillId="0" borderId="12" xfId="0" applyFont="1" applyBorder="1" applyAlignment="1">
      <alignment horizontal="left" indent="2"/>
    </xf>
    <xf numFmtId="0" fontId="50" fillId="0" borderId="12" xfId="0" applyFont="1" applyBorder="1" applyAlignment="1">
      <alignment horizontal="left" indent="2"/>
    </xf>
    <xf numFmtId="43" fontId="8" fillId="0" borderId="13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0" fillId="0" borderId="13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0" xfId="0" applyFont="1"/>
    <xf numFmtId="0" fontId="50" fillId="0" borderId="12" xfId="0" applyFont="1" applyBorder="1" applyAlignment="1">
      <alignment horizontal="left"/>
    </xf>
    <xf numFmtId="0" fontId="9" fillId="21" borderId="12" xfId="0" applyFont="1" applyFill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14" borderId="8" xfId="0" applyFont="1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8" fillId="14" borderId="9" xfId="0" applyFont="1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8" fillId="0" borderId="12" xfId="0" applyFont="1" applyFill="1" applyBorder="1" applyAlignment="1">
      <alignment horizontal="left"/>
    </xf>
    <xf numFmtId="0" fontId="8" fillId="0" borderId="12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10" fontId="8" fillId="0" borderId="12" xfId="2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10" fontId="8" fillId="0" borderId="37" xfId="2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10" fontId="8" fillId="0" borderId="0" xfId="2" applyNumberFormat="1" applyFont="1" applyAlignment="1">
      <alignment horizontal="center"/>
    </xf>
    <xf numFmtId="0" fontId="8" fillId="0" borderId="12" xfId="0" applyFont="1" applyBorder="1"/>
    <xf numFmtId="9" fontId="0" fillId="0" borderId="0" xfId="2" applyFont="1" applyAlignment="1">
      <alignment horizontal="center"/>
    </xf>
    <xf numFmtId="0" fontId="9" fillId="0" borderId="0" xfId="0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/>
    </xf>
    <xf numFmtId="9" fontId="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/>
    <xf numFmtId="43" fontId="51" fillId="0" borderId="0" xfId="1" applyFont="1" applyAlignment="1">
      <alignment horizontal="center" vertical="center"/>
    </xf>
    <xf numFmtId="10" fontId="51" fillId="0" borderId="0" xfId="2" applyNumberFormat="1" applyFont="1" applyAlignment="1">
      <alignment horizontal="center" vertical="center"/>
    </xf>
    <xf numFmtId="9" fontId="51" fillId="0" borderId="0" xfId="2" applyFont="1" applyAlignment="1">
      <alignment horizontal="center" vertical="center"/>
    </xf>
    <xf numFmtId="2" fontId="51" fillId="0" borderId="0" xfId="1" applyNumberFormat="1" applyFont="1" applyAlignment="1">
      <alignment horizontal="center" vertical="center"/>
    </xf>
    <xf numFmtId="191" fontId="51" fillId="0" borderId="0" xfId="1" applyNumberFormat="1" applyFont="1" applyAlignment="1">
      <alignment horizontal="center" vertical="center"/>
    </xf>
    <xf numFmtId="191" fontId="51" fillId="0" borderId="0" xfId="2" applyNumberFormat="1" applyFont="1" applyAlignment="1">
      <alignment horizontal="center" vertical="center"/>
    </xf>
    <xf numFmtId="191" fontId="52" fillId="0" borderId="0" xfId="2" applyNumberFormat="1" applyFont="1" applyAlignment="1">
      <alignment horizontal="center"/>
    </xf>
    <xf numFmtId="0" fontId="52" fillId="0" borderId="0" xfId="0" applyFont="1" applyAlignment="1">
      <alignment horizontal="center"/>
    </xf>
    <xf numFmtId="10" fontId="5" fillId="4" borderId="42" xfId="2" applyNumberFormat="1" applyFont="1" applyFill="1" applyBorder="1" applyAlignment="1">
      <alignment horizontal="center" vertical="center"/>
    </xf>
    <xf numFmtId="43" fontId="5" fillId="4" borderId="44" xfId="1" applyFont="1" applyFill="1" applyBorder="1" applyAlignment="1">
      <alignment horizontal="center" vertical="center"/>
    </xf>
    <xf numFmtId="188" fontId="5" fillId="4" borderId="44" xfId="5" applyNumberFormat="1" applyBorder="1" applyAlignment="1">
      <alignment horizontal="center" vertical="center"/>
    </xf>
    <xf numFmtId="10" fontId="4" fillId="3" borderId="47" xfId="2" applyNumberFormat="1" applyFont="1" applyFill="1" applyBorder="1" applyAlignment="1">
      <alignment horizontal="center"/>
    </xf>
    <xf numFmtId="43" fontId="4" fillId="3" borderId="49" xfId="1" applyFont="1" applyFill="1" applyBorder="1" applyAlignment="1">
      <alignment horizontal="center"/>
    </xf>
    <xf numFmtId="192" fontId="55" fillId="0" borderId="0" xfId="0" applyNumberFormat="1" applyFont="1" applyBorder="1" applyAlignment="1">
      <alignment horizontal="center" vertical="center"/>
    </xf>
    <xf numFmtId="10" fontId="56" fillId="9" borderId="0" xfId="2" applyNumberFormat="1" applyFont="1" applyFill="1" applyBorder="1" applyAlignment="1">
      <alignment horizontal="center"/>
    </xf>
    <xf numFmtId="2" fontId="56" fillId="9" borderId="0" xfId="1" applyNumberFormat="1" applyFont="1" applyFill="1" applyBorder="1" applyAlignment="1">
      <alignment horizontal="center"/>
    </xf>
    <xf numFmtId="43" fontId="56" fillId="27" borderId="0" xfId="1" applyFont="1" applyFill="1" applyBorder="1" applyAlignment="1">
      <alignment horizontal="center"/>
    </xf>
    <xf numFmtId="10" fontId="56" fillId="0" borderId="0" xfId="2" applyNumberFormat="1" applyFont="1" applyBorder="1" applyAlignment="1">
      <alignment horizontal="center"/>
    </xf>
    <xf numFmtId="10" fontId="52" fillId="0" borderId="0" xfId="2" applyNumberFormat="1" applyFont="1" applyBorder="1" applyAlignment="1">
      <alignment horizontal="center"/>
    </xf>
    <xf numFmtId="10" fontId="52" fillId="0" borderId="41" xfId="2" applyNumberFormat="1" applyFont="1" applyBorder="1" applyAlignment="1">
      <alignment horizontal="center"/>
    </xf>
    <xf numFmtId="2" fontId="52" fillId="0" borderId="0" xfId="1" applyNumberFormat="1" applyFont="1" applyAlignment="1">
      <alignment horizontal="center"/>
    </xf>
    <xf numFmtId="191" fontId="52" fillId="0" borderId="0" xfId="0" applyNumberFormat="1" applyFont="1" applyAlignment="1">
      <alignment horizontal="center"/>
    </xf>
    <xf numFmtId="10" fontId="52" fillId="0" borderId="46" xfId="0" applyNumberFormat="1" applyFont="1" applyBorder="1" applyAlignment="1">
      <alignment horizontal="center"/>
    </xf>
    <xf numFmtId="190" fontId="52" fillId="0" borderId="45" xfId="0" applyNumberFormat="1" applyFont="1" applyBorder="1" applyAlignment="1">
      <alignment horizontal="center"/>
    </xf>
    <xf numFmtId="43" fontId="56" fillId="9" borderId="0" xfId="1" applyFont="1" applyFill="1" applyBorder="1" applyAlignment="1">
      <alignment horizontal="center"/>
    </xf>
    <xf numFmtId="10" fontId="52" fillId="0" borderId="53" xfId="0" applyNumberFormat="1" applyFont="1" applyBorder="1" applyAlignment="1">
      <alignment horizontal="center"/>
    </xf>
    <xf numFmtId="10" fontId="52" fillId="0" borderId="41" xfId="0" applyNumberFormat="1" applyFont="1" applyBorder="1" applyAlignment="1">
      <alignment horizontal="center"/>
    </xf>
    <xf numFmtId="0" fontId="52" fillId="0" borderId="5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/>
    </xf>
    <xf numFmtId="10" fontId="57" fillId="0" borderId="0" xfId="2" applyNumberFormat="1" applyFont="1" applyBorder="1" applyAlignment="1">
      <alignment horizontal="center" vertical="center"/>
    </xf>
    <xf numFmtId="10" fontId="57" fillId="0" borderId="41" xfId="2" applyNumberFormat="1" applyFont="1" applyBorder="1" applyAlignment="1">
      <alignment horizontal="center" vertical="center"/>
    </xf>
    <xf numFmtId="2" fontId="57" fillId="0" borderId="0" xfId="1" applyNumberFormat="1" applyFont="1" applyAlignment="1">
      <alignment horizontal="center" vertical="center"/>
    </xf>
    <xf numFmtId="191" fontId="57" fillId="0" borderId="0" xfId="0" applyNumberFormat="1" applyFont="1" applyAlignment="1">
      <alignment horizontal="center" vertical="center"/>
    </xf>
    <xf numFmtId="191" fontId="57" fillId="0" borderId="0" xfId="2" applyNumberFormat="1" applyFont="1" applyAlignment="1">
      <alignment horizontal="center" vertical="center"/>
    </xf>
    <xf numFmtId="0" fontId="52" fillId="0" borderId="9" xfId="0" applyFont="1" applyBorder="1" applyAlignment="1">
      <alignment vertical="center"/>
    </xf>
    <xf numFmtId="0" fontId="52" fillId="0" borderId="9" xfId="0" applyFont="1" applyBorder="1" applyAlignment="1">
      <alignment horizontal="center"/>
    </xf>
    <xf numFmtId="0" fontId="57" fillId="0" borderId="9" xfId="0" applyFont="1" applyBorder="1" applyAlignment="1">
      <alignment horizontal="center" vertical="center"/>
    </xf>
    <xf numFmtId="43" fontId="58" fillId="9" borderId="0" xfId="1" applyFont="1" applyFill="1" applyBorder="1" applyAlignment="1">
      <alignment horizontal="center"/>
    </xf>
    <xf numFmtId="191" fontId="56" fillId="9" borderId="0" xfId="2" applyNumberFormat="1" applyFont="1" applyFill="1" applyBorder="1" applyAlignment="1">
      <alignment horizontal="center"/>
    </xf>
    <xf numFmtId="191" fontId="56" fillId="27" borderId="0" xfId="2" applyNumberFormat="1" applyFont="1" applyFill="1" applyBorder="1" applyAlignment="1">
      <alignment horizontal="center"/>
    </xf>
    <xf numFmtId="9" fontId="52" fillId="0" borderId="9" xfId="2" applyFont="1" applyBorder="1" applyAlignment="1">
      <alignment horizontal="center"/>
    </xf>
    <xf numFmtId="10" fontId="52" fillId="0" borderId="9" xfId="0" applyNumberFormat="1" applyFont="1" applyBorder="1" applyAlignment="1">
      <alignment horizontal="center"/>
    </xf>
    <xf numFmtId="2" fontId="52" fillId="0" borderId="0" xfId="1" applyNumberFormat="1" applyFont="1" applyBorder="1" applyAlignment="1">
      <alignment horizontal="center"/>
    </xf>
    <xf numFmtId="191" fontId="51" fillId="28" borderId="0" xfId="2" applyNumberFormat="1" applyFont="1" applyFill="1" applyBorder="1" applyAlignment="1">
      <alignment horizontal="center"/>
    </xf>
    <xf numFmtId="0" fontId="51" fillId="28" borderId="0" xfId="0" applyFont="1" applyFill="1" applyBorder="1" applyAlignment="1">
      <alignment horizontal="center"/>
    </xf>
    <xf numFmtId="191" fontId="52" fillId="27" borderId="0" xfId="2" applyNumberFormat="1" applyFont="1" applyFill="1" applyBorder="1" applyAlignment="1">
      <alignment horizontal="center"/>
    </xf>
    <xf numFmtId="0" fontId="52" fillId="27" borderId="0" xfId="0" applyFont="1" applyFill="1" applyBorder="1" applyAlignment="1">
      <alignment horizontal="center"/>
    </xf>
    <xf numFmtId="4" fontId="56" fillId="27" borderId="0" xfId="0" applyNumberFormat="1" applyFont="1" applyFill="1" applyBorder="1" applyAlignment="1">
      <alignment horizontal="center"/>
    </xf>
    <xf numFmtId="191" fontId="52" fillId="9" borderId="0" xfId="2" applyNumberFormat="1" applyFont="1" applyFill="1" applyBorder="1" applyAlignment="1">
      <alignment horizontal="center"/>
    </xf>
    <xf numFmtId="0" fontId="52" fillId="9" borderId="0" xfId="0" applyFont="1" applyFill="1" applyBorder="1" applyAlignment="1">
      <alignment horizontal="center"/>
    </xf>
    <xf numFmtId="4" fontId="56" fillId="9" borderId="0" xfId="0" applyNumberFormat="1" applyFont="1" applyFill="1" applyBorder="1" applyAlignment="1">
      <alignment horizontal="center"/>
    </xf>
    <xf numFmtId="10" fontId="56" fillId="27" borderId="0" xfId="2" applyNumberFormat="1" applyFont="1" applyFill="1" applyBorder="1" applyAlignment="1">
      <alignment horizontal="center"/>
    </xf>
    <xf numFmtId="10" fontId="56" fillId="27" borderId="41" xfId="2" applyNumberFormat="1" applyFont="1" applyFill="1" applyBorder="1" applyAlignment="1">
      <alignment horizontal="center"/>
    </xf>
    <xf numFmtId="2" fontId="56" fillId="27" borderId="0" xfId="1" applyNumberFormat="1" applyFont="1" applyFill="1" applyBorder="1" applyAlignment="1">
      <alignment horizontal="center"/>
    </xf>
    <xf numFmtId="0" fontId="57" fillId="0" borderId="0" xfId="0" applyFont="1" applyAlignment="1">
      <alignment horizontal="center" vertical="center"/>
    </xf>
    <xf numFmtId="192" fontId="55" fillId="18" borderId="0" xfId="0" applyNumberFormat="1" applyFont="1" applyFill="1" applyBorder="1" applyAlignment="1">
      <alignment horizontal="center" vertical="center"/>
    </xf>
    <xf numFmtId="10" fontId="56" fillId="18" borderId="0" xfId="2" applyNumberFormat="1" applyFont="1" applyFill="1" applyBorder="1" applyAlignment="1">
      <alignment horizontal="center"/>
    </xf>
    <xf numFmtId="43" fontId="56" fillId="29" borderId="0" xfId="1" applyFont="1" applyFill="1" applyBorder="1" applyAlignment="1">
      <alignment horizontal="center"/>
    </xf>
    <xf numFmtId="43" fontId="56" fillId="18" borderId="0" xfId="1" applyFont="1" applyFill="1" applyBorder="1" applyAlignment="1">
      <alignment horizontal="center"/>
    </xf>
    <xf numFmtId="10" fontId="56" fillId="29" borderId="0" xfId="2" applyNumberFormat="1" applyFont="1" applyFill="1" applyBorder="1" applyAlignment="1">
      <alignment horizontal="center"/>
    </xf>
    <xf numFmtId="10" fontId="56" fillId="29" borderId="41" xfId="2" applyNumberFormat="1" applyFont="1" applyFill="1" applyBorder="1" applyAlignment="1">
      <alignment horizontal="center"/>
    </xf>
    <xf numFmtId="2" fontId="52" fillId="18" borderId="0" xfId="1" applyNumberFormat="1" applyFont="1" applyFill="1" applyAlignment="1">
      <alignment horizontal="center"/>
    </xf>
    <xf numFmtId="2" fontId="56" fillId="18" borderId="0" xfId="1" applyNumberFormat="1" applyFont="1" applyFill="1" applyBorder="1" applyAlignment="1">
      <alignment horizontal="center"/>
    </xf>
    <xf numFmtId="2" fontId="56" fillId="29" borderId="0" xfId="1" applyNumberFormat="1" applyFont="1" applyFill="1" applyBorder="1" applyAlignment="1">
      <alignment horizontal="center"/>
    </xf>
    <xf numFmtId="191" fontId="52" fillId="18" borderId="0" xfId="2" applyNumberFormat="1" applyFont="1" applyFill="1" applyAlignment="1">
      <alignment horizontal="center"/>
    </xf>
    <xf numFmtId="191" fontId="56" fillId="18" borderId="0" xfId="2" applyNumberFormat="1" applyFont="1" applyFill="1" applyBorder="1" applyAlignment="1">
      <alignment horizontal="center"/>
    </xf>
    <xf numFmtId="191" fontId="56" fillId="29" borderId="0" xfId="2" applyNumberFormat="1" applyFont="1" applyFill="1" applyBorder="1" applyAlignment="1">
      <alignment horizontal="center"/>
    </xf>
    <xf numFmtId="191" fontId="52" fillId="29" borderId="0" xfId="2" applyNumberFormat="1" applyFont="1" applyFill="1" applyBorder="1" applyAlignment="1">
      <alignment horizontal="center"/>
    </xf>
    <xf numFmtId="10" fontId="52" fillId="18" borderId="53" xfId="0" applyNumberFormat="1" applyFont="1" applyFill="1" applyBorder="1" applyAlignment="1">
      <alignment horizontal="center"/>
    </xf>
    <xf numFmtId="10" fontId="52" fillId="18" borderId="41" xfId="0" applyNumberFormat="1" applyFont="1" applyFill="1" applyBorder="1" applyAlignment="1">
      <alignment horizontal="center"/>
    </xf>
    <xf numFmtId="0" fontId="52" fillId="18" borderId="0" xfId="0" applyFont="1" applyFill="1" applyAlignment="1">
      <alignment horizontal="center"/>
    </xf>
    <xf numFmtId="192" fontId="58" fillId="0" borderId="0" xfId="0" applyNumberFormat="1" applyFont="1" applyBorder="1" applyAlignment="1">
      <alignment horizontal="center" vertical="center"/>
    </xf>
    <xf numFmtId="2" fontId="58" fillId="0" borderId="0" xfId="1" applyNumberFormat="1" applyFont="1" applyAlignment="1">
      <alignment horizontal="center"/>
    </xf>
    <xf numFmtId="191" fontId="58" fillId="0" borderId="0" xfId="2" applyNumberFormat="1" applyFont="1" applyAlignment="1">
      <alignment horizontal="center"/>
    </xf>
    <xf numFmtId="191" fontId="58" fillId="27" borderId="0" xfId="2" applyNumberFormat="1" applyFont="1" applyFill="1" applyBorder="1" applyAlignment="1">
      <alignment horizontal="center"/>
    </xf>
    <xf numFmtId="10" fontId="58" fillId="27" borderId="0" xfId="2" applyNumberFormat="1" applyFont="1" applyFill="1" applyBorder="1" applyAlignment="1">
      <alignment horizontal="center"/>
    </xf>
    <xf numFmtId="10" fontId="58" fillId="0" borderId="53" xfId="0" applyNumberFormat="1" applyFont="1" applyBorder="1" applyAlignment="1">
      <alignment horizontal="center"/>
    </xf>
    <xf numFmtId="10" fontId="58" fillId="0" borderId="41" xfId="0" applyNumberFormat="1" applyFont="1" applyBorder="1" applyAlignment="1">
      <alignment horizontal="center"/>
    </xf>
    <xf numFmtId="0" fontId="58" fillId="0" borderId="0" xfId="0" applyFont="1" applyAlignment="1">
      <alignment horizontal="center"/>
    </xf>
    <xf numFmtId="192" fontId="56" fillId="0" borderId="0" xfId="0" applyNumberFormat="1" applyFont="1" applyBorder="1" applyAlignment="1">
      <alignment horizontal="center"/>
    </xf>
    <xf numFmtId="2" fontId="56" fillId="0" borderId="0" xfId="1" applyNumberFormat="1" applyFont="1" applyBorder="1" applyAlignment="1">
      <alignment horizontal="center"/>
    </xf>
    <xf numFmtId="43" fontId="56" fillId="0" borderId="0" xfId="1" applyFont="1" applyBorder="1" applyAlignment="1">
      <alignment horizontal="center"/>
    </xf>
    <xf numFmtId="10" fontId="52" fillId="0" borderId="0" xfId="2" applyNumberFormat="1" applyFont="1" applyAlignment="1">
      <alignment horizontal="center"/>
    </xf>
    <xf numFmtId="43" fontId="52" fillId="0" borderId="0" xfId="1" applyFont="1" applyAlignment="1">
      <alignment horizontal="center"/>
    </xf>
    <xf numFmtId="191" fontId="52" fillId="0" borderId="0" xfId="1" applyNumberFormat="1" applyFont="1" applyAlignment="1">
      <alignment horizontal="center"/>
    </xf>
    <xf numFmtId="192" fontId="56" fillId="0" borderId="0" xfId="0" applyNumberFormat="1" applyFont="1" applyAlignment="1">
      <alignment horizontal="center"/>
    </xf>
    <xf numFmtId="10" fontId="56" fillId="0" borderId="0" xfId="2" applyNumberFormat="1" applyFont="1" applyAlignment="1">
      <alignment horizontal="center"/>
    </xf>
    <xf numFmtId="2" fontId="56" fillId="0" borderId="0" xfId="1" applyNumberFormat="1" applyFont="1" applyAlignment="1">
      <alignment horizontal="center"/>
    </xf>
    <xf numFmtId="43" fontId="56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9" fontId="56" fillId="0" borderId="0" xfId="2" applyFont="1" applyAlignment="1">
      <alignment horizontal="center"/>
    </xf>
    <xf numFmtId="0" fontId="15" fillId="0" borderId="0" xfId="11" applyFont="1" applyAlignment="1"/>
    <xf numFmtId="0" fontId="61" fillId="0" borderId="54" xfId="12" applyFont="1" applyBorder="1" applyAlignment="1">
      <alignment wrapText="1"/>
    </xf>
    <xf numFmtId="0" fontId="15" fillId="0" borderId="0" xfId="11" applyFont="1" applyAlignment="1">
      <alignment horizontal="center"/>
    </xf>
    <xf numFmtId="0" fontId="15" fillId="0" borderId="0" xfId="11" applyFont="1" applyAlignment="1">
      <alignment horizontal="center" vertical="center"/>
    </xf>
    <xf numFmtId="0" fontId="63" fillId="20" borderId="55" xfId="13" applyFont="1" applyFill="1" applyBorder="1" applyAlignment="1">
      <alignment horizontal="center" vertical="center"/>
    </xf>
    <xf numFmtId="0" fontId="63" fillId="20" borderId="55" xfId="13" applyFont="1" applyFill="1" applyBorder="1" applyAlignment="1">
      <alignment horizontal="center" vertical="center" wrapText="1"/>
    </xf>
    <xf numFmtId="193" fontId="63" fillId="20" borderId="55" xfId="13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11" applyFont="1" applyAlignment="1">
      <alignment vertical="center"/>
    </xf>
    <xf numFmtId="194" fontId="15" fillId="0" borderId="0" xfId="11" applyNumberFormat="1" applyFont="1" applyAlignment="1">
      <alignment horizontal="center"/>
    </xf>
    <xf numFmtId="194" fontId="64" fillId="0" borderId="56" xfId="13" applyNumberFormat="1" applyFont="1" applyFill="1" applyBorder="1" applyAlignment="1">
      <alignment horizontal="center"/>
    </xf>
    <xf numFmtId="194" fontId="64" fillId="0" borderId="56" xfId="13" applyNumberFormat="1" applyFont="1" applyFill="1" applyBorder="1" applyAlignment="1">
      <alignment horizontal="center" wrapText="1"/>
    </xf>
    <xf numFmtId="43" fontId="64" fillId="0" borderId="56" xfId="1" applyFont="1" applyFill="1" applyBorder="1" applyAlignment="1">
      <alignment horizontal="center" wrapText="1"/>
    </xf>
    <xf numFmtId="194" fontId="15" fillId="0" borderId="0" xfId="11" applyNumberFormat="1" applyFont="1" applyAlignment="1"/>
    <xf numFmtId="194" fontId="64" fillId="0" borderId="57" xfId="13" applyNumberFormat="1" applyFont="1" applyFill="1" applyBorder="1" applyAlignment="1">
      <alignment horizontal="center" wrapText="1"/>
    </xf>
    <xf numFmtId="43" fontId="64" fillId="0" borderId="57" xfId="1" applyFont="1" applyFill="1" applyBorder="1" applyAlignment="1">
      <alignment horizontal="center" wrapText="1"/>
    </xf>
    <xf numFmtId="0" fontId="64" fillId="0" borderId="58" xfId="13" applyFont="1" applyFill="1" applyBorder="1" applyAlignment="1">
      <alignment horizontal="center" wrapText="1"/>
    </xf>
    <xf numFmtId="43" fontId="64" fillId="0" borderId="58" xfId="1" applyFont="1" applyFill="1" applyBorder="1" applyAlignment="1">
      <alignment horizontal="center" wrapText="1"/>
    </xf>
    <xf numFmtId="194" fontId="64" fillId="30" borderId="56" xfId="13" applyNumberFormat="1" applyFont="1" applyFill="1" applyBorder="1" applyAlignment="1">
      <alignment horizontal="center"/>
    </xf>
    <xf numFmtId="194" fontId="64" fillId="12" borderId="56" xfId="13" applyNumberFormat="1" applyFont="1" applyFill="1" applyBorder="1" applyAlignment="1">
      <alignment horizontal="center" wrapText="1"/>
    </xf>
    <xf numFmtId="194" fontId="64" fillId="30" borderId="57" xfId="13" applyNumberFormat="1" applyFont="1" applyFill="1" applyBorder="1" applyAlignment="1">
      <alignment horizontal="center"/>
    </xf>
    <xf numFmtId="194" fontId="64" fillId="12" borderId="57" xfId="13" applyNumberFormat="1" applyFont="1" applyFill="1" applyBorder="1" applyAlignment="1">
      <alignment horizontal="center" wrapText="1"/>
    </xf>
    <xf numFmtId="194" fontId="15" fillId="12" borderId="57" xfId="13" applyNumberFormat="1" applyFont="1" applyFill="1" applyBorder="1" applyAlignment="1">
      <alignment horizontal="center" wrapText="1"/>
    </xf>
    <xf numFmtId="194" fontId="64" fillId="12" borderId="59" xfId="13" applyNumberFormat="1" applyFont="1" applyFill="1" applyBorder="1" applyAlignment="1">
      <alignment horizontal="center" wrapText="1"/>
    </xf>
    <xf numFmtId="194" fontId="15" fillId="12" borderId="59" xfId="13" applyNumberFormat="1" applyFont="1" applyFill="1" applyBorder="1" applyAlignment="1">
      <alignment horizontal="center" wrapText="1"/>
    </xf>
    <xf numFmtId="194" fontId="64" fillId="30" borderId="59" xfId="13" applyNumberFormat="1" applyFont="1" applyFill="1" applyBorder="1" applyAlignment="1">
      <alignment horizontal="center"/>
    </xf>
    <xf numFmtId="194" fontId="64" fillId="30" borderId="60" xfId="13" applyNumberFormat="1" applyFont="1" applyFill="1" applyBorder="1" applyAlignment="1">
      <alignment horizontal="center"/>
    </xf>
    <xf numFmtId="194" fontId="64" fillId="31" borderId="56" xfId="13" applyNumberFormat="1" applyFont="1" applyFill="1" applyBorder="1" applyAlignment="1">
      <alignment horizontal="center"/>
    </xf>
    <xf numFmtId="194" fontId="64" fillId="31" borderId="56" xfId="13" applyNumberFormat="1" applyFont="1" applyFill="1" applyBorder="1" applyAlignment="1">
      <alignment horizontal="center" wrapText="1"/>
    </xf>
    <xf numFmtId="194" fontId="64" fillId="31" borderId="60" xfId="13" applyNumberFormat="1" applyFont="1" applyFill="1" applyBorder="1" applyAlignment="1">
      <alignment horizontal="center" wrapText="1"/>
    </xf>
    <xf numFmtId="194" fontId="64" fillId="0" borderId="61" xfId="13" applyNumberFormat="1" applyFont="1" applyFill="1" applyBorder="1" applyAlignment="1">
      <alignment horizontal="center"/>
    </xf>
    <xf numFmtId="194" fontId="64" fillId="0" borderId="57" xfId="13" applyNumberFormat="1" applyFont="1" applyFill="1" applyBorder="1" applyAlignment="1">
      <alignment horizontal="center"/>
    </xf>
    <xf numFmtId="43" fontId="15" fillId="0" borderId="57" xfId="1" applyFont="1" applyFill="1" applyBorder="1" applyAlignment="1">
      <alignment horizontal="center" wrapText="1"/>
    </xf>
    <xf numFmtId="194" fontId="64" fillId="0" borderId="62" xfId="13" applyNumberFormat="1" applyFont="1" applyFill="1" applyBorder="1" applyAlignment="1">
      <alignment horizontal="center"/>
    </xf>
    <xf numFmtId="40" fontId="15" fillId="0" borderId="0" xfId="11" applyNumberFormat="1" applyFont="1" applyAlignment="1">
      <alignment horizontal="center"/>
    </xf>
    <xf numFmtId="40" fontId="15" fillId="0" borderId="0" xfId="11" applyNumberFormat="1" applyFont="1" applyAlignment="1"/>
    <xf numFmtId="40" fontId="65" fillId="0" borderId="0" xfId="11" applyNumberFormat="1" applyFont="1" applyAlignment="1">
      <alignment horizontal="center"/>
    </xf>
    <xf numFmtId="194" fontId="65" fillId="30" borderId="57" xfId="13" applyNumberFormat="1" applyFont="1" applyFill="1" applyBorder="1" applyAlignment="1">
      <alignment horizontal="center"/>
    </xf>
    <xf numFmtId="194" fontId="65" fillId="12" borderId="57" xfId="13" applyNumberFormat="1" applyFont="1" applyFill="1" applyBorder="1" applyAlignment="1">
      <alignment horizontal="center" wrapText="1"/>
    </xf>
    <xf numFmtId="0" fontId="66" fillId="0" borderId="0" xfId="0" applyFont="1" applyAlignment="1">
      <alignment horizontal="center"/>
    </xf>
    <xf numFmtId="40" fontId="65" fillId="0" borderId="0" xfId="11" applyNumberFormat="1" applyFont="1" applyAlignment="1"/>
    <xf numFmtId="194" fontId="67" fillId="30" borderId="57" xfId="13" applyNumberFormat="1" applyFont="1" applyFill="1" applyBorder="1" applyAlignment="1">
      <alignment horizontal="center"/>
    </xf>
    <xf numFmtId="9" fontId="68" fillId="0" borderId="0" xfId="2" applyFont="1" applyAlignment="1">
      <alignment horizontal="center"/>
    </xf>
    <xf numFmtId="9" fontId="69" fillId="30" borderId="63" xfId="2" applyFont="1" applyFill="1" applyBorder="1" applyAlignment="1">
      <alignment horizontal="center"/>
    </xf>
    <xf numFmtId="9" fontId="69" fillId="30" borderId="36" xfId="2" applyFont="1" applyFill="1" applyBorder="1" applyAlignment="1">
      <alignment horizontal="center" wrapText="1"/>
    </xf>
    <xf numFmtId="10" fontId="69" fillId="30" borderId="64" xfId="2" applyNumberFormat="1" applyFont="1" applyFill="1" applyBorder="1" applyAlignment="1">
      <alignment horizontal="center"/>
    </xf>
    <xf numFmtId="40" fontId="68" fillId="0" borderId="0" xfId="11" applyNumberFormat="1" applyFont="1" applyFill="1" applyAlignment="1"/>
    <xf numFmtId="9" fontId="69" fillId="18" borderId="64" xfId="2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87" fontId="0" fillId="0" borderId="0" xfId="0" applyNumberFormat="1" applyAlignment="1">
      <alignment horizontal="center"/>
    </xf>
    <xf numFmtId="0" fontId="64" fillId="30" borderId="57" xfId="13" applyFont="1" applyFill="1" applyBorder="1" applyAlignment="1">
      <alignment horizontal="center"/>
    </xf>
    <xf numFmtId="0" fontId="64" fillId="30" borderId="57" xfId="13" applyFont="1" applyFill="1" applyBorder="1" applyAlignment="1">
      <alignment horizontal="center" wrapText="1"/>
    </xf>
    <xf numFmtId="194" fontId="64" fillId="30" borderId="57" xfId="13" applyNumberFormat="1" applyFont="1" applyFill="1" applyBorder="1" applyAlignment="1">
      <alignment horizontal="center" wrapText="1"/>
    </xf>
    <xf numFmtId="0" fontId="63" fillId="18" borderId="55" xfId="13" applyFont="1" applyFill="1" applyBorder="1" applyAlignment="1">
      <alignment horizontal="center"/>
    </xf>
    <xf numFmtId="0" fontId="15" fillId="18" borderId="55" xfId="13" applyFont="1" applyFill="1" applyBorder="1" applyAlignment="1">
      <alignment horizontal="center" wrapText="1"/>
    </xf>
    <xf numFmtId="10" fontId="63" fillId="18" borderId="55" xfId="13" applyNumberFormat="1" applyFont="1" applyFill="1" applyBorder="1" applyAlignment="1">
      <alignment horizontal="center" wrapText="1"/>
    </xf>
    <xf numFmtId="0" fontId="70" fillId="0" borderId="65" xfId="13" applyFont="1" applyFill="1" applyBorder="1" applyAlignment="1">
      <alignment horizontal="left"/>
    </xf>
    <xf numFmtId="193" fontId="63" fillId="14" borderId="0" xfId="13" applyNumberFormat="1" applyFont="1" applyFill="1" applyBorder="1" applyAlignment="1">
      <alignment horizontal="center" wrapText="1"/>
    </xf>
    <xf numFmtId="0" fontId="64" fillId="0" borderId="66" xfId="13" applyFont="1" applyFill="1" applyBorder="1" applyAlignment="1">
      <alignment horizontal="left"/>
    </xf>
    <xf numFmtId="0" fontId="72" fillId="0" borderId="45" xfId="13" applyFont="1" applyFill="1" applyBorder="1" applyAlignment="1">
      <alignment horizontal="center"/>
    </xf>
    <xf numFmtId="43" fontId="64" fillId="0" borderId="67" xfId="2" applyNumberFormat="1" applyFont="1" applyFill="1" applyBorder="1" applyAlignment="1">
      <alignment horizontal="center"/>
    </xf>
    <xf numFmtId="0" fontId="15" fillId="0" borderId="0" xfId="11" applyFont="1" applyFill="1" applyAlignment="1">
      <alignment horizontal="center"/>
    </xf>
    <xf numFmtId="0" fontId="15" fillId="0" borderId="0" xfId="11" applyFont="1" applyFill="1" applyAlignment="1"/>
    <xf numFmtId="0" fontId="64" fillId="0" borderId="52" xfId="13" applyFont="1" applyFill="1" applyBorder="1" applyAlignment="1">
      <alignment horizontal="left"/>
    </xf>
    <xf numFmtId="0" fontId="72" fillId="0" borderId="41" xfId="13" applyFont="1" applyFill="1" applyBorder="1" applyAlignment="1">
      <alignment horizontal="center"/>
    </xf>
    <xf numFmtId="1" fontId="64" fillId="0" borderId="68" xfId="2" applyNumberFormat="1" applyFont="1" applyFill="1" applyBorder="1" applyAlignment="1">
      <alignment horizontal="center"/>
    </xf>
    <xf numFmtId="0" fontId="64" fillId="0" borderId="52" xfId="11" applyFont="1" applyFill="1" applyBorder="1" applyAlignment="1">
      <alignment horizontal="left"/>
    </xf>
    <xf numFmtId="0" fontId="64" fillId="0" borderId="41" xfId="11" applyFont="1" applyFill="1" applyBorder="1" applyAlignment="1"/>
    <xf numFmtId="10" fontId="64" fillId="0" borderId="68" xfId="2" applyNumberFormat="1" applyFont="1" applyFill="1" applyBorder="1" applyAlignment="1">
      <alignment horizontal="center"/>
    </xf>
    <xf numFmtId="187" fontId="64" fillId="0" borderId="68" xfId="2" applyNumberFormat="1" applyFont="1" applyFill="1" applyBorder="1" applyAlignment="1">
      <alignment horizontal="center"/>
    </xf>
    <xf numFmtId="0" fontId="64" fillId="32" borderId="10" xfId="11" applyFont="1" applyFill="1" applyBorder="1" applyAlignment="1">
      <alignment vertical="center"/>
    </xf>
    <xf numFmtId="10" fontId="64" fillId="0" borderId="69" xfId="2" applyNumberFormat="1" applyFont="1" applyFill="1" applyBorder="1" applyAlignment="1">
      <alignment horizontal="center"/>
    </xf>
    <xf numFmtId="10" fontId="15" fillId="0" borderId="0" xfId="11" applyNumberFormat="1" applyFont="1" applyAlignment="1">
      <alignment horizontal="center"/>
    </xf>
    <xf numFmtId="187" fontId="64" fillId="0" borderId="59" xfId="2" applyNumberFormat="1" applyFont="1" applyFill="1" applyBorder="1" applyAlignment="1">
      <alignment horizontal="center"/>
    </xf>
    <xf numFmtId="40" fontId="64" fillId="0" borderId="52" xfId="13" applyNumberFormat="1" applyFont="1" applyFill="1" applyBorder="1" applyAlignment="1">
      <alignment horizontal="left" vertical="center" wrapText="1"/>
    </xf>
    <xf numFmtId="40" fontId="72" fillId="33" borderId="52" xfId="13" applyNumberFormat="1" applyFont="1" applyFill="1" applyBorder="1" applyAlignment="1">
      <alignment horizontal="left" vertical="center" wrapText="1"/>
    </xf>
    <xf numFmtId="0" fontId="64" fillId="33" borderId="41" xfId="11" applyFont="1" applyFill="1" applyBorder="1" applyAlignment="1"/>
    <xf numFmtId="187" fontId="64" fillId="32" borderId="10" xfId="2" applyNumberFormat="1" applyFont="1" applyFill="1" applyBorder="1" applyAlignment="1">
      <alignment horizontal="center" wrapText="1"/>
    </xf>
    <xf numFmtId="0" fontId="15" fillId="9" borderId="0" xfId="11" applyFont="1" applyFill="1" applyAlignment="1">
      <alignment horizontal="center"/>
    </xf>
    <xf numFmtId="0" fontId="15" fillId="9" borderId="0" xfId="11" applyFont="1" applyFill="1" applyAlignment="1"/>
    <xf numFmtId="10" fontId="64" fillId="0" borderId="63" xfId="2" applyNumberFormat="1" applyFont="1" applyFill="1" applyBorder="1" applyAlignment="1">
      <alignment horizontal="center"/>
    </xf>
    <xf numFmtId="38" fontId="64" fillId="0" borderId="68" xfId="13" applyNumberFormat="1" applyFont="1" applyFill="1" applyBorder="1" applyAlignment="1">
      <alignment horizontal="center"/>
    </xf>
    <xf numFmtId="187" fontId="64" fillId="0" borderId="72" xfId="2" applyNumberFormat="1" applyFont="1" applyFill="1" applyBorder="1" applyAlignment="1">
      <alignment horizontal="center"/>
    </xf>
    <xf numFmtId="38" fontId="64" fillId="0" borderId="73" xfId="13" applyNumberFormat="1" applyFont="1" applyFill="1" applyBorder="1" applyAlignment="1">
      <alignment horizontal="center"/>
    </xf>
    <xf numFmtId="1" fontId="64" fillId="0" borderId="69" xfId="2" applyNumberFormat="1" applyFont="1" applyFill="1" applyBorder="1" applyAlignment="1">
      <alignment horizontal="center"/>
    </xf>
    <xf numFmtId="2" fontId="64" fillId="0" borderId="52" xfId="11" applyNumberFormat="1" applyFont="1" applyFill="1" applyBorder="1" applyAlignment="1">
      <alignment horizontal="left"/>
    </xf>
    <xf numFmtId="2" fontId="64" fillId="0" borderId="41" xfId="11" applyNumberFormat="1" applyFont="1" applyFill="1" applyBorder="1" applyAlignment="1"/>
    <xf numFmtId="2" fontId="64" fillId="0" borderId="68" xfId="2" applyNumberFormat="1" applyFont="1" applyFill="1" applyBorder="1" applyAlignment="1">
      <alignment horizontal="center"/>
    </xf>
    <xf numFmtId="2" fontId="15" fillId="0" borderId="0" xfId="11" applyNumberFormat="1" applyFont="1" applyAlignment="1">
      <alignment horizontal="center"/>
    </xf>
    <xf numFmtId="2" fontId="15" fillId="0" borderId="0" xfId="11" applyNumberFormat="1" applyFont="1" applyAlignment="1"/>
    <xf numFmtId="10" fontId="15" fillId="0" borderId="0" xfId="2" applyNumberFormat="1" applyFont="1" applyAlignment="1">
      <alignment horizontal="center"/>
    </xf>
    <xf numFmtId="0" fontId="64" fillId="33" borderId="10" xfId="11" applyFont="1" applyFill="1" applyBorder="1" applyAlignment="1">
      <alignment vertical="center"/>
    </xf>
    <xf numFmtId="10" fontId="64" fillId="0" borderId="68" xfId="2" applyNumberFormat="1" applyFont="1" applyFill="1" applyBorder="1" applyAlignment="1">
      <alignment horizontal="center" wrapText="1"/>
    </xf>
    <xf numFmtId="10" fontId="15" fillId="0" borderId="0" xfId="11" applyNumberFormat="1" applyFont="1" applyAlignment="1"/>
    <xf numFmtId="187" fontId="64" fillId="0" borderId="74" xfId="2" applyNumberFormat="1" applyFont="1" applyFill="1" applyBorder="1" applyAlignment="1">
      <alignment horizontal="center" wrapText="1"/>
    </xf>
    <xf numFmtId="40" fontId="64" fillId="0" borderId="52" xfId="13" applyNumberFormat="1" applyFont="1" applyFill="1" applyBorder="1" applyAlignment="1">
      <alignment vertical="center" wrapText="1"/>
    </xf>
    <xf numFmtId="0" fontId="64" fillId="0" borderId="69" xfId="11" applyFont="1" applyFill="1" applyBorder="1" applyAlignment="1"/>
    <xf numFmtId="0" fontId="64" fillId="0" borderId="0" xfId="11" applyFont="1" applyFill="1" applyBorder="1" applyAlignment="1"/>
    <xf numFmtId="187" fontId="64" fillId="33" borderId="10" xfId="2" applyNumberFormat="1" applyFont="1" applyFill="1" applyBorder="1" applyAlignment="1">
      <alignment horizontal="center" wrapText="1"/>
    </xf>
    <xf numFmtId="10" fontId="64" fillId="0" borderId="69" xfId="2" applyNumberFormat="1" applyFont="1" applyFill="1" applyBorder="1" applyAlignment="1"/>
    <xf numFmtId="10" fontId="64" fillId="0" borderId="68" xfId="2" applyNumberFormat="1" applyFont="1" applyFill="1" applyBorder="1" applyAlignment="1"/>
    <xf numFmtId="10" fontId="64" fillId="0" borderId="73" xfId="2" applyNumberFormat="1" applyFont="1" applyFill="1" applyBorder="1" applyAlignment="1"/>
    <xf numFmtId="0" fontId="73" fillId="0" borderId="0" xfId="0" applyFont="1"/>
    <xf numFmtId="49" fontId="76" fillId="35" borderId="66" xfId="0" applyNumberFormat="1" applyFont="1" applyFill="1" applyBorder="1" applyAlignment="1">
      <alignment horizontal="center"/>
    </xf>
    <xf numFmtId="0" fontId="74" fillId="0" borderId="43" xfId="0" applyFont="1" applyBorder="1" applyAlignment="1">
      <alignment horizontal="center"/>
    </xf>
    <xf numFmtId="49" fontId="74" fillId="0" borderId="43" xfId="0" applyNumberFormat="1" applyFont="1" applyBorder="1" applyAlignment="1">
      <alignment horizontal="center"/>
    </xf>
    <xf numFmtId="49" fontId="74" fillId="0" borderId="45" xfId="0" applyNumberFormat="1" applyFont="1" applyBorder="1" applyAlignment="1">
      <alignment horizontal="center"/>
    </xf>
    <xf numFmtId="0" fontId="73" fillId="0" borderId="4" xfId="0" applyFont="1" applyBorder="1"/>
    <xf numFmtId="187" fontId="73" fillId="0" borderId="5" xfId="2" applyNumberFormat="1" applyFont="1" applyBorder="1" applyAlignment="1">
      <alignment horizontal="center"/>
    </xf>
    <xf numFmtId="187" fontId="73" fillId="0" borderId="0" xfId="2" applyNumberFormat="1" applyFont="1"/>
    <xf numFmtId="0" fontId="74" fillId="0" borderId="66" xfId="0" applyFont="1" applyBorder="1" applyAlignment="1">
      <alignment horizontal="center"/>
    </xf>
    <xf numFmtId="187" fontId="73" fillId="0" borderId="43" xfId="0" applyNumberFormat="1" applyFont="1" applyBorder="1" applyAlignment="1">
      <alignment horizontal="center"/>
    </xf>
    <xf numFmtId="187" fontId="73" fillId="0" borderId="43" xfId="2" applyNumberFormat="1" applyFont="1" applyBorder="1" applyAlignment="1">
      <alignment horizontal="center"/>
    </xf>
    <xf numFmtId="187" fontId="73" fillId="0" borderId="45" xfId="2" applyNumberFormat="1" applyFont="1" applyBorder="1" applyAlignment="1">
      <alignment horizontal="center"/>
    </xf>
    <xf numFmtId="49" fontId="73" fillId="0" borderId="0" xfId="0" applyNumberFormat="1" applyFont="1"/>
    <xf numFmtId="0" fontId="74" fillId="0" borderId="52" xfId="0" applyFont="1" applyBorder="1" applyAlignment="1">
      <alignment horizontal="center"/>
    </xf>
    <xf numFmtId="187" fontId="73" fillId="0" borderId="0" xfId="0" applyNumberFormat="1" applyFont="1" applyBorder="1" applyAlignment="1">
      <alignment horizontal="center"/>
    </xf>
    <xf numFmtId="187" fontId="73" fillId="0" borderId="0" xfId="2" applyNumberFormat="1" applyFont="1" applyBorder="1" applyAlignment="1">
      <alignment horizontal="center"/>
    </xf>
    <xf numFmtId="187" fontId="73" fillId="0" borderId="41" xfId="2" applyNumberFormat="1" applyFont="1" applyBorder="1" applyAlignment="1">
      <alignment horizontal="center"/>
    </xf>
    <xf numFmtId="0" fontId="73" fillId="0" borderId="12" xfId="0" applyFont="1" applyBorder="1"/>
    <xf numFmtId="187" fontId="73" fillId="0" borderId="13" xfId="2" applyNumberFormat="1" applyFont="1" applyBorder="1" applyAlignment="1">
      <alignment horizontal="center"/>
    </xf>
    <xf numFmtId="49" fontId="74" fillId="0" borderId="52" xfId="0" applyNumberFormat="1" applyFont="1" applyBorder="1" applyAlignment="1">
      <alignment horizontal="center"/>
    </xf>
    <xf numFmtId="187" fontId="77" fillId="0" borderId="0" xfId="0" applyNumberFormat="1" applyFont="1" applyBorder="1" applyAlignment="1">
      <alignment horizontal="center"/>
    </xf>
    <xf numFmtId="187" fontId="78" fillId="3" borderId="1" xfId="4" applyNumberFormat="1" applyFont="1" applyAlignment="1">
      <alignment horizontal="center"/>
    </xf>
    <xf numFmtId="49" fontId="73" fillId="0" borderId="12" xfId="0" applyNumberFormat="1" applyFont="1" applyBorder="1"/>
    <xf numFmtId="187" fontId="77" fillId="0" borderId="0" xfId="2" applyNumberFormat="1" applyFont="1" applyBorder="1" applyAlignment="1">
      <alignment horizontal="center"/>
    </xf>
    <xf numFmtId="187" fontId="77" fillId="0" borderId="41" xfId="2" applyNumberFormat="1" applyFont="1" applyBorder="1" applyAlignment="1">
      <alignment horizontal="center"/>
    </xf>
    <xf numFmtId="49" fontId="73" fillId="0" borderId="37" xfId="0" applyNumberFormat="1" applyFont="1" applyBorder="1"/>
    <xf numFmtId="187" fontId="73" fillId="0" borderId="39" xfId="2" applyNumberFormat="1" applyFont="1" applyBorder="1" applyAlignment="1">
      <alignment horizontal="center"/>
    </xf>
    <xf numFmtId="0" fontId="73" fillId="0" borderId="52" xfId="0" applyFont="1" applyBorder="1" applyAlignment="1">
      <alignment horizontal="center"/>
    </xf>
    <xf numFmtId="0" fontId="73" fillId="0" borderId="0" xfId="0" applyFont="1" applyBorder="1" applyAlignment="1">
      <alignment horizontal="center"/>
    </xf>
    <xf numFmtId="0" fontId="73" fillId="0" borderId="41" xfId="0" applyFont="1" applyBorder="1" applyAlignment="1">
      <alignment horizontal="center"/>
    </xf>
    <xf numFmtId="49" fontId="76" fillId="35" borderId="52" xfId="0" applyNumberFormat="1" applyFont="1" applyFill="1" applyBorder="1" applyAlignment="1">
      <alignment horizontal="center"/>
    </xf>
    <xf numFmtId="0" fontId="74" fillId="0" borderId="0" xfId="0" applyFont="1" applyBorder="1" applyAlignment="1">
      <alignment horizontal="center"/>
    </xf>
    <xf numFmtId="49" fontId="74" fillId="0" borderId="0" xfId="0" applyNumberFormat="1" applyFont="1" applyBorder="1" applyAlignment="1">
      <alignment horizontal="center"/>
    </xf>
    <xf numFmtId="49" fontId="74" fillId="0" borderId="41" xfId="0" applyNumberFormat="1" applyFont="1" applyBorder="1" applyAlignment="1">
      <alignment horizontal="center"/>
    </xf>
    <xf numFmtId="49" fontId="79" fillId="9" borderId="0" xfId="0" applyNumberFormat="1" applyFont="1" applyFill="1" applyBorder="1"/>
    <xf numFmtId="9" fontId="79" fillId="9" borderId="0" xfId="0" applyNumberFormat="1" applyFont="1" applyFill="1" applyBorder="1"/>
    <xf numFmtId="187" fontId="73" fillId="0" borderId="41" xfId="2" applyNumberFormat="1" applyFont="1" applyFill="1" applyBorder="1" applyAlignment="1">
      <alignment horizontal="center"/>
    </xf>
    <xf numFmtId="10" fontId="73" fillId="0" borderId="41" xfId="2" applyNumberFormat="1" applyFont="1" applyFill="1" applyBorder="1" applyAlignment="1">
      <alignment horizontal="center"/>
    </xf>
    <xf numFmtId="187" fontId="73" fillId="0" borderId="48" xfId="2" applyNumberFormat="1" applyFont="1" applyBorder="1" applyAlignment="1">
      <alignment horizontal="center"/>
    </xf>
    <xf numFmtId="187" fontId="73" fillId="0" borderId="50" xfId="2" applyNumberFormat="1" applyFont="1" applyFill="1" applyBorder="1" applyAlignment="1">
      <alignment horizontal="center"/>
    </xf>
    <xf numFmtId="10" fontId="73" fillId="0" borderId="0" xfId="2" applyNumberFormat="1" applyFont="1"/>
    <xf numFmtId="9" fontId="73" fillId="9" borderId="0" xfId="0" applyNumberFormat="1" applyFont="1" applyFill="1" applyBorder="1"/>
    <xf numFmtId="49" fontId="73" fillId="9" borderId="0" xfId="0" applyNumberFormat="1" applyFont="1" applyFill="1" applyBorder="1"/>
    <xf numFmtId="49" fontId="74" fillId="0" borderId="70" xfId="0" applyNumberFormat="1" applyFont="1" applyBorder="1" applyAlignment="1">
      <alignment horizontal="center"/>
    </xf>
    <xf numFmtId="10" fontId="73" fillId="0" borderId="0" xfId="0" applyNumberFormat="1" applyFont="1"/>
    <xf numFmtId="49" fontId="76" fillId="35" borderId="75" xfId="0" applyNumberFormat="1" applyFont="1" applyFill="1" applyBorder="1" applyAlignment="1">
      <alignment horizontal="center"/>
    </xf>
    <xf numFmtId="10" fontId="79" fillId="35" borderId="76" xfId="2" applyNumberFormat="1" applyFont="1" applyFill="1" applyBorder="1" applyAlignment="1">
      <alignment horizontal="center"/>
    </xf>
    <xf numFmtId="10" fontId="79" fillId="35" borderId="77" xfId="2" applyNumberFormat="1" applyFont="1" applyFill="1" applyBorder="1" applyAlignment="1">
      <alignment horizontal="center"/>
    </xf>
    <xf numFmtId="187" fontId="80" fillId="0" borderId="0" xfId="0" applyNumberFormat="1" applyFont="1" applyBorder="1" applyAlignment="1">
      <alignment horizontal="center"/>
    </xf>
    <xf numFmtId="187" fontId="81" fillId="5" borderId="2" xfId="6" applyNumberFormat="1" applyFont="1" applyAlignment="1">
      <alignment horizontal="center"/>
    </xf>
    <xf numFmtId="10" fontId="0" fillId="0" borderId="0" xfId="0" applyNumberFormat="1"/>
    <xf numFmtId="49" fontId="73" fillId="0" borderId="52" xfId="0" applyNumberFormat="1" applyFont="1" applyBorder="1" applyAlignment="1">
      <alignment horizontal="center"/>
    </xf>
    <xf numFmtId="10" fontId="73" fillId="0" borderId="0" xfId="2" applyNumberFormat="1" applyFont="1" applyBorder="1" applyAlignment="1">
      <alignment horizontal="center"/>
    </xf>
    <xf numFmtId="49" fontId="74" fillId="0" borderId="41" xfId="0" applyNumberFormat="1" applyFont="1" applyFill="1" applyBorder="1" applyAlignment="1">
      <alignment horizontal="center"/>
    </xf>
    <xf numFmtId="10" fontId="73" fillId="0" borderId="41" xfId="2" applyNumberFormat="1" applyFont="1" applyBorder="1" applyAlignment="1">
      <alignment horizontal="center"/>
    </xf>
    <xf numFmtId="49" fontId="73" fillId="0" borderId="52" xfId="0" applyNumberFormat="1" applyFont="1" applyBorder="1"/>
    <xf numFmtId="10" fontId="73" fillId="0" borderId="0" xfId="2" applyNumberFormat="1" applyFont="1" applyBorder="1"/>
    <xf numFmtId="10" fontId="73" fillId="0" borderId="41" xfId="2" applyNumberFormat="1" applyFont="1" applyFill="1" applyBorder="1"/>
    <xf numFmtId="0" fontId="73" fillId="0" borderId="52" xfId="0" applyFont="1" applyBorder="1" applyAlignment="1"/>
    <xf numFmtId="49" fontId="74" fillId="0" borderId="0" xfId="0" applyNumberFormat="1" applyFont="1"/>
    <xf numFmtId="49" fontId="74" fillId="0" borderId="52" xfId="0" applyNumberFormat="1" applyFont="1" applyBorder="1" applyAlignment="1"/>
    <xf numFmtId="187" fontId="73" fillId="0" borderId="41" xfId="0" applyNumberFormat="1" applyFont="1" applyBorder="1" applyAlignment="1">
      <alignment horizontal="center"/>
    </xf>
    <xf numFmtId="49" fontId="76" fillId="35" borderId="75" xfId="0" applyNumberFormat="1" applyFont="1" applyFill="1" applyBorder="1" applyAlignment="1"/>
    <xf numFmtId="0" fontId="74" fillId="0" borderId="0" xfId="0" applyFont="1"/>
    <xf numFmtId="9" fontId="80" fillId="0" borderId="0" xfId="0" applyNumberFormat="1" applyFont="1"/>
    <xf numFmtId="9" fontId="73" fillId="0" borderId="0" xfId="2" applyNumberFormat="1" applyFont="1"/>
    <xf numFmtId="10" fontId="82" fillId="0" borderId="0" xfId="0" applyNumberFormat="1" applyFont="1"/>
    <xf numFmtId="187" fontId="73" fillId="0" borderId="0" xfId="0" applyNumberFormat="1" applyFont="1"/>
    <xf numFmtId="0" fontId="73" fillId="0" borderId="0" xfId="0" applyFont="1" applyAlignment="1">
      <alignment horizontal="center"/>
    </xf>
    <xf numFmtId="10" fontId="83" fillId="36" borderId="0" xfId="0" applyNumberFormat="1" applyFont="1" applyFill="1" applyAlignment="1">
      <alignment horizontal="center"/>
    </xf>
    <xf numFmtId="0" fontId="83" fillId="37" borderId="0" xfId="0" applyFont="1" applyFill="1" applyAlignment="1">
      <alignment horizontal="center"/>
    </xf>
    <xf numFmtId="0" fontId="84" fillId="38" borderId="0" xfId="0" applyFont="1" applyFill="1"/>
    <xf numFmtId="0" fontId="73" fillId="0" borderId="0" xfId="0" quotePrefix="1" applyFont="1"/>
    <xf numFmtId="0" fontId="73" fillId="18" borderId="0" xfId="0" applyFont="1" applyFill="1"/>
    <xf numFmtId="10" fontId="73" fillId="18" borderId="0" xfId="2" applyNumberFormat="1" applyFont="1" applyFill="1"/>
    <xf numFmtId="0" fontId="73" fillId="0" borderId="0" xfId="0" applyFont="1" applyFill="1"/>
    <xf numFmtId="10" fontId="73" fillId="0" borderId="0" xfId="2" applyNumberFormat="1" applyFont="1" applyFill="1"/>
    <xf numFmtId="0" fontId="73" fillId="26" borderId="0" xfId="0" applyFont="1" applyFill="1"/>
    <xf numFmtId="10" fontId="73" fillId="26" borderId="0" xfId="2" applyNumberFormat="1" applyFont="1" applyFill="1"/>
    <xf numFmtId="9" fontId="73" fillId="0" borderId="0" xfId="0" applyNumberFormat="1" applyFont="1"/>
    <xf numFmtId="10" fontId="58" fillId="9" borderId="0" xfId="2" applyNumberFormat="1" applyFont="1" applyFill="1" applyBorder="1" applyAlignment="1">
      <alignment horizontal="center"/>
    </xf>
    <xf numFmtId="43" fontId="58" fillId="27" borderId="0" xfId="1" applyFont="1" applyFill="1" applyBorder="1" applyAlignment="1">
      <alignment horizontal="center"/>
    </xf>
    <xf numFmtId="10" fontId="58" fillId="0" borderId="0" xfId="2" applyNumberFormat="1" applyFont="1" applyBorder="1" applyAlignment="1">
      <alignment horizontal="center"/>
    </xf>
    <xf numFmtId="10" fontId="58" fillId="27" borderId="41" xfId="2" applyNumberFormat="1" applyFont="1" applyFill="1" applyBorder="1" applyAlignment="1">
      <alignment horizontal="center"/>
    </xf>
    <xf numFmtId="2" fontId="58" fillId="9" borderId="0" xfId="1" applyNumberFormat="1" applyFont="1" applyFill="1" applyBorder="1" applyAlignment="1">
      <alignment horizontal="center"/>
    </xf>
    <xf numFmtId="2" fontId="58" fillId="27" borderId="0" xfId="1" applyNumberFormat="1" applyFont="1" applyFill="1" applyBorder="1" applyAlignment="1">
      <alignment horizontal="center"/>
    </xf>
    <xf numFmtId="191" fontId="58" fillId="18" borderId="0" xfId="2" applyNumberFormat="1" applyFont="1" applyFill="1" applyAlignment="1">
      <alignment horizontal="center"/>
    </xf>
    <xf numFmtId="191" fontId="58" fillId="9" borderId="0" xfId="2" applyNumberFormat="1" applyFont="1" applyFill="1" applyBorder="1" applyAlignment="1">
      <alignment horizontal="center"/>
    </xf>
    <xf numFmtId="0" fontId="58" fillId="27" borderId="0" xfId="0" applyFont="1" applyFill="1" applyBorder="1" applyAlignment="1">
      <alignment horizontal="center"/>
    </xf>
    <xf numFmtId="4" fontId="58" fillId="27" borderId="0" xfId="0" applyNumberFormat="1" applyFont="1" applyFill="1" applyBorder="1" applyAlignment="1">
      <alignment horizontal="center"/>
    </xf>
    <xf numFmtId="10" fontId="86" fillId="0" borderId="2" xfId="6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85" fillId="0" borderId="0" xfId="0" applyFont="1" applyFill="1" applyAlignment="1">
      <alignment horizontal="left" indent="1"/>
    </xf>
    <xf numFmtId="0" fontId="86" fillId="0" borderId="0" xfId="0" applyFont="1" applyFill="1" applyAlignment="1">
      <alignment horizontal="left"/>
    </xf>
    <xf numFmtId="0" fontId="0" fillId="0" borderId="0" xfId="0" applyBorder="1"/>
    <xf numFmtId="0" fontId="18" fillId="0" borderId="78" xfId="0" applyFont="1" applyBorder="1"/>
    <xf numFmtId="0" fontId="18" fillId="0" borderId="0" xfId="0" applyFont="1" applyBorder="1"/>
    <xf numFmtId="10" fontId="48" fillId="0" borderId="79" xfId="6" applyNumberFormat="1" applyFont="1" applyFill="1" applyBorder="1" applyAlignment="1">
      <alignment horizontal="center"/>
    </xf>
    <xf numFmtId="10" fontId="48" fillId="0" borderId="80" xfId="6" applyNumberFormat="1" applyFont="1" applyFill="1" applyBorder="1" applyAlignment="1">
      <alignment horizontal="center"/>
    </xf>
    <xf numFmtId="0" fontId="34" fillId="0" borderId="0" xfId="0" applyFont="1" applyFill="1" applyAlignment="1"/>
    <xf numFmtId="10" fontId="48" fillId="0" borderId="78" xfId="6" applyNumberFormat="1" applyFont="1" applyFill="1" applyBorder="1" applyAlignment="1">
      <alignment horizontal="center"/>
    </xf>
    <xf numFmtId="0" fontId="9" fillId="0" borderId="8" xfId="0" applyFont="1" applyBorder="1" applyAlignment="1">
      <alignment vertical="center"/>
    </xf>
    <xf numFmtId="10" fontId="8" fillId="0" borderId="0" xfId="0" applyNumberFormat="1" applyFont="1"/>
    <xf numFmtId="0" fontId="87" fillId="0" borderId="0" xfId="14" applyAlignment="1">
      <alignment horizontal="center" vertical="center"/>
    </xf>
    <xf numFmtId="0" fontId="87" fillId="18" borderId="81" xfId="14" applyFill="1" applyBorder="1" applyAlignment="1">
      <alignment horizontal="center" vertical="center" wrapText="1"/>
    </xf>
    <xf numFmtId="0" fontId="87" fillId="18" borderId="82" xfId="14" applyFill="1" applyBorder="1" applyAlignment="1">
      <alignment horizontal="center" vertical="center"/>
    </xf>
    <xf numFmtId="0" fontId="87" fillId="0" borderId="0" xfId="14" applyBorder="1" applyAlignment="1"/>
    <xf numFmtId="0" fontId="87" fillId="0" borderId="84" xfId="14" applyBorder="1" applyAlignment="1"/>
    <xf numFmtId="0" fontId="87" fillId="0" borderId="0" xfId="14"/>
    <xf numFmtId="10" fontId="0" fillId="0" borderId="0" xfId="15" applyNumberFormat="1" applyFont="1"/>
    <xf numFmtId="9" fontId="0" fillId="0" borderId="0" xfId="15" applyFont="1"/>
    <xf numFmtId="10" fontId="87" fillId="0" borderId="0" xfId="14" applyNumberFormat="1"/>
    <xf numFmtId="0" fontId="87" fillId="0" borderId="84" xfId="14" applyBorder="1"/>
    <xf numFmtId="0" fontId="87" fillId="0" borderId="88" xfId="14" applyBorder="1"/>
    <xf numFmtId="0" fontId="87" fillId="0" borderId="0" xfId="14" applyAlignment="1">
      <alignment wrapText="1"/>
    </xf>
    <xf numFmtId="0" fontId="87" fillId="0" borderId="85" xfId="14" applyBorder="1" applyAlignment="1">
      <alignment horizontal="center"/>
    </xf>
    <xf numFmtId="10" fontId="87" fillId="0" borderId="86" xfId="14" applyNumberFormat="1" applyBorder="1" applyAlignment="1">
      <alignment horizontal="center"/>
    </xf>
    <xf numFmtId="9" fontId="87" fillId="0" borderId="90" xfId="14" applyNumberFormat="1" applyBorder="1" applyAlignment="1">
      <alignment horizontal="center" vertical="center"/>
    </xf>
    <xf numFmtId="9" fontId="87" fillId="0" borderId="0" xfId="14" applyNumberFormat="1" applyBorder="1" applyAlignment="1"/>
    <xf numFmtId="9" fontId="87" fillId="0" borderId="12" xfId="14" applyNumberFormat="1" applyBorder="1" applyAlignment="1">
      <alignment horizontal="center" vertical="center"/>
    </xf>
    <xf numFmtId="9" fontId="87" fillId="0" borderId="0" xfId="14" applyNumberFormat="1" applyFill="1" applyBorder="1" applyAlignment="1"/>
    <xf numFmtId="0" fontId="87" fillId="0" borderId="85" xfId="14" applyBorder="1" applyAlignment="1">
      <alignment vertical="center"/>
    </xf>
    <xf numFmtId="10" fontId="87" fillId="0" borderId="86" xfId="14" applyNumberFormat="1" applyBorder="1" applyAlignment="1">
      <alignment horizontal="center" vertical="center"/>
    </xf>
    <xf numFmtId="9" fontId="87" fillId="0" borderId="0" xfId="14" applyNumberFormat="1"/>
    <xf numFmtId="195" fontId="0" fillId="0" borderId="0" xfId="15" applyNumberFormat="1" applyFont="1"/>
    <xf numFmtId="0" fontId="87" fillId="0" borderId="9" xfId="14" applyBorder="1" applyAlignment="1">
      <alignment horizontal="center" vertical="center"/>
    </xf>
    <xf numFmtId="0" fontId="87" fillId="0" borderId="83" xfId="14" applyBorder="1" applyAlignment="1">
      <alignment horizontal="center" vertical="center" wrapText="1"/>
    </xf>
    <xf numFmtId="0" fontId="87" fillId="0" borderId="8" xfId="14" applyBorder="1" applyAlignment="1">
      <alignment horizontal="center" vertical="center"/>
    </xf>
    <xf numFmtId="0" fontId="87" fillId="0" borderId="89" xfId="14" applyBorder="1" applyAlignment="1">
      <alignment horizontal="center" vertical="center" wrapText="1"/>
    </xf>
    <xf numFmtId="0" fontId="87" fillId="0" borderId="90" xfId="14" applyBorder="1" applyAlignment="1">
      <alignment horizontal="center" vertical="center" wrapText="1"/>
    </xf>
    <xf numFmtId="0" fontId="87" fillId="0" borderId="89" xfId="14" applyBorder="1" applyAlignment="1">
      <alignment horizontal="center" vertical="center"/>
    </xf>
    <xf numFmtId="0" fontId="87" fillId="0" borderId="90" xfId="14" applyBorder="1" applyAlignment="1">
      <alignment horizontal="center" vertical="center"/>
    </xf>
    <xf numFmtId="0" fontId="87" fillId="0" borderId="85" xfId="14" applyBorder="1" applyAlignment="1">
      <alignment horizontal="center" vertical="center" wrapText="1"/>
    </xf>
    <xf numFmtId="0" fontId="87" fillId="0" borderId="53" xfId="14" applyBorder="1" applyAlignment="1">
      <alignment horizontal="center" vertical="center" wrapText="1"/>
    </xf>
    <xf numFmtId="0" fontId="87" fillId="0" borderId="86" xfId="14" applyBorder="1" applyAlignment="1">
      <alignment horizontal="center" vertical="center" wrapText="1"/>
    </xf>
    <xf numFmtId="0" fontId="87" fillId="0" borderId="52" xfId="14" quotePrefix="1" applyBorder="1" applyAlignment="1">
      <alignment horizontal="center" vertical="center" wrapText="1"/>
    </xf>
    <xf numFmtId="0" fontId="87" fillId="0" borderId="87" xfId="14" applyBorder="1" applyAlignment="1">
      <alignment horizontal="center" vertical="center" wrapText="1"/>
    </xf>
    <xf numFmtId="0" fontId="17" fillId="6" borderId="0" xfId="8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24" fillId="0" borderId="17" xfId="0" applyFont="1" applyBorder="1" applyAlignment="1">
      <alignment horizontal="left"/>
    </xf>
    <xf numFmtId="0" fontId="8" fillId="0" borderId="26" xfId="0" quotePrefix="1" applyFont="1" applyBorder="1" applyAlignment="1">
      <alignment horizontal="left"/>
    </xf>
    <xf numFmtId="0" fontId="8" fillId="0" borderId="27" xfId="0" quotePrefix="1" applyFont="1" applyBorder="1" applyAlignment="1">
      <alignment horizontal="left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27" fillId="0" borderId="24" xfId="0" applyFont="1" applyFill="1" applyBorder="1" applyAlignment="1">
      <alignment horizontal="left"/>
    </xf>
    <xf numFmtId="0" fontId="27" fillId="0" borderId="25" xfId="0" applyFont="1" applyFill="1" applyBorder="1" applyAlignment="1">
      <alignment horizontal="left"/>
    </xf>
    <xf numFmtId="0" fontId="8" fillId="0" borderId="23" xfId="0" applyFont="1" applyBorder="1" applyAlignment="1">
      <alignment horizontal="left" vertical="center"/>
    </xf>
    <xf numFmtId="0" fontId="12" fillId="10" borderId="20" xfId="0" applyFont="1" applyFill="1" applyBorder="1" applyAlignment="1">
      <alignment horizontal="left"/>
    </xf>
    <xf numFmtId="0" fontId="8" fillId="0" borderId="18" xfId="0" quotePrefix="1" applyFont="1" applyBorder="1" applyAlignment="1">
      <alignment horizontal="left"/>
    </xf>
    <xf numFmtId="0" fontId="8" fillId="0" borderId="19" xfId="0" quotePrefix="1" applyFont="1" applyBorder="1" applyAlignment="1">
      <alignment horizontal="left"/>
    </xf>
    <xf numFmtId="0" fontId="9" fillId="5" borderId="26" xfId="6" quotePrefix="1" applyFont="1" applyBorder="1" applyAlignment="1">
      <alignment horizontal="left"/>
    </xf>
    <xf numFmtId="0" fontId="9" fillId="5" borderId="27" xfId="6" quotePrefix="1" applyFont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27" xfId="0" applyFont="1" applyFill="1" applyBorder="1" applyAlignment="1">
      <alignment horizontal="left"/>
    </xf>
    <xf numFmtId="0" fontId="9" fillId="5" borderId="26" xfId="6" applyFont="1" applyBorder="1" applyAlignment="1">
      <alignment horizontal="left"/>
    </xf>
    <xf numFmtId="0" fontId="9" fillId="5" borderId="27" xfId="6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0" fontId="9" fillId="5" borderId="32" xfId="6" applyFont="1" applyBorder="1" applyAlignment="1">
      <alignment horizontal="left"/>
    </xf>
    <xf numFmtId="0" fontId="9" fillId="5" borderId="33" xfId="6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8" fillId="0" borderId="32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20" fillId="0" borderId="0" xfId="0" applyFont="1" applyBorder="1" applyAlignment="1">
      <alignment horizontal="left" vertical="center"/>
    </xf>
    <xf numFmtId="2" fontId="54" fillId="25" borderId="43" xfId="2" applyNumberFormat="1" applyFont="1" applyFill="1" applyBorder="1" applyAlignment="1">
      <alignment horizontal="center" vertical="center"/>
    </xf>
    <xf numFmtId="2" fontId="54" fillId="25" borderId="48" xfId="2" applyNumberFormat="1" applyFont="1" applyFill="1" applyBorder="1" applyAlignment="1">
      <alignment horizontal="center" vertical="center"/>
    </xf>
    <xf numFmtId="192" fontId="53" fillId="23" borderId="41" xfId="0" applyNumberFormat="1" applyFont="1" applyFill="1" applyBorder="1" applyAlignment="1">
      <alignment horizontal="center" vertical="center"/>
    </xf>
    <xf numFmtId="10" fontId="54" fillId="24" borderId="43" xfId="2" applyNumberFormat="1" applyFont="1" applyFill="1" applyBorder="1" applyAlignment="1">
      <alignment horizontal="center" vertical="center"/>
    </xf>
    <xf numFmtId="10" fontId="54" fillId="24" borderId="48" xfId="2" applyNumberFormat="1" applyFont="1" applyFill="1" applyBorder="1" applyAlignment="1">
      <alignment horizontal="center" vertical="center"/>
    </xf>
    <xf numFmtId="43" fontId="54" fillId="24" borderId="43" xfId="1" applyFont="1" applyFill="1" applyBorder="1" applyAlignment="1">
      <alignment horizontal="center" vertical="center"/>
    </xf>
    <xf numFmtId="43" fontId="54" fillId="24" borderId="48" xfId="1" applyFont="1" applyFill="1" applyBorder="1" applyAlignment="1">
      <alignment horizontal="center" vertical="center"/>
    </xf>
    <xf numFmtId="10" fontId="54" fillId="24" borderId="45" xfId="2" applyNumberFormat="1" applyFont="1" applyFill="1" applyBorder="1" applyAlignment="1">
      <alignment horizontal="center" vertical="center"/>
    </xf>
    <xf numFmtId="10" fontId="54" fillId="24" borderId="50" xfId="2" applyNumberFormat="1" applyFont="1" applyFill="1" applyBorder="1" applyAlignment="1">
      <alignment horizontal="center" vertical="center"/>
    </xf>
    <xf numFmtId="0" fontId="52" fillId="26" borderId="46" xfId="0" applyFont="1" applyFill="1" applyBorder="1" applyAlignment="1">
      <alignment horizontal="center" vertical="center" wrapText="1"/>
    </xf>
    <xf numFmtId="0" fontId="52" fillId="26" borderId="51" xfId="0" applyFont="1" applyFill="1" applyBorder="1" applyAlignment="1">
      <alignment horizontal="center" vertical="center" wrapText="1"/>
    </xf>
    <xf numFmtId="0" fontId="8" fillId="18" borderId="45" xfId="0" applyFont="1" applyFill="1" applyBorder="1" applyAlignment="1">
      <alignment horizontal="center" vertical="center" wrapText="1"/>
    </xf>
    <xf numFmtId="0" fontId="8" fillId="18" borderId="50" xfId="0" applyFont="1" applyFill="1" applyBorder="1" applyAlignment="1">
      <alignment horizontal="center" vertical="center"/>
    </xf>
    <xf numFmtId="2" fontId="54" fillId="25" borderId="45" xfId="2" applyNumberFormat="1" applyFont="1" applyFill="1" applyBorder="1" applyAlignment="1">
      <alignment horizontal="center" vertical="center"/>
    </xf>
    <xf numFmtId="2" fontId="54" fillId="25" borderId="50" xfId="2" applyNumberFormat="1" applyFont="1" applyFill="1" applyBorder="1" applyAlignment="1">
      <alignment horizontal="center" vertical="center"/>
    </xf>
    <xf numFmtId="191" fontId="54" fillId="25" borderId="43" xfId="2" applyNumberFormat="1" applyFont="1" applyFill="1" applyBorder="1" applyAlignment="1">
      <alignment horizontal="center" vertical="center"/>
    </xf>
    <xf numFmtId="191" fontId="54" fillId="25" borderId="48" xfId="2" applyNumberFormat="1" applyFont="1" applyFill="1" applyBorder="1" applyAlignment="1">
      <alignment horizontal="center" vertical="center"/>
    </xf>
    <xf numFmtId="191" fontId="54" fillId="25" borderId="45" xfId="2" applyNumberFormat="1" applyFont="1" applyFill="1" applyBorder="1" applyAlignment="1">
      <alignment horizontal="center" vertical="center"/>
    </xf>
    <xf numFmtId="191" fontId="54" fillId="25" borderId="50" xfId="2" applyNumberFormat="1" applyFont="1" applyFill="1" applyBorder="1" applyAlignment="1">
      <alignment horizontal="center" vertical="center"/>
    </xf>
    <xf numFmtId="0" fontId="63" fillId="14" borderId="0" xfId="13" applyFont="1" applyFill="1" applyBorder="1" applyAlignment="1">
      <alignment horizontal="left"/>
    </xf>
    <xf numFmtId="0" fontId="71" fillId="9" borderId="66" xfId="11" applyFont="1" applyFill="1" applyBorder="1" applyAlignment="1">
      <alignment horizontal="center" vertical="center" textRotation="90"/>
    </xf>
    <xf numFmtId="0" fontId="71" fillId="9" borderId="52" xfId="11" applyFont="1" applyFill="1" applyBorder="1" applyAlignment="1">
      <alignment horizontal="center" vertical="center" textRotation="90"/>
    </xf>
    <xf numFmtId="0" fontId="71" fillId="9" borderId="70" xfId="11" applyFont="1" applyFill="1" applyBorder="1" applyAlignment="1">
      <alignment horizontal="center" vertical="center" textRotation="90"/>
    </xf>
    <xf numFmtId="0" fontId="72" fillId="32" borderId="52" xfId="11" applyFont="1" applyFill="1" applyBorder="1" applyAlignment="1">
      <alignment horizontal="left" vertical="center"/>
    </xf>
    <xf numFmtId="0" fontId="72" fillId="32" borderId="41" xfId="11" applyFont="1" applyFill="1" applyBorder="1" applyAlignment="1">
      <alignment horizontal="left" vertical="center"/>
    </xf>
    <xf numFmtId="0" fontId="8" fillId="0" borderId="52" xfId="11" applyFont="1" applyFill="1" applyBorder="1" applyAlignment="1">
      <alignment horizontal="left"/>
    </xf>
    <xf numFmtId="0" fontId="8" fillId="0" borderId="69" xfId="11" applyFont="1" applyFill="1" applyBorder="1" applyAlignment="1">
      <alignment horizontal="left"/>
    </xf>
    <xf numFmtId="40" fontId="50" fillId="0" borderId="52" xfId="13" applyNumberFormat="1" applyFont="1" applyFill="1" applyBorder="1" applyAlignment="1">
      <alignment horizontal="left"/>
    </xf>
    <xf numFmtId="40" fontId="50" fillId="0" borderId="69" xfId="13" applyNumberFormat="1" applyFont="1" applyFill="1" applyBorder="1" applyAlignment="1">
      <alignment horizontal="left"/>
    </xf>
    <xf numFmtId="40" fontId="50" fillId="0" borderId="70" xfId="13" applyNumberFormat="1" applyFont="1" applyFill="1" applyBorder="1" applyAlignment="1">
      <alignment horizontal="left"/>
    </xf>
    <xf numFmtId="40" fontId="50" fillId="0" borderId="71" xfId="13" applyNumberFormat="1" applyFont="1" applyFill="1" applyBorder="1" applyAlignment="1">
      <alignment horizontal="left"/>
    </xf>
    <xf numFmtId="0" fontId="15" fillId="0" borderId="52" xfId="11" applyFont="1" applyFill="1" applyBorder="1" applyAlignment="1"/>
    <xf numFmtId="0" fontId="15" fillId="0" borderId="69" xfId="11" applyFont="1" applyFill="1" applyBorder="1" applyAlignment="1"/>
    <xf numFmtId="40" fontId="64" fillId="0" borderId="52" xfId="13" applyNumberFormat="1" applyFont="1" applyFill="1" applyBorder="1" applyAlignment="1"/>
    <xf numFmtId="40" fontId="64" fillId="0" borderId="69" xfId="13" applyNumberFormat="1" applyFont="1" applyFill="1" applyBorder="1" applyAlignment="1"/>
    <xf numFmtId="40" fontId="64" fillId="0" borderId="70" xfId="13" applyNumberFormat="1" applyFont="1" applyFill="1" applyBorder="1" applyAlignment="1"/>
    <xf numFmtId="40" fontId="64" fillId="0" borderId="71" xfId="13" applyNumberFormat="1" applyFont="1" applyFill="1" applyBorder="1" applyAlignment="1"/>
    <xf numFmtId="0" fontId="74" fillId="0" borderId="46" xfId="0" applyFont="1" applyBorder="1" applyAlignment="1">
      <alignment horizontal="center" vertical="center" textRotation="90"/>
    </xf>
    <xf numFmtId="0" fontId="74" fillId="0" borderId="53" xfId="0" applyFont="1" applyBorder="1" applyAlignment="1">
      <alignment horizontal="center" vertical="center" textRotation="90"/>
    </xf>
    <xf numFmtId="0" fontId="74" fillId="0" borderId="51" xfId="0" applyFont="1" applyBorder="1" applyAlignment="1">
      <alignment horizontal="center" vertical="center" textRotation="90"/>
    </xf>
    <xf numFmtId="0" fontId="74" fillId="6" borderId="75" xfId="0" applyFont="1" applyFill="1" applyBorder="1" applyAlignment="1">
      <alignment horizontal="center"/>
    </xf>
    <xf numFmtId="0" fontId="74" fillId="6" borderId="76" xfId="0" applyFont="1" applyFill="1" applyBorder="1" applyAlignment="1">
      <alignment horizontal="center"/>
    </xf>
    <xf numFmtId="0" fontId="74" fillId="6" borderId="77" xfId="0" applyFont="1" applyFill="1" applyBorder="1" applyAlignment="1">
      <alignment horizontal="center"/>
    </xf>
    <xf numFmtId="0" fontId="75" fillId="34" borderId="48" xfId="0" applyFont="1" applyFill="1" applyBorder="1" applyAlignment="1">
      <alignment horizontal="center"/>
    </xf>
    <xf numFmtId="0" fontId="74" fillId="21" borderId="8" xfId="0" applyFont="1" applyFill="1" applyBorder="1" applyAlignment="1">
      <alignment horizontal="center"/>
    </xf>
    <xf numFmtId="0" fontId="74" fillId="21" borderId="11" xfId="0" applyFont="1" applyFill="1" applyBorder="1" applyAlignment="1">
      <alignment horizontal="center"/>
    </xf>
    <xf numFmtId="0" fontId="74" fillId="0" borderId="66" xfId="0" applyFont="1" applyBorder="1" applyAlignment="1">
      <alignment horizontal="center" vertical="center" textRotation="90"/>
    </xf>
    <xf numFmtId="0" fontId="74" fillId="0" borderId="52" xfId="0" applyFont="1" applyBorder="1" applyAlignment="1">
      <alignment horizontal="center" vertical="center" textRotation="90"/>
    </xf>
    <xf numFmtId="0" fontId="88" fillId="0" borderId="0" xfId="0" applyFont="1" applyAlignment="1">
      <alignment horizontal="left" vertical="center" indent="3" readingOrder="1"/>
    </xf>
    <xf numFmtId="9" fontId="18" fillId="0" borderId="0" xfId="0" applyNumberFormat="1" applyFont="1"/>
    <xf numFmtId="9" fontId="18" fillId="0" borderId="0" xfId="0" applyNumberFormat="1" applyFont="1" applyAlignment="1">
      <alignment horizontal="center"/>
    </xf>
    <xf numFmtId="10" fontId="18" fillId="0" borderId="0" xfId="0" applyNumberFormat="1" applyFont="1" applyAlignment="1">
      <alignment horizontal="center"/>
    </xf>
    <xf numFmtId="9" fontId="20" fillId="0" borderId="0" xfId="0" applyNumberFormat="1" applyFont="1" applyAlignment="1">
      <alignment horizontal="center"/>
    </xf>
    <xf numFmtId="9" fontId="18" fillId="0" borderId="0" xfId="0" applyNumberFormat="1" applyFont="1" applyBorder="1"/>
    <xf numFmtId="187" fontId="18" fillId="0" borderId="0" xfId="0" applyNumberFormat="1" applyFont="1" applyBorder="1"/>
    <xf numFmtId="187" fontId="18" fillId="0" borderId="38" xfId="0" applyNumberFormat="1" applyFont="1" applyBorder="1"/>
    <xf numFmtId="10" fontId="20" fillId="0" borderId="91" xfId="0" applyNumberFormat="1" applyFont="1" applyBorder="1"/>
    <xf numFmtId="0" fontId="20" fillId="0" borderId="91" xfId="0" applyFont="1" applyBorder="1"/>
  </cellXfs>
  <cellStyles count="16">
    <cellStyle name="Calculation" xfId="5" builtinId="22"/>
    <cellStyle name="Comma" xfId="1" builtinId="3"/>
    <cellStyle name="Explanatory Text 2" xfId="10"/>
    <cellStyle name="Good" xfId="3" builtinId="26"/>
    <cellStyle name="Heading 2 3" xfId="8"/>
    <cellStyle name="Input" xfId="4" builtinId="20"/>
    <cellStyle name="Input 10" xfId="9"/>
    <cellStyle name="Normal" xfId="0" builtinId="0"/>
    <cellStyle name="Normal 2" xfId="11"/>
    <cellStyle name="Normal 3" xfId="14"/>
    <cellStyle name="Note" xfId="6" builtinId="10"/>
    <cellStyle name="Percent" xfId="2" builtinId="5"/>
    <cellStyle name="Percent 2" xfId="15"/>
    <cellStyle name="Total" xfId="7" builtinId="25"/>
    <cellStyle name="常规 2" xfId="13"/>
    <cellStyle name="常规_2012年3月逾期数据" xfId="12"/>
  </cellStyles>
  <dxfs count="4"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  <dxf>
      <font>
        <color rgb="FFC00000"/>
      </font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XZQJ!$B$20</c:f>
              <c:strCache>
                <c:ptCount val="1"/>
                <c:pt idx="0">
                  <c:v>DPD1-30days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XZQJ!$D$2:$R$2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XZQJ!$D$89:$R$89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3.2297266107646299E-3</c:v>
                </c:pt>
                <c:pt idx="5">
                  <c:v>7.1021229726890298E-3</c:v>
                </c:pt>
                <c:pt idx="6">
                  <c:v>1.5713061958684202E-2</c:v>
                </c:pt>
                <c:pt idx="7">
                  <c:v>1.6179746451162186E-3</c:v>
                </c:pt>
                <c:pt idx="8">
                  <c:v>1.0173557862386635E-3</c:v>
                </c:pt>
                <c:pt idx="9">
                  <c:v>5.1331894478896572E-4</c:v>
                </c:pt>
                <c:pt idx="10">
                  <c:v>2.098175729821972E-4</c:v>
                </c:pt>
                <c:pt idx="11">
                  <c:v>1.4393771655681875E-4</c:v>
                </c:pt>
                <c:pt idx="12">
                  <c:v>1.6187088562548079E-4</c:v>
                </c:pt>
                <c:pt idx="13">
                  <c:v>2.1135333978070204E-4</c:v>
                </c:pt>
                <c:pt idx="14">
                  <c:v>3.289721583103521E-4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0-4480-A06C-8BA5506FED77}"/>
            </c:ext>
          </c:extLst>
        </c:ser>
        <c:ser>
          <c:idx val="1"/>
          <c:order val="1"/>
          <c:tx>
            <c:strRef>
              <c:f>XZQJ!$B$21</c:f>
              <c:strCache>
                <c:ptCount val="1"/>
                <c:pt idx="0">
                  <c:v>DPD31-60days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XZQJ!$D$2:$R$2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XZQJ!$D$90:$R$90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2.9282542630952903E-3</c:v>
                </c:pt>
                <c:pt idx="7">
                  <c:v>1.3620071719915498E-3</c:v>
                </c:pt>
                <c:pt idx="8">
                  <c:v>9.1239367223017642E-4</c:v>
                </c:pt>
                <c:pt idx="9">
                  <c:v>4.6806235699273322E-4</c:v>
                </c:pt>
                <c:pt idx="10">
                  <c:v>1.9076416664952475E-4</c:v>
                </c:pt>
                <c:pt idx="11">
                  <c:v>1.4393771655681875E-4</c:v>
                </c:pt>
                <c:pt idx="12">
                  <c:v>1.2493366012811702E-4</c:v>
                </c:pt>
                <c:pt idx="13">
                  <c:v>1.5617722663818117E-4</c:v>
                </c:pt>
                <c:pt idx="14">
                  <c:v>1.9770390048031493E-4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0-4480-A06C-8BA5506FED77}"/>
            </c:ext>
          </c:extLst>
        </c:ser>
        <c:ser>
          <c:idx val="2"/>
          <c:order val="2"/>
          <c:tx>
            <c:strRef>
              <c:f>XZQJ!$B$22</c:f>
              <c:strCache>
                <c:ptCount val="1"/>
                <c:pt idx="0">
                  <c:v>DPD61-90days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XZQJ!$D$2:$R$2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XZQJ!$D$91:$R$91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3.24499829928834E-4</c:v>
                </c:pt>
                <c:pt idx="8">
                  <c:v>8.1861422615871248E-4</c:v>
                </c:pt>
                <c:pt idx="9">
                  <c:v>4.0734621854434413E-4</c:v>
                </c:pt>
                <c:pt idx="10">
                  <c:v>1.7135541440103005E-4</c:v>
                </c:pt>
                <c:pt idx="11">
                  <c:v>1.3306305450301828E-4</c:v>
                </c:pt>
                <c:pt idx="12">
                  <c:v>1.2493366012811702E-4</c:v>
                </c:pt>
                <c:pt idx="13">
                  <c:v>1.2309267292290733E-4</c:v>
                </c:pt>
                <c:pt idx="14">
                  <c:v>1.453434010778284E-4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80-4480-A06C-8BA5506FED77}"/>
            </c:ext>
          </c:extLst>
        </c:ser>
        <c:ser>
          <c:idx val="7"/>
          <c:order val="3"/>
          <c:tx>
            <c:strRef>
              <c:f>XZQJ!$B$26</c:f>
              <c:strCache>
                <c:ptCount val="1"/>
                <c:pt idx="0">
                  <c:v>DPD180+days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XZQJ!$D$2:$R$2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XZQJ!$D$94:$R$94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3.0256943562212863E-5</c:v>
                </c:pt>
                <c:pt idx="12">
                  <c:v>8.4882714206133787E-5</c:v>
                </c:pt>
                <c:pt idx="13">
                  <c:v>1.008312122082274E-4</c:v>
                </c:pt>
                <c:pt idx="14">
                  <c:v>1.1483781222365197E-4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80-4480-A06C-8BA5506FED77}"/>
            </c:ext>
          </c:extLst>
        </c:ser>
        <c:ser>
          <c:idx val="3"/>
          <c:order val="6"/>
          <c:tx>
            <c:strRef>
              <c:f>XZQJ!$B$23</c:f>
              <c:strCache>
                <c:ptCount val="1"/>
                <c:pt idx="0">
                  <c:v>DPD91-120days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XZQJ!$D$2:$R$2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XZQJ!$D$92:$R$92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3.24499829928834E-4</c:v>
                </c:pt>
                <c:pt idx="8">
                  <c:v>8.1861422615871248E-4</c:v>
                </c:pt>
                <c:pt idx="9">
                  <c:v>4.0734621854434413E-4</c:v>
                </c:pt>
                <c:pt idx="10">
                  <c:v>1.7135541440103005E-4</c:v>
                </c:pt>
                <c:pt idx="11">
                  <c:v>1.3306305450301828E-4</c:v>
                </c:pt>
                <c:pt idx="12">
                  <c:v>1.2493366012811702E-4</c:v>
                </c:pt>
                <c:pt idx="13">
                  <c:v>1.2309267292290733E-4</c:v>
                </c:pt>
                <c:pt idx="14">
                  <c:v>1.453434010778284E-4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80-4480-A06C-8BA5506FED77}"/>
            </c:ext>
          </c:extLst>
        </c:ser>
        <c:ser>
          <c:idx val="5"/>
          <c:order val="7"/>
          <c:tx>
            <c:strRef>
              <c:f>XZQJ!$B$24</c:f>
              <c:strCache>
                <c:ptCount val="1"/>
                <c:pt idx="0">
                  <c:v>DPD121-180days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XZQJ!$D$2:$R$2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XZQJ!$D$93:$R$93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1.4105325183476548E-4</c:v>
                </c:pt>
                <c:pt idx="10">
                  <c:v>1.2526016248722556E-4</c:v>
                </c:pt>
                <c:pt idx="11">
                  <c:v>1.0810924333324856E-4</c:v>
                </c:pt>
                <c:pt idx="12">
                  <c:v>1.2493366012811702E-4</c:v>
                </c:pt>
                <c:pt idx="13">
                  <c:v>1.2309267292290733E-4</c:v>
                </c:pt>
                <c:pt idx="14">
                  <c:v>1.1483781222365197E-4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80-4480-A06C-8BA5506FE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4032704"/>
        <c:axId val="-1294029984"/>
      </c:areaChart>
      <c:lineChart>
        <c:grouping val="standard"/>
        <c:varyColors val="0"/>
        <c:ser>
          <c:idx val="9"/>
          <c:order val="4"/>
          <c:tx>
            <c:strRef>
              <c:f>XZQJ!$B$18</c:f>
              <c:strCache>
                <c:ptCount val="1"/>
                <c:pt idx="0">
                  <c:v>Outstanding for Pass exam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XZQJ!$D$2:$R$2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XZQJ!$D$18:$R$18</c:f>
              <c:numCache>
                <c:formatCode>_(* #,##0.00_);_(* \(#,##0.00\);_(* "-"??_);_(@_)</c:formatCode>
                <c:ptCount val="15"/>
                <c:pt idx="0">
                  <c:v>3949720</c:v>
                </c:pt>
                <c:pt idx="1">
                  <c:v>48686614.840000004</c:v>
                </c:pt>
                <c:pt idx="2">
                  <c:v>48270179.640000001</c:v>
                </c:pt>
                <c:pt idx="3">
                  <c:v>48952340.439999998</c:v>
                </c:pt>
                <c:pt idx="4">
                  <c:v>38021794.039999999</c:v>
                </c:pt>
                <c:pt idx="5">
                  <c:v>27003460.900000002</c:v>
                </c:pt>
                <c:pt idx="6">
                  <c:v>45505594.127999999</c:v>
                </c:pt>
                <c:pt idx="7">
                  <c:v>357857968.75600004</c:v>
                </c:pt>
                <c:pt idx="8">
                  <c:v>463976935.48800004</c:v>
                </c:pt>
                <c:pt idx="9">
                  <c:v>802093170.68800008</c:v>
                </c:pt>
                <c:pt idx="10">
                  <c:v>1870290245.1040001</c:v>
                </c:pt>
                <c:pt idx="11">
                  <c:v>1885116052.2119999</c:v>
                </c:pt>
                <c:pt idx="12">
                  <c:v>1824717452.1759999</c:v>
                </c:pt>
                <c:pt idx="13">
                  <c:v>1734948595.4680002</c:v>
                </c:pt>
                <c:pt idx="14">
                  <c:v>1698049503.2440002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80-4480-A06C-8BA5506FED77}"/>
            </c:ext>
          </c:extLst>
        </c:ser>
        <c:ser>
          <c:idx val="4"/>
          <c:order val="5"/>
          <c:tx>
            <c:strRef>
              <c:f>XZQJ!$B$19</c:f>
              <c:strCache>
                <c:ptCount val="1"/>
                <c:pt idx="0">
                  <c:v>Current Loan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XZQJ!$D$2:$R$2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XZQJ!$D$19:$R$19</c:f>
              <c:numCache>
                <c:formatCode>#,##0_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4319000</c:v>
                </c:pt>
                <c:pt idx="4">
                  <c:v>26176100</c:v>
                </c:pt>
                <c:pt idx="5">
                  <c:v>95809268.799999997</c:v>
                </c:pt>
                <c:pt idx="6">
                  <c:v>91816930</c:v>
                </c:pt>
                <c:pt idx="7">
                  <c:v>25978831</c:v>
                </c:pt>
                <c:pt idx="8">
                  <c:v>24380520</c:v>
                </c:pt>
                <c:pt idx="9">
                  <c:v>5051536</c:v>
                </c:pt>
                <c:pt idx="10">
                  <c:v>90959857</c:v>
                </c:pt>
                <c:pt idx="11">
                  <c:v>40810136.670000002</c:v>
                </c:pt>
                <c:pt idx="12">
                  <c:v>63211199.329999998</c:v>
                </c:pt>
                <c:pt idx="13">
                  <c:v>224401291</c:v>
                </c:pt>
                <c:pt idx="14">
                  <c:v>859869421.00999999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80-4480-A06C-8BA5506FE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4027808"/>
        <c:axId val="-1294040864"/>
      </c:lineChart>
      <c:dateAx>
        <c:axId val="-1294032704"/>
        <c:scaling>
          <c:orientation val="minMax"/>
        </c:scaling>
        <c:delete val="0"/>
        <c:axPos val="b"/>
        <c:numFmt formatCode="[$-409]m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29984"/>
        <c:crosses val="autoZero"/>
        <c:auto val="1"/>
        <c:lblOffset val="100"/>
        <c:baseTimeUnit val="months"/>
      </c:dateAx>
      <c:valAx>
        <c:axId val="-1294029984"/>
        <c:scaling>
          <c:orientation val="minMax"/>
          <c:max val="0.2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32704"/>
        <c:crosses val="autoZero"/>
        <c:crossBetween val="between"/>
        <c:majorUnit val="5.000000000000001E-2"/>
      </c:valAx>
      <c:valAx>
        <c:axId val="-1294040864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27808"/>
        <c:crosses val="max"/>
        <c:crossBetween val="between"/>
      </c:valAx>
      <c:dateAx>
        <c:axId val="-1294027808"/>
        <c:scaling>
          <c:orientation val="minMax"/>
        </c:scaling>
        <c:delete val="1"/>
        <c:axPos val="b"/>
        <c:numFmt formatCode="[$-409]mmm/yyyy;@" sourceLinked="1"/>
        <c:majorTickMark val="out"/>
        <c:minorTickMark val="none"/>
        <c:tickLblPos val="nextTo"/>
        <c:crossAx val="-129404086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ZhongDu</a:t>
            </a:r>
          </a:p>
        </c:rich>
      </c:tx>
      <c:layout>
        <c:manualLayout>
          <c:xMode val="edge"/>
          <c:yMode val="edge"/>
          <c:x val="0.46753943217665622"/>
          <c:y val="2.8268551236749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areaChart>
        <c:grouping val="standard"/>
        <c:varyColors val="0"/>
        <c:ser>
          <c:idx val="8"/>
          <c:order val="10"/>
          <c:tx>
            <c:v>Outstanding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Forecast!$V$53:$V$88</c:f>
              <c:numCache>
                <c:formatCode>0.0000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F-4C37-819B-D07982734119}"/>
            </c:ext>
          </c:extLst>
        </c:ser>
        <c:ser>
          <c:idx val="13"/>
          <c:order val="11"/>
          <c:tx>
            <c:strRef>
              <c:f>Forecast!$Y$3</c:f>
              <c:strCache>
                <c:ptCount val="1"/>
                <c:pt idx="0">
                  <c:v>Upper CF Bound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val>
            <c:numRef>
              <c:f>Forecast!$Y$53:$Y$88</c:f>
              <c:numCache>
                <c:formatCode>0.0000</c:formatCode>
                <c:ptCount val="36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FF-4C37-819B-D07982734119}"/>
            </c:ext>
          </c:extLst>
        </c:ser>
        <c:ser>
          <c:idx val="11"/>
          <c:order val="12"/>
          <c:tx>
            <c:strRef>
              <c:f>Forecast!$W$3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val>
            <c:numRef>
              <c:f>Forecast!$W$53:$W$88</c:f>
              <c:numCache>
                <c:formatCode>0.0000</c:formatCode>
                <c:ptCount val="36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FF-4C37-819B-D07982734119}"/>
            </c:ext>
          </c:extLst>
        </c:ser>
        <c:ser>
          <c:idx val="12"/>
          <c:order val="13"/>
          <c:tx>
            <c:strRef>
              <c:f>Forecast!$X$3</c:f>
              <c:strCache>
                <c:ptCount val="1"/>
                <c:pt idx="0">
                  <c:v>Lower CF Bound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Forecast!$X$53:$X$106</c:f>
              <c:numCache>
                <c:formatCode>0.0000</c:formatCode>
                <c:ptCount val="54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FF-4C37-819B-D07982734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9812000"/>
        <c:axId val="-1289812544"/>
      </c:areaChart>
      <c:lineChart>
        <c:grouping val="standard"/>
        <c:varyColors val="0"/>
        <c:ser>
          <c:idx val="0"/>
          <c:order val="0"/>
          <c:tx>
            <c:strRef>
              <c:f>Forecast!$N$4</c:f>
              <c:strCache>
                <c:ptCount val="1"/>
                <c:pt idx="0">
                  <c:v>Total O/S(合同保有量)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Forecast!$A$53:$A$103</c:f>
              <c:numCache>
                <c:formatCode>[$-409]mmm\-yy;@</c:formatCode>
                <c:ptCount val="51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</c:numCache>
            </c:numRef>
          </c:cat>
          <c:val>
            <c:numRef>
              <c:f>Forecast!$N$53:$N$88</c:f>
              <c:numCache>
                <c:formatCode>0.00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9874300</c:v>
                </c:pt>
                <c:pt idx="5">
                  <c:v>121716537.09999999</c:v>
                </c:pt>
                <c:pt idx="6">
                  <c:v>120675449.09999999</c:v>
                </c:pt>
                <c:pt idx="7">
                  <c:v>122380851.09999999</c:v>
                </c:pt>
                <c:pt idx="8">
                  <c:v>95054485.099999994</c:v>
                </c:pt>
                <c:pt idx="9">
                  <c:v>67508652.25</c:v>
                </c:pt>
                <c:pt idx="10">
                  <c:v>113763985.31999999</c:v>
                </c:pt>
                <c:pt idx="11">
                  <c:v>894644921.88999999</c:v>
                </c:pt>
                <c:pt idx="12">
                  <c:v>1159942338.72</c:v>
                </c:pt>
                <c:pt idx="13">
                  <c:v>2005232926.72</c:v>
                </c:pt>
                <c:pt idx="14">
                  <c:v>4675725612.7600002</c:v>
                </c:pt>
                <c:pt idx="15">
                  <c:v>4712790130.5299997</c:v>
                </c:pt>
                <c:pt idx="16">
                  <c:v>4561793630.4399996</c:v>
                </c:pt>
                <c:pt idx="17">
                  <c:v>4337371488.6700001</c:v>
                </c:pt>
                <c:pt idx="18">
                  <c:v>4245123758.1100001</c:v>
                </c:pt>
                <c:pt idx="19">
                  <c:v>4076209521.3600001</c:v>
                </c:pt>
                <c:pt idx="20">
                  <c:v>3436480301.7600002</c:v>
                </c:pt>
                <c:pt idx="21">
                  <c:v>2702101400.04</c:v>
                </c:pt>
                <c:pt idx="22">
                  <c:v>3514015815.5799999</c:v>
                </c:pt>
                <c:pt idx="23">
                  <c:v>4404015482.96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FF-4C37-819B-D07982734119}"/>
            </c:ext>
          </c:extLst>
        </c:ser>
        <c:ser>
          <c:idx val="1"/>
          <c:order val="1"/>
          <c:tx>
            <c:strRef>
              <c:f>Forecast!$O$3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rgbClr val="FABB66"/>
              </a:solidFill>
              <a:round/>
            </a:ln>
            <a:effectLst/>
          </c:spPr>
          <c:marker>
            <c:symbol val="none"/>
          </c:marker>
          <c:cat>
            <c:numRef>
              <c:f>Forecast!$A$53:$A$103</c:f>
              <c:numCache>
                <c:formatCode>[$-409]mmm\-yy;@</c:formatCode>
                <c:ptCount val="51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</c:numCache>
            </c:numRef>
          </c:cat>
          <c:val>
            <c:numRef>
              <c:f>Forecast!$O$53:$O$88</c:f>
              <c:numCache>
                <c:formatCode>0.00</c:formatCode>
                <c:ptCount val="36"/>
                <c:pt idx="23">
                  <c:v>4404015482.96</c:v>
                </c:pt>
                <c:pt idx="24">
                  <c:v>5665423746.2465153</c:v>
                </c:pt>
                <c:pt idx="25">
                  <c:v>5936805828.8580542</c:v>
                </c:pt>
                <c:pt idx="26">
                  <c:v>6208187911.469593</c:v>
                </c:pt>
                <c:pt idx="27">
                  <c:v>6479569994.0811319</c:v>
                </c:pt>
                <c:pt idx="28">
                  <c:v>6750952076.6926708</c:v>
                </c:pt>
                <c:pt idx="29">
                  <c:v>7022334159.3042088</c:v>
                </c:pt>
                <c:pt idx="30">
                  <c:v>7293716241.9157486</c:v>
                </c:pt>
                <c:pt idx="31">
                  <c:v>7565098324.5272865</c:v>
                </c:pt>
                <c:pt idx="32">
                  <c:v>7836480407.1388254</c:v>
                </c:pt>
                <c:pt idx="33">
                  <c:v>8107862489.7503643</c:v>
                </c:pt>
                <c:pt idx="34">
                  <c:v>8379244572.3619022</c:v>
                </c:pt>
                <c:pt idx="35">
                  <c:v>8650626654.9734421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FF-4C37-819B-D07982734119}"/>
            </c:ext>
          </c:extLst>
        </c:ser>
        <c:ser>
          <c:idx val="2"/>
          <c:order val="2"/>
          <c:tx>
            <c:strRef>
              <c:f>Forecast!$P$3</c:f>
              <c:strCache>
                <c:ptCount val="1"/>
                <c:pt idx="0">
                  <c:v>Lower CF Bound</c:v>
                </c:pt>
              </c:strCache>
            </c:strRef>
          </c:tx>
          <c:spPr>
            <a:ln w="28575" cap="rnd">
              <a:solidFill>
                <a:srgbClr val="FABB6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Forecast!$A$53:$A$103</c:f>
              <c:numCache>
                <c:formatCode>[$-409]mmm\-yy;@</c:formatCode>
                <c:ptCount val="51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</c:numCache>
            </c:numRef>
          </c:cat>
          <c:val>
            <c:numRef>
              <c:f>Forecast!$P$53:$P$88</c:f>
              <c:numCache>
                <c:formatCode>0.00</c:formatCode>
                <c:ptCount val="36"/>
                <c:pt idx="23">
                  <c:v>4404015482.96</c:v>
                </c:pt>
                <c:pt idx="24">
                  <c:v>3501320081.5421538</c:v>
                </c:pt>
                <c:pt idx="25">
                  <c:v>3761692160.4301939</c:v>
                </c:pt>
                <c:pt idx="26">
                  <c:v>4021902251.1440964</c:v>
                </c:pt>
                <c:pt idx="27">
                  <c:v>4281950693.0724797</c:v>
                </c:pt>
                <c:pt idx="28">
                  <c:v>4541837854.1741428</c:v>
                </c:pt>
                <c:pt idx="29">
                  <c:v>4801564129.9815216</c:v>
                </c:pt>
                <c:pt idx="30">
                  <c:v>5061129942.6054983</c:v>
                </c:pt>
                <c:pt idx="31">
                  <c:v>5320535739.7431526</c:v>
                </c:pt>
                <c:pt idx="32">
                  <c:v>5579781993.6900492</c:v>
                </c:pt>
                <c:pt idx="33">
                  <c:v>5838869200.3584919</c:v>
                </c:pt>
                <c:pt idx="34">
                  <c:v>6097797878.3031635</c:v>
                </c:pt>
                <c:pt idx="35">
                  <c:v>6356568567.7554722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FF-4C37-819B-D07982734119}"/>
            </c:ext>
          </c:extLst>
        </c:ser>
        <c:ser>
          <c:idx val="3"/>
          <c:order val="3"/>
          <c:tx>
            <c:strRef>
              <c:f>Forecast!$Q$3</c:f>
              <c:strCache>
                <c:ptCount val="1"/>
                <c:pt idx="0">
                  <c:v>Upper CF Bound</c:v>
                </c:pt>
              </c:strCache>
            </c:strRef>
          </c:tx>
          <c:spPr>
            <a:ln w="28575" cap="rnd">
              <a:solidFill>
                <a:srgbClr val="FABB6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Forecast!$A$53:$A$103</c:f>
              <c:numCache>
                <c:formatCode>[$-409]mmm\-yy;@</c:formatCode>
                <c:ptCount val="51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</c:numCache>
            </c:numRef>
          </c:cat>
          <c:val>
            <c:numRef>
              <c:f>Forecast!$Q$53:$Q$88</c:f>
              <c:numCache>
                <c:formatCode>0.00</c:formatCode>
                <c:ptCount val="36"/>
                <c:pt idx="23">
                  <c:v>4404015482.96</c:v>
                </c:pt>
                <c:pt idx="24">
                  <c:v>7829527410.9508762</c:v>
                </c:pt>
                <c:pt idx="25">
                  <c:v>8111919497.2859144</c:v>
                </c:pt>
                <c:pt idx="26">
                  <c:v>8394473571.7950897</c:v>
                </c:pt>
                <c:pt idx="27">
                  <c:v>8677189295.0897846</c:v>
                </c:pt>
                <c:pt idx="28">
                  <c:v>8960066299.2111988</c:v>
                </c:pt>
                <c:pt idx="29">
                  <c:v>9243104188.6268959</c:v>
                </c:pt>
                <c:pt idx="30">
                  <c:v>9526302541.2259979</c:v>
                </c:pt>
                <c:pt idx="31">
                  <c:v>9809660909.3114204</c:v>
                </c:pt>
                <c:pt idx="32">
                  <c:v>10093178820.587601</c:v>
                </c:pt>
                <c:pt idx="33">
                  <c:v>10376855779.142237</c:v>
                </c:pt>
                <c:pt idx="34">
                  <c:v>10660691266.420641</c:v>
                </c:pt>
                <c:pt idx="35">
                  <c:v>10944684742.191412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FF-4C37-819B-D07982734119}"/>
            </c:ext>
          </c:extLst>
        </c:ser>
        <c:ser>
          <c:idx val="9"/>
          <c:order val="4"/>
          <c:tx>
            <c:strRef>
              <c:f>Forecast!$Z$3</c:f>
              <c:strCache>
                <c:ptCount val="1"/>
                <c:pt idx="0">
                  <c:v>Yield to Kbank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Forecast!$A$53:$A$103</c:f>
              <c:numCache>
                <c:formatCode>[$-409]mmm\-yy;@</c:formatCode>
                <c:ptCount val="51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</c:numCache>
            </c:numRef>
          </c:cat>
          <c:val>
            <c:numRef>
              <c:f>Forecast!$Z$5:$Z$77</c:f>
              <c:numCache>
                <c:formatCode>0.00%</c:formatCode>
                <c:ptCount val="73"/>
                <c:pt idx="0">
                  <c:v>7.1999999999999995E-2</c:v>
                </c:pt>
                <c:pt idx="1">
                  <c:v>7.1999999999999995E-2</c:v>
                </c:pt>
                <c:pt idx="2">
                  <c:v>7.1999999999999995E-2</c:v>
                </c:pt>
                <c:pt idx="3">
                  <c:v>7.1999999999999995E-2</c:v>
                </c:pt>
                <c:pt idx="4">
                  <c:v>7.1999999999999995E-2</c:v>
                </c:pt>
                <c:pt idx="5">
                  <c:v>7.1999999999999995E-2</c:v>
                </c:pt>
                <c:pt idx="6">
                  <c:v>7.1999999999999995E-2</c:v>
                </c:pt>
                <c:pt idx="7">
                  <c:v>7.1999999999999995E-2</c:v>
                </c:pt>
                <c:pt idx="8">
                  <c:v>7.1999999999999995E-2</c:v>
                </c:pt>
                <c:pt idx="9">
                  <c:v>7.1999999999999995E-2</c:v>
                </c:pt>
                <c:pt idx="10">
                  <c:v>7.1999999999999995E-2</c:v>
                </c:pt>
                <c:pt idx="11">
                  <c:v>7.1999999999999995E-2</c:v>
                </c:pt>
                <c:pt idx="12">
                  <c:v>7.1999999999999995E-2</c:v>
                </c:pt>
                <c:pt idx="13">
                  <c:v>7.1999999999999995E-2</c:v>
                </c:pt>
                <c:pt idx="14">
                  <c:v>7.1999999999999995E-2</c:v>
                </c:pt>
                <c:pt idx="15">
                  <c:v>7.1999999999999995E-2</c:v>
                </c:pt>
                <c:pt idx="16">
                  <c:v>7.1999999999999995E-2</c:v>
                </c:pt>
                <c:pt idx="17">
                  <c:v>7.1999999999999995E-2</c:v>
                </c:pt>
                <c:pt idx="18">
                  <c:v>7.1999999999999995E-2</c:v>
                </c:pt>
                <c:pt idx="19">
                  <c:v>7.1999999999999995E-2</c:v>
                </c:pt>
                <c:pt idx="20">
                  <c:v>7.1999999999999995E-2</c:v>
                </c:pt>
                <c:pt idx="21">
                  <c:v>7.1999999999999995E-2</c:v>
                </c:pt>
                <c:pt idx="22">
                  <c:v>7.1999999999999995E-2</c:v>
                </c:pt>
                <c:pt idx="23">
                  <c:v>7.1999999999999995E-2</c:v>
                </c:pt>
                <c:pt idx="24">
                  <c:v>7.1999999999999995E-2</c:v>
                </c:pt>
                <c:pt idx="25">
                  <c:v>7.1999999999999995E-2</c:v>
                </c:pt>
                <c:pt idx="26">
                  <c:v>7.1999999999999995E-2</c:v>
                </c:pt>
                <c:pt idx="27">
                  <c:v>7.1999999999999995E-2</c:v>
                </c:pt>
                <c:pt idx="28">
                  <c:v>7.1999999999999995E-2</c:v>
                </c:pt>
                <c:pt idx="29">
                  <c:v>7.1999999999999995E-2</c:v>
                </c:pt>
                <c:pt idx="30">
                  <c:v>7.1999999999999995E-2</c:v>
                </c:pt>
                <c:pt idx="31">
                  <c:v>7.1999999999999995E-2</c:v>
                </c:pt>
                <c:pt idx="32">
                  <c:v>7.1999999999999995E-2</c:v>
                </c:pt>
                <c:pt idx="33">
                  <c:v>7.1999999999999995E-2</c:v>
                </c:pt>
                <c:pt idx="34">
                  <c:v>7.1999999999999995E-2</c:v>
                </c:pt>
                <c:pt idx="35">
                  <c:v>7.1999999999999995E-2</c:v>
                </c:pt>
                <c:pt idx="36">
                  <c:v>7.1999999999999995E-2</c:v>
                </c:pt>
                <c:pt idx="37">
                  <c:v>7.1999999999999995E-2</c:v>
                </c:pt>
                <c:pt idx="38">
                  <c:v>7.1999999999999995E-2</c:v>
                </c:pt>
                <c:pt idx="39">
                  <c:v>7.1999999999999995E-2</c:v>
                </c:pt>
                <c:pt idx="40">
                  <c:v>7.1999999999999995E-2</c:v>
                </c:pt>
                <c:pt idx="41">
                  <c:v>7.1999999999999995E-2</c:v>
                </c:pt>
                <c:pt idx="42">
                  <c:v>7.1999999999999995E-2</c:v>
                </c:pt>
                <c:pt idx="43">
                  <c:v>7.1999999999999995E-2</c:v>
                </c:pt>
                <c:pt idx="44">
                  <c:v>7.1999999999999995E-2</c:v>
                </c:pt>
                <c:pt idx="45">
                  <c:v>7.1999999999999995E-2</c:v>
                </c:pt>
                <c:pt idx="46">
                  <c:v>7.1999999999999995E-2</c:v>
                </c:pt>
                <c:pt idx="47">
                  <c:v>7.1999999999999995E-2</c:v>
                </c:pt>
                <c:pt idx="48">
                  <c:v>7.1999999999999995E-2</c:v>
                </c:pt>
                <c:pt idx="49">
                  <c:v>7.1999999999999995E-2</c:v>
                </c:pt>
                <c:pt idx="50">
                  <c:v>7.1999999999999995E-2</c:v>
                </c:pt>
                <c:pt idx="51">
                  <c:v>7.1999999999999995E-2</c:v>
                </c:pt>
                <c:pt idx="52">
                  <c:v>7.1999999999999995E-2</c:v>
                </c:pt>
                <c:pt idx="53">
                  <c:v>7.1999999999999995E-2</c:v>
                </c:pt>
                <c:pt idx="54">
                  <c:v>7.1999999999999995E-2</c:v>
                </c:pt>
                <c:pt idx="55">
                  <c:v>7.1999999999999995E-2</c:v>
                </c:pt>
                <c:pt idx="56">
                  <c:v>7.1999999999999995E-2</c:v>
                </c:pt>
                <c:pt idx="57">
                  <c:v>7.1999999999999995E-2</c:v>
                </c:pt>
                <c:pt idx="58">
                  <c:v>7.1999999999999995E-2</c:v>
                </c:pt>
                <c:pt idx="59">
                  <c:v>7.1999999999999995E-2</c:v>
                </c:pt>
                <c:pt idx="60">
                  <c:v>7.1999999999999995E-2</c:v>
                </c:pt>
                <c:pt idx="61">
                  <c:v>7.1999999999999995E-2</c:v>
                </c:pt>
                <c:pt idx="62">
                  <c:v>7.1999999999999995E-2</c:v>
                </c:pt>
                <c:pt idx="63">
                  <c:v>7.1999999999999995E-2</c:v>
                </c:pt>
                <c:pt idx="64">
                  <c:v>7.1999999999999995E-2</c:v>
                </c:pt>
                <c:pt idx="65">
                  <c:v>7.1999999999999995E-2</c:v>
                </c:pt>
                <c:pt idx="66">
                  <c:v>7.1999999999999995E-2</c:v>
                </c:pt>
                <c:pt idx="67">
                  <c:v>7.1999999999999995E-2</c:v>
                </c:pt>
                <c:pt idx="68">
                  <c:v>7.1999999999999995E-2</c:v>
                </c:pt>
                <c:pt idx="69">
                  <c:v>7.1999999999999995E-2</c:v>
                </c:pt>
                <c:pt idx="70">
                  <c:v>7.1999999999999995E-2</c:v>
                </c:pt>
                <c:pt idx="71">
                  <c:v>7.1999999999999995E-2</c:v>
                </c:pt>
                <c:pt idx="72">
                  <c:v>7.1999999999999995E-2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FF-4C37-819B-D07982734119}"/>
            </c:ext>
          </c:extLst>
        </c:ser>
        <c:ser>
          <c:idx val="10"/>
          <c:order val="5"/>
          <c:tx>
            <c:strRef>
              <c:f>Forecast!$AA$3</c:f>
              <c:strCache>
                <c:ptCount val="1"/>
                <c:pt idx="0">
                  <c:v>Premium fee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Forecast!$A$53:$A$103</c:f>
              <c:numCache>
                <c:formatCode>[$-409]mmm\-yy;@</c:formatCode>
                <c:ptCount val="51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</c:numCache>
            </c:numRef>
          </c:cat>
          <c:val>
            <c:numRef>
              <c:f>Forecast!$AA$6:$AA$77</c:f>
              <c:numCache>
                <c:formatCode>0.00%</c:formatCode>
                <c:ptCount val="72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6.0000000000000001E-3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6.0000000000000001E-3</c:v>
                </c:pt>
                <c:pt idx="40">
                  <c:v>6.0000000000000001E-3</c:v>
                </c:pt>
                <c:pt idx="41">
                  <c:v>6.0000000000000001E-3</c:v>
                </c:pt>
                <c:pt idx="42">
                  <c:v>6.0000000000000001E-3</c:v>
                </c:pt>
                <c:pt idx="43">
                  <c:v>6.0000000000000001E-3</c:v>
                </c:pt>
                <c:pt idx="44">
                  <c:v>6.0000000000000001E-3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6.0000000000000001E-3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6.0000000000000001E-3</c:v>
                </c:pt>
                <c:pt idx="54">
                  <c:v>6.0000000000000001E-3</c:v>
                </c:pt>
                <c:pt idx="55">
                  <c:v>6.0000000000000001E-3</c:v>
                </c:pt>
                <c:pt idx="56">
                  <c:v>6.0000000000000001E-3</c:v>
                </c:pt>
                <c:pt idx="57">
                  <c:v>6.0000000000000001E-3</c:v>
                </c:pt>
                <c:pt idx="58">
                  <c:v>6.0000000000000001E-3</c:v>
                </c:pt>
                <c:pt idx="59">
                  <c:v>6.0000000000000001E-3</c:v>
                </c:pt>
                <c:pt idx="60">
                  <c:v>6.0000000000000001E-3</c:v>
                </c:pt>
                <c:pt idx="61">
                  <c:v>6.0000000000000001E-3</c:v>
                </c:pt>
                <c:pt idx="62">
                  <c:v>6.0000000000000001E-3</c:v>
                </c:pt>
                <c:pt idx="63">
                  <c:v>6.0000000000000001E-3</c:v>
                </c:pt>
                <c:pt idx="64">
                  <c:v>6.0000000000000001E-3</c:v>
                </c:pt>
                <c:pt idx="65">
                  <c:v>6.0000000000000001E-3</c:v>
                </c:pt>
                <c:pt idx="66">
                  <c:v>6.0000000000000001E-3</c:v>
                </c:pt>
                <c:pt idx="67">
                  <c:v>6.0000000000000001E-3</c:v>
                </c:pt>
                <c:pt idx="68">
                  <c:v>6.0000000000000001E-3</c:v>
                </c:pt>
                <c:pt idx="69">
                  <c:v>6.0000000000000001E-3</c:v>
                </c:pt>
                <c:pt idx="70">
                  <c:v>6.0000000000000001E-3</c:v>
                </c:pt>
                <c:pt idx="71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FF-4C37-819B-D07982734119}"/>
            </c:ext>
          </c:extLst>
        </c:ser>
        <c:ser>
          <c:idx val="4"/>
          <c:order val="6"/>
          <c:tx>
            <c:strRef>
              <c:f>Forecast!$R$4</c:f>
              <c:strCache>
                <c:ptCount val="1"/>
                <c:pt idx="0">
                  <c:v>%NPL By out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Forecast!$R$53:$R$89</c:f>
              <c:numCache>
                <c:formatCode>0.0000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8FF-4C37-819B-D07982734119}"/>
            </c:ext>
          </c:extLst>
        </c:ser>
        <c:ser>
          <c:idx val="5"/>
          <c:order val="7"/>
          <c:tx>
            <c:strRef>
              <c:f>Forecast!$S$3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rgbClr val="C198E0"/>
              </a:solidFill>
              <a:round/>
            </a:ln>
            <a:effectLst/>
          </c:spPr>
          <c:marker>
            <c:symbol val="none"/>
          </c:marker>
          <c:val>
            <c:numRef>
              <c:f>Forecast!$S$53:$S$93</c:f>
              <c:numCache>
                <c:formatCode>0.0000</c:formatCode>
                <c:ptCount val="41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8FF-4C37-819B-D07982734119}"/>
            </c:ext>
          </c:extLst>
        </c:ser>
        <c:ser>
          <c:idx val="6"/>
          <c:order val="8"/>
          <c:tx>
            <c:strRef>
              <c:f>Forecast!$T$3</c:f>
              <c:strCache>
                <c:ptCount val="1"/>
                <c:pt idx="0">
                  <c:v>Lower CF Bound</c:v>
                </c:pt>
              </c:strCache>
            </c:strRef>
          </c:tx>
          <c:spPr>
            <a:ln w="28575" cap="rnd">
              <a:solidFill>
                <a:srgbClr val="C198E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Forecast!$T$53:$T$95</c:f>
              <c:numCache>
                <c:formatCode>0.0000</c:formatCode>
                <c:ptCount val="43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FF-4C37-819B-D07982734119}"/>
            </c:ext>
          </c:extLst>
        </c:ser>
        <c:ser>
          <c:idx val="7"/>
          <c:order val="9"/>
          <c:tx>
            <c:strRef>
              <c:f>Forecast!$U$3</c:f>
              <c:strCache>
                <c:ptCount val="1"/>
                <c:pt idx="0">
                  <c:v>Upper CF Bound</c:v>
                </c:pt>
              </c:strCache>
            </c:strRef>
          </c:tx>
          <c:spPr>
            <a:ln w="28575" cap="rnd">
              <a:solidFill>
                <a:srgbClr val="C198E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Forecast!$U$53:$U$93</c:f>
              <c:numCache>
                <c:formatCode>0.0000</c:formatCode>
                <c:ptCount val="41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8FF-4C37-819B-D07982734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4027264"/>
        <c:axId val="-1289809824"/>
      </c:lineChart>
      <c:dateAx>
        <c:axId val="-1294027264"/>
        <c:scaling>
          <c:orientation val="minMax"/>
          <c:max val="44531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89809824"/>
        <c:crosses val="autoZero"/>
        <c:auto val="1"/>
        <c:lblOffset val="100"/>
        <c:baseTimeUnit val="months"/>
      </c:dateAx>
      <c:valAx>
        <c:axId val="-1289809824"/>
        <c:scaling>
          <c:orientation val="minMax"/>
          <c:max val="0.12000000000000001"/>
          <c:min val="0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27264"/>
        <c:crosses val="autoZero"/>
        <c:crossBetween val="between"/>
      </c:valAx>
      <c:valAx>
        <c:axId val="-1289812544"/>
        <c:scaling>
          <c:orientation val="minMax"/>
          <c:min val="0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89812000"/>
        <c:crosses val="max"/>
        <c:crossBetween val="between"/>
      </c:valAx>
      <c:catAx>
        <c:axId val="-1289812000"/>
        <c:scaling>
          <c:orientation val="minMax"/>
        </c:scaling>
        <c:delete val="1"/>
        <c:axPos val="b"/>
        <c:majorTickMark val="out"/>
        <c:minorTickMark val="none"/>
        <c:tickLblPos val="nextTo"/>
        <c:crossAx val="-1289812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713900201822777E-2"/>
          <c:y val="2.3372052891939662E-2"/>
          <c:w val="0.90456553942134388"/>
          <c:h val="0.85737377572569606"/>
        </c:manualLayout>
      </c:layout>
      <c:areaChart>
        <c:grouping val="standard"/>
        <c:varyColors val="0"/>
        <c:ser>
          <c:idx val="6"/>
          <c:order val="5"/>
          <c:tx>
            <c:strRef>
              <c:f>Forecast!$F$4</c:f>
              <c:strCache>
                <c:ptCount val="1"/>
                <c:pt idx="0">
                  <c:v>Total O/S(合同保有量)</c:v>
                </c:pt>
              </c:strCache>
            </c:strRef>
          </c:tx>
          <c:spPr>
            <a:solidFill>
              <a:srgbClr val="EDF1F9"/>
            </a:solidFill>
            <a:ln>
              <a:noFill/>
            </a:ln>
            <a:effectLst/>
          </c:spP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Forecast!$F$59:$F$88</c:f>
              <c:numCache>
                <c:formatCode>_(* #,##0.00_);_(* \(#,##0.00\);_(* "-"??_);_(@_)</c:formatCode>
                <c:ptCount val="30"/>
                <c:pt idx="0">
                  <c:v>120675449.09999999</c:v>
                </c:pt>
                <c:pt idx="1">
                  <c:v>122380851.09999999</c:v>
                </c:pt>
                <c:pt idx="2">
                  <c:v>95054485.099999994</c:v>
                </c:pt>
                <c:pt idx="3">
                  <c:v>67508652.25</c:v>
                </c:pt>
                <c:pt idx="4">
                  <c:v>113763985.31999999</c:v>
                </c:pt>
                <c:pt idx="5">
                  <c:v>894644921.88999999</c:v>
                </c:pt>
                <c:pt idx="6">
                  <c:v>1159942338.72</c:v>
                </c:pt>
                <c:pt idx="7">
                  <c:v>2005232926.72</c:v>
                </c:pt>
                <c:pt idx="8">
                  <c:v>4675725612.7600002</c:v>
                </c:pt>
                <c:pt idx="9">
                  <c:v>4712790130.5299997</c:v>
                </c:pt>
                <c:pt idx="10">
                  <c:v>4561793630.4399996</c:v>
                </c:pt>
                <c:pt idx="11">
                  <c:v>4337371488.6700001</c:v>
                </c:pt>
                <c:pt idx="12">
                  <c:v>4245123758.1100001</c:v>
                </c:pt>
                <c:pt idx="13">
                  <c:v>4076209521.3600001</c:v>
                </c:pt>
                <c:pt idx="14">
                  <c:v>3436480301.7600002</c:v>
                </c:pt>
                <c:pt idx="15">
                  <c:v>2702101400.04</c:v>
                </c:pt>
                <c:pt idx="16">
                  <c:v>3514015815.5799999</c:v>
                </c:pt>
                <c:pt idx="17">
                  <c:v>4404015482.96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8-4039-8624-5D825EAF9ACA}"/>
            </c:ext>
          </c:extLst>
        </c:ser>
        <c:ser>
          <c:idx val="9"/>
          <c:order val="6"/>
          <c:tx>
            <c:strRef>
              <c:f>Forecast!$I$3</c:f>
              <c:strCache>
                <c:ptCount val="1"/>
                <c:pt idx="0">
                  <c:v>Upper CF Bound</c:v>
                </c:pt>
              </c:strCache>
            </c:strRef>
          </c:tx>
          <c:spPr>
            <a:solidFill>
              <a:srgbClr val="EDF1F9"/>
            </a:solidFill>
            <a:ln>
              <a:noFill/>
            </a:ln>
            <a:effectLst/>
          </c:spP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Forecast!$I$59:$I$88</c:f>
              <c:numCache>
                <c:formatCode>_(* #,##0.00_);_(* \(#,##0.00\);_(* "-"??_);_(@_)</c:formatCode>
                <c:ptCount val="30"/>
                <c:pt idx="17">
                  <c:v>4404015482.96</c:v>
                </c:pt>
                <c:pt idx="18">
                  <c:v>6854342942.4406567</c:v>
                </c:pt>
                <c:pt idx="19">
                  <c:v>7151576740.9404507</c:v>
                </c:pt>
                <c:pt idx="20">
                  <c:v>7448972527.6143818</c:v>
                </c:pt>
                <c:pt idx="21">
                  <c:v>7746529963.0738316</c:v>
                </c:pt>
                <c:pt idx="22">
                  <c:v>8044248679.3600035</c:v>
                </c:pt>
                <c:pt idx="23">
                  <c:v>8342128280.9404564</c:v>
                </c:pt>
                <c:pt idx="24">
                  <c:v>8640168345.7043152</c:v>
                </c:pt>
                <c:pt idx="25">
                  <c:v>8938368425.9544945</c:v>
                </c:pt>
                <c:pt idx="26">
                  <c:v>9236728049.3954315</c:v>
                </c:pt>
                <c:pt idx="27">
                  <c:v>9535246720.1148224</c:v>
                </c:pt>
                <c:pt idx="28">
                  <c:v>9833923919.5579834</c:v>
                </c:pt>
                <c:pt idx="29">
                  <c:v>10132759107.493511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8-4039-8624-5D825EAF9ACA}"/>
            </c:ext>
          </c:extLst>
        </c:ser>
        <c:ser>
          <c:idx val="7"/>
          <c:order val="7"/>
          <c:tx>
            <c:strRef>
              <c:f>Forecast!$G$3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Forecast!$G$59:$G$88</c:f>
              <c:numCache>
                <c:formatCode>_(* #,##0.00_);_(* \(#,##0.00\);_(* "-"??_);_(@_)</c:formatCode>
                <c:ptCount val="30"/>
                <c:pt idx="17">
                  <c:v>4404015482.96</c:v>
                </c:pt>
                <c:pt idx="18">
                  <c:v>4690239277.7362947</c:v>
                </c:pt>
                <c:pt idx="19">
                  <c:v>4976463072.5125904</c:v>
                </c:pt>
                <c:pt idx="20">
                  <c:v>5262686867.2888851</c:v>
                </c:pt>
                <c:pt idx="21">
                  <c:v>5548910662.0651798</c:v>
                </c:pt>
                <c:pt idx="22">
                  <c:v>5835134456.8414755</c:v>
                </c:pt>
                <c:pt idx="23">
                  <c:v>6121358251.6177702</c:v>
                </c:pt>
                <c:pt idx="24">
                  <c:v>6407582046.3940659</c:v>
                </c:pt>
                <c:pt idx="25">
                  <c:v>6693805841.1703606</c:v>
                </c:pt>
                <c:pt idx="26">
                  <c:v>6980029635.9466553</c:v>
                </c:pt>
                <c:pt idx="27">
                  <c:v>7266253430.7229509</c:v>
                </c:pt>
                <c:pt idx="28">
                  <c:v>7552477225.4992456</c:v>
                </c:pt>
                <c:pt idx="29">
                  <c:v>7838701020.2755413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38-4039-8624-5D825EAF9ACA}"/>
            </c:ext>
          </c:extLst>
        </c:ser>
        <c:ser>
          <c:idx val="8"/>
          <c:order val="8"/>
          <c:tx>
            <c:strRef>
              <c:f>Forecast!$H$3</c:f>
              <c:strCache>
                <c:ptCount val="1"/>
                <c:pt idx="0">
                  <c:v>Lower CF Bound</c:v>
                </c:pt>
              </c:strCache>
            </c:strRef>
          </c:tx>
          <c:spPr>
            <a:solidFill>
              <a:srgbClr val="EDF1F9"/>
            </a:solidFill>
            <a:ln>
              <a:noFill/>
            </a:ln>
            <a:effectLst/>
          </c:spP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Forecast!$H$59:$H$88</c:f>
              <c:numCache>
                <c:formatCode>_(* #,##0.00_);_(* \(#,##0.00\);_(* "-"??_);_(@_)</c:formatCode>
                <c:ptCount val="30"/>
                <c:pt idx="17">
                  <c:v>4404015482.96</c:v>
                </c:pt>
                <c:pt idx="18">
                  <c:v>-1576170023.7640581</c:v>
                </c:pt>
                <c:pt idx="19">
                  <c:v>-1452922114.3627214</c:v>
                </c:pt>
                <c:pt idx="20">
                  <c:v>-1326012567.4164114</c:v>
                </c:pt>
                <c:pt idx="21">
                  <c:v>-1195701284.4648771</c:v>
                </c:pt>
                <c:pt idx="22">
                  <c:v>-1062219367.8296261</c:v>
                </c:pt>
                <c:pt idx="23">
                  <c:v>-925773388.80845451</c:v>
                </c:pt>
                <c:pt idx="24">
                  <c:v>-786548876.09915543</c:v>
                </c:pt>
                <c:pt idx="25">
                  <c:v>-644713191.74483109</c:v>
                </c:pt>
                <c:pt idx="26">
                  <c:v>-500417921.06994724</c:v>
                </c:pt>
                <c:pt idx="27">
                  <c:v>-353800873.33209133</c:v>
                </c:pt>
                <c:pt idx="28">
                  <c:v>-204987767.86025143</c:v>
                </c:pt>
                <c:pt idx="29">
                  <c:v>-54093664.052038193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38-4039-8624-5D825EAF9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23384"/>
        <c:axId val="422716168"/>
      </c:areaChart>
      <c:lineChart>
        <c:grouping val="standard"/>
        <c:varyColors val="0"/>
        <c:ser>
          <c:idx val="0"/>
          <c:order val="0"/>
          <c:tx>
            <c:strRef>
              <c:f>Forecast!$B$4</c:f>
              <c:strCache>
                <c:ptCount val="1"/>
                <c:pt idx="0">
                  <c:v>%NPL By out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Forecast!$B$60:$B$88</c:f>
              <c:numCache>
                <c:formatCode>0.00%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4.3725267930450652E-3</c:v>
                </c:pt>
                <c:pt idx="5">
                  <c:v>1.5282863360399156E-2</c:v>
                </c:pt>
                <c:pt idx="6">
                  <c:v>5.980482054614069E-2</c:v>
                </c:pt>
                <c:pt idx="7">
                  <c:v>3.5082252064934736E-3</c:v>
                </c:pt>
                <c:pt idx="8">
                  <c:v>6.1058979522346513E-3</c:v>
                </c:pt>
                <c:pt idx="9">
                  <c:v>3.5896858753820152E-3</c:v>
                </c:pt>
                <c:pt idx="10">
                  <c:v>9.5013294032914269E-4</c:v>
                </c:pt>
                <c:pt idx="11">
                  <c:v>2.8683432061202686E-4</c:v>
                </c:pt>
                <c:pt idx="12">
                  <c:v>2.5229565802668799E-3</c:v>
                </c:pt>
                <c:pt idx="13">
                  <c:v>2.2817414045066357E-4</c:v>
                </c:pt>
                <c:pt idx="14">
                  <c:v>8.8856278218169091E-4</c:v>
                </c:pt>
                <c:pt idx="15">
                  <c:v>5.9828461237307808E-3</c:v>
                </c:pt>
                <c:pt idx="16">
                  <c:v>6.2968148990353667E-4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38-4039-8624-5D825EAF9ACA}"/>
            </c:ext>
          </c:extLst>
        </c:ser>
        <c:ser>
          <c:idx val="1"/>
          <c:order val="1"/>
          <c:tx>
            <c:strRef>
              <c:f>Forecast!$C$3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rgbClr val="C198E0"/>
              </a:solidFill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Forecast!$C$60:$C$88</c:f>
              <c:numCache>
                <c:formatCode>0.00%</c:formatCode>
                <c:ptCount val="29"/>
                <c:pt idx="16">
                  <c:v>6.2968148990353667E-4</c:v>
                </c:pt>
                <c:pt idx="17">
                  <c:v>2.5139379888643077E-3</c:v>
                </c:pt>
                <c:pt idx="18">
                  <c:v>2.2807685686391682E-3</c:v>
                </c:pt>
                <c:pt idx="19">
                  <c:v>2.0475991484140074E-3</c:v>
                </c:pt>
                <c:pt idx="20">
                  <c:v>1.8144297281888684E-3</c:v>
                </c:pt>
                <c:pt idx="21">
                  <c:v>1.5812603079637076E-3</c:v>
                </c:pt>
                <c:pt idx="22">
                  <c:v>1.3480908877385683E-3</c:v>
                </c:pt>
                <c:pt idx="23">
                  <c:v>1.1149214675134076E-3</c:v>
                </c:pt>
                <c:pt idx="24">
                  <c:v>8.8175204728826843E-4</c:v>
                </c:pt>
                <c:pt idx="25">
                  <c:v>6.4858262706310791E-4</c:v>
                </c:pt>
                <c:pt idx="26">
                  <c:v>4.1541320683796863E-4</c:v>
                </c:pt>
                <c:pt idx="27">
                  <c:v>1.8224378661280808E-4</c:v>
                </c:pt>
                <c:pt idx="28">
                  <c:v>-5.0925633612331586E-5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38-4039-8624-5D825EAF9ACA}"/>
            </c:ext>
          </c:extLst>
        </c:ser>
        <c:ser>
          <c:idx val="2"/>
          <c:order val="2"/>
          <c:tx>
            <c:strRef>
              <c:f>Forecast!$D$3</c:f>
              <c:strCache>
                <c:ptCount val="1"/>
                <c:pt idx="0">
                  <c:v>Lower CF Bound</c:v>
                </c:pt>
              </c:strCache>
            </c:strRef>
          </c:tx>
          <c:spPr>
            <a:ln w="28575" cap="rnd">
              <a:solidFill>
                <a:srgbClr val="C198E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Forecast!$D$60:$D$87</c:f>
              <c:numCache>
                <c:formatCode>0.00%</c:formatCode>
                <c:ptCount val="28"/>
                <c:pt idx="16">
                  <c:v>6.2968148990353667E-4</c:v>
                </c:pt>
                <c:pt idx="17">
                  <c:v>-2.70037952325833E-2</c:v>
                </c:pt>
                <c:pt idx="18">
                  <c:v>-2.7474058215988351E-2</c:v>
                </c:pt>
                <c:pt idx="19">
                  <c:v>-2.7946150868219936E-2</c:v>
                </c:pt>
                <c:pt idx="20">
                  <c:v>-2.8420058631251327E-2</c:v>
                </c:pt>
                <c:pt idx="21">
                  <c:v>-2.8895767080984926E-2</c:v>
                </c:pt>
                <c:pt idx="22">
                  <c:v>-2.9373261930493222E-2</c:v>
                </c:pt>
                <c:pt idx="23">
                  <c:v>-2.9852529032922265E-2</c:v>
                </c:pt>
                <c:pt idx="24">
                  <c:v>-3.0333554384073889E-2</c:v>
                </c:pt>
                <c:pt idx="25">
                  <c:v>-3.0816324124684085E-2</c:v>
                </c:pt>
                <c:pt idx="26">
                  <c:v>-3.1300824542412849E-2</c:v>
                </c:pt>
                <c:pt idx="27">
                  <c:v>-3.1787042073561735E-2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38-4039-8624-5D825EAF9ACA}"/>
            </c:ext>
          </c:extLst>
        </c:ser>
        <c:ser>
          <c:idx val="3"/>
          <c:order val="3"/>
          <c:tx>
            <c:strRef>
              <c:f>Forecast!$E$3</c:f>
              <c:strCache>
                <c:ptCount val="1"/>
                <c:pt idx="0">
                  <c:v>Upper CF Bound</c:v>
                </c:pt>
              </c:strCache>
            </c:strRef>
          </c:tx>
          <c:spPr>
            <a:ln w="28575" cap="rnd">
              <a:solidFill>
                <a:srgbClr val="C198E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Forecast!$E$60:$E$88</c:f>
              <c:numCache>
                <c:formatCode>0.00%</c:formatCode>
                <c:ptCount val="29"/>
                <c:pt idx="16">
                  <c:v>6.2968148990353667E-4</c:v>
                </c:pt>
                <c:pt idx="17">
                  <c:v>3.2031671210311918E-2</c:v>
                </c:pt>
                <c:pt idx="18">
                  <c:v>3.2035595353266687E-2</c:v>
                </c:pt>
                <c:pt idx="19">
                  <c:v>3.2041349165047951E-2</c:v>
                </c:pt>
                <c:pt idx="20">
                  <c:v>3.2048918087629066E-2</c:v>
                </c:pt>
                <c:pt idx="21">
                  <c:v>3.2058287696912338E-2</c:v>
                </c:pt>
                <c:pt idx="22">
                  <c:v>3.2069443705970362E-2</c:v>
                </c:pt>
                <c:pt idx="23">
                  <c:v>3.208237196794908E-2</c:v>
                </c:pt>
                <c:pt idx="24">
                  <c:v>3.209705847865043E-2</c:v>
                </c:pt>
                <c:pt idx="25">
                  <c:v>3.2113489378810298E-2</c:v>
                </c:pt>
                <c:pt idx="26">
                  <c:v>3.2131650956088782E-2</c:v>
                </c:pt>
                <c:pt idx="27">
                  <c:v>3.2151529646787351E-2</c:v>
                </c:pt>
                <c:pt idx="28">
                  <c:v>3.2173112037309007E-2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38-4039-8624-5D825EAF9ACA}"/>
            </c:ext>
          </c:extLst>
        </c:ser>
        <c:ser>
          <c:idx val="5"/>
          <c:order val="4"/>
          <c:tx>
            <c:strRef>
              <c:f>Forecast!$AA$1</c:f>
              <c:strCache>
                <c:ptCount val="1"/>
                <c:pt idx="0">
                  <c:v>Premium fee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Forecast!$AA$17:$AA$86</c:f>
              <c:numCache>
                <c:formatCode>0.00%</c:formatCode>
                <c:ptCount val="70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6.0000000000000001E-3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6.0000000000000001E-3</c:v>
                </c:pt>
                <c:pt idx="40">
                  <c:v>6.0000000000000001E-3</c:v>
                </c:pt>
                <c:pt idx="41">
                  <c:v>6.0000000000000001E-3</c:v>
                </c:pt>
                <c:pt idx="42">
                  <c:v>6.0000000000000001E-3</c:v>
                </c:pt>
                <c:pt idx="43">
                  <c:v>6.0000000000000001E-3</c:v>
                </c:pt>
                <c:pt idx="44">
                  <c:v>6.0000000000000001E-3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6.0000000000000001E-3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6.0000000000000001E-3</c:v>
                </c:pt>
                <c:pt idx="54">
                  <c:v>6.0000000000000001E-3</c:v>
                </c:pt>
                <c:pt idx="55">
                  <c:v>6.0000000000000001E-3</c:v>
                </c:pt>
                <c:pt idx="56">
                  <c:v>6.0000000000000001E-3</c:v>
                </c:pt>
                <c:pt idx="57">
                  <c:v>6.0000000000000001E-3</c:v>
                </c:pt>
                <c:pt idx="58">
                  <c:v>6.0000000000000001E-3</c:v>
                </c:pt>
                <c:pt idx="59">
                  <c:v>6.0000000000000001E-3</c:v>
                </c:pt>
                <c:pt idx="60">
                  <c:v>6.0000000000000001E-3</c:v>
                </c:pt>
                <c:pt idx="61">
                  <c:v>6.0000000000000001E-3</c:v>
                </c:pt>
                <c:pt idx="62">
                  <c:v>6.0000000000000001E-3</c:v>
                </c:pt>
                <c:pt idx="63">
                  <c:v>6.0000000000000001E-3</c:v>
                </c:pt>
                <c:pt idx="64">
                  <c:v>6.0000000000000001E-3</c:v>
                </c:pt>
                <c:pt idx="65">
                  <c:v>6.0000000000000001E-3</c:v>
                </c:pt>
                <c:pt idx="66">
                  <c:v>6.0000000000000001E-3</c:v>
                </c:pt>
                <c:pt idx="67">
                  <c:v>6.0000000000000001E-3</c:v>
                </c:pt>
                <c:pt idx="68">
                  <c:v>6.0000000000000001E-3</c:v>
                </c:pt>
                <c:pt idx="69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938-4039-8624-5D825EAF9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690584"/>
        <c:axId val="422685992"/>
      </c:lineChart>
      <c:dateAx>
        <c:axId val="42269058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2685992"/>
        <c:crosses val="autoZero"/>
        <c:auto val="1"/>
        <c:lblOffset val="100"/>
        <c:baseTimeUnit val="months"/>
        <c:majorUnit val="1"/>
        <c:majorTimeUnit val="months"/>
      </c:dateAx>
      <c:valAx>
        <c:axId val="422685992"/>
        <c:scaling>
          <c:orientation val="minMax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2690584"/>
        <c:crosses val="autoZero"/>
        <c:crossBetween val="between"/>
      </c:valAx>
      <c:valAx>
        <c:axId val="422716168"/>
        <c:scaling>
          <c:orientation val="minMax"/>
          <c:min val="0"/>
        </c:scaling>
        <c:delete val="0"/>
        <c:axPos val="r"/>
        <c:numFmt formatCode="###,,\ 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2723384"/>
        <c:crosses val="max"/>
        <c:crossBetween val="between"/>
      </c:valAx>
      <c:dateAx>
        <c:axId val="422723384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42271616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Zhongqi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2.4902691227323085E-2"/>
          <c:y val="7.6611125631673646E-2"/>
          <c:w val="0.94054223345907428"/>
          <c:h val="0.82271671776240296"/>
        </c:manualLayout>
      </c:layout>
      <c:areaChart>
        <c:grouping val="standard"/>
        <c:varyColors val="0"/>
        <c:ser>
          <c:idx val="4"/>
          <c:order val="4"/>
          <c:tx>
            <c:strRef>
              <c:f>Forecast!$V$4</c:f>
              <c:strCache>
                <c:ptCount val="1"/>
                <c:pt idx="0">
                  <c:v>Disbursement(Accumulate)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Forecast!$A$43:$A$90</c:f>
              <c:numCache>
                <c:formatCode>[$-409]mmm\-yy;@</c:formatCode>
                <c:ptCount val="48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  <c:pt idx="43">
                  <c:v>44470</c:v>
                </c:pt>
                <c:pt idx="44">
                  <c:v>44501</c:v>
                </c:pt>
                <c:pt idx="45">
                  <c:v>44531</c:v>
                </c:pt>
                <c:pt idx="46">
                  <c:v>44562</c:v>
                </c:pt>
                <c:pt idx="47">
                  <c:v>44593</c:v>
                </c:pt>
              </c:numCache>
            </c:numRef>
          </c:cat>
          <c:val>
            <c:numRef>
              <c:f>Forecast!$V$43:$V$85</c:f>
              <c:numCache>
                <c:formatCode>0.0000</c:formatCode>
                <c:ptCount val="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C-4E6F-BEAD-B9EE7D782DC3}"/>
            </c:ext>
          </c:extLst>
        </c:ser>
        <c:ser>
          <c:idx val="7"/>
          <c:order val="5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Forecast!$A$43:$A$90</c:f>
              <c:numCache>
                <c:formatCode>[$-409]mmm\-yy;@</c:formatCode>
                <c:ptCount val="48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  <c:pt idx="43">
                  <c:v>44470</c:v>
                </c:pt>
                <c:pt idx="44">
                  <c:v>44501</c:v>
                </c:pt>
                <c:pt idx="45">
                  <c:v>44531</c:v>
                </c:pt>
                <c:pt idx="46">
                  <c:v>44562</c:v>
                </c:pt>
                <c:pt idx="47">
                  <c:v>44593</c:v>
                </c:pt>
              </c:numCache>
            </c:numRef>
          </c:cat>
          <c:val>
            <c:numRef>
              <c:f>Forecast!$Y$43:$Y$85</c:f>
              <c:numCache>
                <c:formatCode>0.0000</c:formatCode>
                <c:ptCount val="43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C-4E6F-BEAD-B9EE7D782DC3}"/>
            </c:ext>
          </c:extLst>
        </c:ser>
        <c:ser>
          <c:idx val="5"/>
          <c:order val="6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Forecast!$A$43:$A$90</c:f>
              <c:numCache>
                <c:formatCode>[$-409]mmm\-yy;@</c:formatCode>
                <c:ptCount val="48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  <c:pt idx="43">
                  <c:v>44470</c:v>
                </c:pt>
                <c:pt idx="44">
                  <c:v>44501</c:v>
                </c:pt>
                <c:pt idx="45">
                  <c:v>44531</c:v>
                </c:pt>
                <c:pt idx="46">
                  <c:v>44562</c:v>
                </c:pt>
                <c:pt idx="47">
                  <c:v>44593</c:v>
                </c:pt>
              </c:numCache>
            </c:numRef>
          </c:cat>
          <c:val>
            <c:numRef>
              <c:f>Forecast!$W$43:$W$85</c:f>
              <c:numCache>
                <c:formatCode>0.0000</c:formatCode>
                <c:ptCount val="43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C-4E6F-BEAD-B9EE7D782DC3}"/>
            </c:ext>
          </c:extLst>
        </c:ser>
        <c:ser>
          <c:idx val="6"/>
          <c:order val="7"/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Forecast!$A$43:$A$90</c:f>
              <c:numCache>
                <c:formatCode>[$-409]mmm\-yy;@</c:formatCode>
                <c:ptCount val="48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  <c:pt idx="43">
                  <c:v>44470</c:v>
                </c:pt>
                <c:pt idx="44">
                  <c:v>44501</c:v>
                </c:pt>
                <c:pt idx="45">
                  <c:v>44531</c:v>
                </c:pt>
                <c:pt idx="46">
                  <c:v>44562</c:v>
                </c:pt>
                <c:pt idx="47">
                  <c:v>44593</c:v>
                </c:pt>
              </c:numCache>
            </c:numRef>
          </c:cat>
          <c:val>
            <c:numRef>
              <c:f>Forecast!$X$43:$X$85</c:f>
              <c:numCache>
                <c:formatCode>0.0000</c:formatCode>
                <c:ptCount val="43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4C-4E6F-BEAD-B9EE7D782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131568"/>
        <c:axId val="642133208"/>
      </c:areaChart>
      <c:lineChart>
        <c:grouping val="standard"/>
        <c:varyColors val="0"/>
        <c:ser>
          <c:idx val="0"/>
          <c:order val="0"/>
          <c:tx>
            <c:strRef>
              <c:f>Forecast!$R$4</c:f>
              <c:strCache>
                <c:ptCount val="1"/>
                <c:pt idx="0">
                  <c:v>%NPL By out</c:v>
                </c:pt>
              </c:strCache>
            </c:strRef>
          </c:tx>
          <c:spPr>
            <a:ln w="28575" cap="rnd">
              <a:solidFill>
                <a:srgbClr val="B07BD7"/>
              </a:solidFill>
              <a:round/>
            </a:ln>
            <a:effectLst/>
          </c:spPr>
          <c:marker>
            <c:symbol val="none"/>
          </c:marker>
          <c:cat>
            <c:numRef>
              <c:f>Forecast!$A$43:$A$85</c:f>
              <c:numCache>
                <c:formatCode>[$-409]mmm\-yy;@</c:formatCode>
                <c:ptCount val="43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</c:numCache>
            </c:numRef>
          </c:cat>
          <c:val>
            <c:numRef>
              <c:f>Forecast!$R$43:$R$85</c:f>
              <c:numCache>
                <c:formatCode>0.0000</c:formatCode>
                <c:ptCount val="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4C-4E6F-BEAD-B9EE7D782DC3}"/>
            </c:ext>
          </c:extLst>
        </c:ser>
        <c:ser>
          <c:idx val="1"/>
          <c:order val="1"/>
          <c:spPr>
            <a:ln w="28575" cap="rnd">
              <a:solidFill>
                <a:srgbClr val="C9A4E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Forecast!$A$43:$A$85</c:f>
              <c:numCache>
                <c:formatCode>[$-409]mmm\-yy;@</c:formatCode>
                <c:ptCount val="43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</c:numCache>
            </c:numRef>
          </c:cat>
          <c:val>
            <c:numRef>
              <c:f>Forecast!$S$43:$S$90</c:f>
              <c:numCache>
                <c:formatCode>0.0000</c:formatCode>
                <c:ptCount val="48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4C-4E6F-BEAD-B9EE7D782DC3}"/>
            </c:ext>
          </c:extLst>
        </c:ser>
        <c:ser>
          <c:idx val="2"/>
          <c:order val="2"/>
          <c:spPr>
            <a:ln w="28575" cap="rnd">
              <a:solidFill>
                <a:srgbClr val="C9A4E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Forecast!$A$43:$A$85</c:f>
              <c:numCache>
                <c:formatCode>[$-409]mmm\-yy;@</c:formatCode>
                <c:ptCount val="43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</c:numCache>
            </c:numRef>
          </c:cat>
          <c:val>
            <c:numRef>
              <c:f>Forecast!$T$43:$T$90</c:f>
              <c:numCache>
                <c:formatCode>0.0000</c:formatCode>
                <c:ptCount val="48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4C-4E6F-BEAD-B9EE7D782DC3}"/>
            </c:ext>
          </c:extLst>
        </c:ser>
        <c:ser>
          <c:idx val="3"/>
          <c:order val="3"/>
          <c:spPr>
            <a:ln w="28575" cap="rnd">
              <a:solidFill>
                <a:srgbClr val="C9A4E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Forecast!$A$43:$A$85</c:f>
              <c:numCache>
                <c:formatCode>[$-409]mmm\-yy;@</c:formatCode>
                <c:ptCount val="43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</c:numCache>
            </c:numRef>
          </c:cat>
          <c:val>
            <c:numRef>
              <c:f>Forecast!$U$43:$U$90</c:f>
              <c:numCache>
                <c:formatCode>0.0000</c:formatCode>
                <c:ptCount val="48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4C-4E6F-BEAD-B9EE7D782DC3}"/>
            </c:ext>
          </c:extLst>
        </c:ser>
        <c:ser>
          <c:idx val="8"/>
          <c:order val="8"/>
          <c:tx>
            <c:strRef>
              <c:f>Forecast!$Z$3</c:f>
              <c:strCache>
                <c:ptCount val="1"/>
                <c:pt idx="0">
                  <c:v>Yield to Kbank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Forecast!$A$43:$A$85</c:f>
              <c:numCache>
                <c:formatCode>[$-409]mmm\-yy;@</c:formatCode>
                <c:ptCount val="43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</c:numCache>
            </c:numRef>
          </c:cat>
          <c:val>
            <c:numRef>
              <c:f>Forecast!$Z$43:$Z$88</c:f>
              <c:numCache>
                <c:formatCode>0.00%</c:formatCode>
                <c:ptCount val="46"/>
                <c:pt idx="0">
                  <c:v>7.1999999999999995E-2</c:v>
                </c:pt>
                <c:pt idx="1">
                  <c:v>7.1999999999999995E-2</c:v>
                </c:pt>
                <c:pt idx="2">
                  <c:v>7.1999999999999995E-2</c:v>
                </c:pt>
                <c:pt idx="3">
                  <c:v>7.1999999999999995E-2</c:v>
                </c:pt>
                <c:pt idx="4">
                  <c:v>7.1999999999999995E-2</c:v>
                </c:pt>
                <c:pt idx="5">
                  <c:v>7.1999999999999995E-2</c:v>
                </c:pt>
                <c:pt idx="6">
                  <c:v>7.1999999999999995E-2</c:v>
                </c:pt>
                <c:pt idx="7">
                  <c:v>7.1999999999999995E-2</c:v>
                </c:pt>
                <c:pt idx="8">
                  <c:v>7.1999999999999995E-2</c:v>
                </c:pt>
                <c:pt idx="9">
                  <c:v>7.1999999999999995E-2</c:v>
                </c:pt>
                <c:pt idx="10">
                  <c:v>7.1999999999999995E-2</c:v>
                </c:pt>
                <c:pt idx="11">
                  <c:v>7.1999999999999995E-2</c:v>
                </c:pt>
                <c:pt idx="12">
                  <c:v>7.1999999999999995E-2</c:v>
                </c:pt>
                <c:pt idx="13">
                  <c:v>7.1999999999999995E-2</c:v>
                </c:pt>
                <c:pt idx="14">
                  <c:v>7.1999999999999995E-2</c:v>
                </c:pt>
                <c:pt idx="15">
                  <c:v>7.1999999999999995E-2</c:v>
                </c:pt>
                <c:pt idx="16">
                  <c:v>7.1999999999999995E-2</c:v>
                </c:pt>
                <c:pt idx="17">
                  <c:v>7.1999999999999995E-2</c:v>
                </c:pt>
                <c:pt idx="18">
                  <c:v>7.1999999999999995E-2</c:v>
                </c:pt>
                <c:pt idx="19">
                  <c:v>7.1999999999999995E-2</c:v>
                </c:pt>
                <c:pt idx="20">
                  <c:v>7.1999999999999995E-2</c:v>
                </c:pt>
                <c:pt idx="21">
                  <c:v>7.1999999999999995E-2</c:v>
                </c:pt>
                <c:pt idx="22">
                  <c:v>7.1999999999999995E-2</c:v>
                </c:pt>
                <c:pt idx="23">
                  <c:v>7.1999999999999995E-2</c:v>
                </c:pt>
                <c:pt idx="24">
                  <c:v>7.1999999999999995E-2</c:v>
                </c:pt>
                <c:pt idx="25">
                  <c:v>7.1999999999999995E-2</c:v>
                </c:pt>
                <c:pt idx="26">
                  <c:v>7.1999999999999995E-2</c:v>
                </c:pt>
                <c:pt idx="27">
                  <c:v>7.1999999999999995E-2</c:v>
                </c:pt>
                <c:pt idx="28">
                  <c:v>7.1999999999999995E-2</c:v>
                </c:pt>
                <c:pt idx="29">
                  <c:v>7.1999999999999995E-2</c:v>
                </c:pt>
                <c:pt idx="30">
                  <c:v>7.1999999999999995E-2</c:v>
                </c:pt>
                <c:pt idx="31">
                  <c:v>7.1999999999999995E-2</c:v>
                </c:pt>
                <c:pt idx="32">
                  <c:v>7.1999999999999995E-2</c:v>
                </c:pt>
                <c:pt idx="33">
                  <c:v>7.1999999999999995E-2</c:v>
                </c:pt>
                <c:pt idx="34">
                  <c:v>7.1999999999999995E-2</c:v>
                </c:pt>
                <c:pt idx="35">
                  <c:v>7.1999999999999995E-2</c:v>
                </c:pt>
                <c:pt idx="36">
                  <c:v>7.1999999999999995E-2</c:v>
                </c:pt>
                <c:pt idx="37">
                  <c:v>7.1999999999999995E-2</c:v>
                </c:pt>
                <c:pt idx="38">
                  <c:v>7.1999999999999995E-2</c:v>
                </c:pt>
                <c:pt idx="39">
                  <c:v>7.1999999999999995E-2</c:v>
                </c:pt>
                <c:pt idx="40">
                  <c:v>7.1999999999999995E-2</c:v>
                </c:pt>
                <c:pt idx="41">
                  <c:v>7.1999999999999995E-2</c:v>
                </c:pt>
                <c:pt idx="42">
                  <c:v>7.1999999999999995E-2</c:v>
                </c:pt>
                <c:pt idx="43">
                  <c:v>7.1999999999999995E-2</c:v>
                </c:pt>
                <c:pt idx="44">
                  <c:v>7.1999999999999995E-2</c:v>
                </c:pt>
                <c:pt idx="45">
                  <c:v>7.1999999999999995E-2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4C-4E6F-BEAD-B9EE7D782DC3}"/>
            </c:ext>
          </c:extLst>
        </c:ser>
        <c:ser>
          <c:idx val="9"/>
          <c:order val="9"/>
          <c:tx>
            <c:strRef>
              <c:f>Forecast!$AA$3</c:f>
              <c:strCache>
                <c:ptCount val="1"/>
                <c:pt idx="0">
                  <c:v>Premium fee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Forecast!$A$43:$A$85</c:f>
              <c:numCache>
                <c:formatCode>[$-409]mmm\-yy;@</c:formatCode>
                <c:ptCount val="43"/>
                <c:pt idx="0">
                  <c:v>43160</c:v>
                </c:pt>
                <c:pt idx="1">
                  <c:v>43191</c:v>
                </c:pt>
                <c:pt idx="2">
                  <c:v>43221</c:v>
                </c:pt>
                <c:pt idx="3">
                  <c:v>43252</c:v>
                </c:pt>
                <c:pt idx="4">
                  <c:v>43282</c:v>
                </c:pt>
                <c:pt idx="5">
                  <c:v>43313</c:v>
                </c:pt>
                <c:pt idx="6">
                  <c:v>43344</c:v>
                </c:pt>
                <c:pt idx="7">
                  <c:v>43374</c:v>
                </c:pt>
                <c:pt idx="8">
                  <c:v>43405</c:v>
                </c:pt>
                <c:pt idx="9">
                  <c:v>43435</c:v>
                </c:pt>
                <c:pt idx="10">
                  <c:v>43466</c:v>
                </c:pt>
                <c:pt idx="11">
                  <c:v>43497</c:v>
                </c:pt>
                <c:pt idx="12">
                  <c:v>43525</c:v>
                </c:pt>
                <c:pt idx="13">
                  <c:v>43556</c:v>
                </c:pt>
                <c:pt idx="14">
                  <c:v>43586</c:v>
                </c:pt>
                <c:pt idx="15">
                  <c:v>43617</c:v>
                </c:pt>
                <c:pt idx="16">
                  <c:v>43647</c:v>
                </c:pt>
                <c:pt idx="17">
                  <c:v>43678</c:v>
                </c:pt>
                <c:pt idx="18">
                  <c:v>43709</c:v>
                </c:pt>
                <c:pt idx="19">
                  <c:v>43739</c:v>
                </c:pt>
                <c:pt idx="20">
                  <c:v>43770</c:v>
                </c:pt>
                <c:pt idx="21">
                  <c:v>43800</c:v>
                </c:pt>
                <c:pt idx="22">
                  <c:v>43831</c:v>
                </c:pt>
                <c:pt idx="23">
                  <c:v>43862</c:v>
                </c:pt>
                <c:pt idx="24">
                  <c:v>43891</c:v>
                </c:pt>
                <c:pt idx="25">
                  <c:v>43922</c:v>
                </c:pt>
                <c:pt idx="26">
                  <c:v>43952</c:v>
                </c:pt>
                <c:pt idx="27">
                  <c:v>43983</c:v>
                </c:pt>
                <c:pt idx="28">
                  <c:v>44013</c:v>
                </c:pt>
                <c:pt idx="29">
                  <c:v>44044</c:v>
                </c:pt>
                <c:pt idx="30">
                  <c:v>44075</c:v>
                </c:pt>
                <c:pt idx="31">
                  <c:v>44105</c:v>
                </c:pt>
                <c:pt idx="32">
                  <c:v>44136</c:v>
                </c:pt>
                <c:pt idx="33">
                  <c:v>44166</c:v>
                </c:pt>
                <c:pt idx="34">
                  <c:v>44197</c:v>
                </c:pt>
                <c:pt idx="35">
                  <c:v>44228</c:v>
                </c:pt>
                <c:pt idx="36">
                  <c:v>44256</c:v>
                </c:pt>
                <c:pt idx="37">
                  <c:v>44287</c:v>
                </c:pt>
                <c:pt idx="38">
                  <c:v>44317</c:v>
                </c:pt>
                <c:pt idx="39">
                  <c:v>44348</c:v>
                </c:pt>
                <c:pt idx="40">
                  <c:v>44378</c:v>
                </c:pt>
                <c:pt idx="41">
                  <c:v>44409</c:v>
                </c:pt>
                <c:pt idx="42">
                  <c:v>44440</c:v>
                </c:pt>
              </c:numCache>
            </c:numRef>
          </c:cat>
          <c:val>
            <c:numRef>
              <c:f>Forecast!$AA$43:$AA$85</c:f>
              <c:numCache>
                <c:formatCode>0.00%</c:formatCode>
                <c:ptCount val="43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6.0000000000000001E-3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6.0000000000000001E-3</c:v>
                </c:pt>
                <c:pt idx="40">
                  <c:v>6.0000000000000001E-3</c:v>
                </c:pt>
                <c:pt idx="41">
                  <c:v>6.0000000000000001E-3</c:v>
                </c:pt>
                <c:pt idx="42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4C-4E6F-BEAD-B9EE7D782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975016"/>
        <c:axId val="619974032"/>
      </c:lineChart>
      <c:dateAx>
        <c:axId val="619975016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19974032"/>
        <c:crosses val="autoZero"/>
        <c:auto val="1"/>
        <c:lblOffset val="100"/>
        <c:baseTimeUnit val="months"/>
      </c:dateAx>
      <c:valAx>
        <c:axId val="619974032"/>
        <c:scaling>
          <c:orientation val="minMax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19975016"/>
        <c:crosses val="autoZero"/>
        <c:crossBetween val="between"/>
      </c:valAx>
      <c:valAx>
        <c:axId val="642133208"/>
        <c:scaling>
          <c:orientation val="minMax"/>
          <c:min val="0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42131568"/>
        <c:crosses val="max"/>
        <c:crossBetween val="between"/>
      </c:valAx>
      <c:dateAx>
        <c:axId val="642131568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642133208"/>
        <c:crossesAt val="0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713900201822777E-2"/>
          <c:y val="2.3372052891939662E-2"/>
          <c:w val="0.90456553942134388"/>
          <c:h val="0.85737377572569606"/>
        </c:manualLayout>
      </c:layout>
      <c:areaChart>
        <c:grouping val="standard"/>
        <c:varyColors val="0"/>
        <c:ser>
          <c:idx val="6"/>
          <c:order val="5"/>
          <c:tx>
            <c:strRef>
              <c:f>Forecast!$F$4</c:f>
              <c:strCache>
                <c:ptCount val="1"/>
                <c:pt idx="0">
                  <c:v>Total O/S(合同保有量)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Forecast!$N$60:$N$89</c:f>
              <c:numCache>
                <c:formatCode>0.00</c:formatCode>
                <c:ptCount val="30"/>
                <c:pt idx="0">
                  <c:v>122380851.09999999</c:v>
                </c:pt>
                <c:pt idx="1">
                  <c:v>95054485.099999994</c:v>
                </c:pt>
                <c:pt idx="2">
                  <c:v>67508652.25</c:v>
                </c:pt>
                <c:pt idx="3">
                  <c:v>113763985.31999999</c:v>
                </c:pt>
                <c:pt idx="4">
                  <c:v>894644921.88999999</c:v>
                </c:pt>
                <c:pt idx="5">
                  <c:v>1159942338.72</c:v>
                </c:pt>
                <c:pt idx="6">
                  <c:v>2005232926.72</c:v>
                </c:pt>
                <c:pt idx="7">
                  <c:v>4675725612.7600002</c:v>
                </c:pt>
                <c:pt idx="8">
                  <c:v>4712790130.5299997</c:v>
                </c:pt>
                <c:pt idx="9">
                  <c:v>4561793630.4399996</c:v>
                </c:pt>
                <c:pt idx="10">
                  <c:v>4337371488.6700001</c:v>
                </c:pt>
                <c:pt idx="11">
                  <c:v>4245123758.1100001</c:v>
                </c:pt>
                <c:pt idx="12">
                  <c:v>4076209521.3600001</c:v>
                </c:pt>
                <c:pt idx="13">
                  <c:v>3436480301.7600002</c:v>
                </c:pt>
                <c:pt idx="14">
                  <c:v>2702101400.04</c:v>
                </c:pt>
                <c:pt idx="15">
                  <c:v>3514015815.5799999</c:v>
                </c:pt>
                <c:pt idx="16">
                  <c:v>4404015482.96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B-478D-9F10-26B631CA0CD8}"/>
            </c:ext>
          </c:extLst>
        </c:ser>
        <c:ser>
          <c:idx val="9"/>
          <c:order val="6"/>
          <c:tx>
            <c:strRef>
              <c:f>Forecast!$I$3</c:f>
              <c:strCache>
                <c:ptCount val="1"/>
                <c:pt idx="0">
                  <c:v>Upper CF Bound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Forecast!$O$60:$O$89</c:f>
              <c:numCache>
                <c:formatCode>0.00</c:formatCode>
                <c:ptCount val="30"/>
                <c:pt idx="16">
                  <c:v>4404015482.96</c:v>
                </c:pt>
                <c:pt idx="17">
                  <c:v>5665423746.2465153</c:v>
                </c:pt>
                <c:pt idx="18">
                  <c:v>5936805828.8580542</c:v>
                </c:pt>
                <c:pt idx="19">
                  <c:v>6208187911.469593</c:v>
                </c:pt>
                <c:pt idx="20">
                  <c:v>6479569994.0811319</c:v>
                </c:pt>
                <c:pt idx="21">
                  <c:v>6750952076.6926708</c:v>
                </c:pt>
                <c:pt idx="22">
                  <c:v>7022334159.3042088</c:v>
                </c:pt>
                <c:pt idx="23">
                  <c:v>7293716241.9157486</c:v>
                </c:pt>
                <c:pt idx="24">
                  <c:v>7565098324.5272865</c:v>
                </c:pt>
                <c:pt idx="25">
                  <c:v>7836480407.1388254</c:v>
                </c:pt>
                <c:pt idx="26">
                  <c:v>8107862489.7503643</c:v>
                </c:pt>
                <c:pt idx="27">
                  <c:v>8379244572.3619022</c:v>
                </c:pt>
                <c:pt idx="28">
                  <c:v>8650626654.9734421</c:v>
                </c:pt>
                <c:pt idx="29">
                  <c:v>8922008737.58498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1B-478D-9F10-26B631CA0CD8}"/>
            </c:ext>
          </c:extLst>
        </c:ser>
        <c:ser>
          <c:idx val="7"/>
          <c:order val="7"/>
          <c:tx>
            <c:strRef>
              <c:f>Forecast!$G$3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Forecast!$O$60:$O$89</c:f>
              <c:numCache>
                <c:formatCode>0.00</c:formatCode>
                <c:ptCount val="30"/>
                <c:pt idx="16">
                  <c:v>4404015482.96</c:v>
                </c:pt>
                <c:pt idx="17">
                  <c:v>5665423746.2465153</c:v>
                </c:pt>
                <c:pt idx="18">
                  <c:v>5936805828.8580542</c:v>
                </c:pt>
                <c:pt idx="19">
                  <c:v>6208187911.469593</c:v>
                </c:pt>
                <c:pt idx="20">
                  <c:v>6479569994.0811319</c:v>
                </c:pt>
                <c:pt idx="21">
                  <c:v>6750952076.6926708</c:v>
                </c:pt>
                <c:pt idx="22">
                  <c:v>7022334159.3042088</c:v>
                </c:pt>
                <c:pt idx="23">
                  <c:v>7293716241.9157486</c:v>
                </c:pt>
                <c:pt idx="24">
                  <c:v>7565098324.5272865</c:v>
                </c:pt>
                <c:pt idx="25">
                  <c:v>7836480407.1388254</c:v>
                </c:pt>
                <c:pt idx="26">
                  <c:v>8107862489.7503643</c:v>
                </c:pt>
                <c:pt idx="27">
                  <c:v>8379244572.3619022</c:v>
                </c:pt>
                <c:pt idx="28">
                  <c:v>8650626654.9734421</c:v>
                </c:pt>
                <c:pt idx="29">
                  <c:v>8922008737.58498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1B-478D-9F10-26B631CA0CD8}"/>
            </c:ext>
          </c:extLst>
        </c:ser>
        <c:ser>
          <c:idx val="8"/>
          <c:order val="8"/>
          <c:tx>
            <c:strRef>
              <c:f>Forecast!$H$3</c:f>
              <c:strCache>
                <c:ptCount val="1"/>
                <c:pt idx="0">
                  <c:v>Lower CF Bound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Forecast!$P$60:$P$89</c:f>
              <c:numCache>
                <c:formatCode>0.00</c:formatCode>
                <c:ptCount val="30"/>
                <c:pt idx="16">
                  <c:v>4404015482.96</c:v>
                </c:pt>
                <c:pt idx="17">
                  <c:v>3501320081.5421538</c:v>
                </c:pt>
                <c:pt idx="18">
                  <c:v>3761692160.4301939</c:v>
                </c:pt>
                <c:pt idx="19">
                  <c:v>4021902251.1440964</c:v>
                </c:pt>
                <c:pt idx="20">
                  <c:v>4281950693.0724797</c:v>
                </c:pt>
                <c:pt idx="21">
                  <c:v>4541837854.1741428</c:v>
                </c:pt>
                <c:pt idx="22">
                  <c:v>4801564129.9815216</c:v>
                </c:pt>
                <c:pt idx="23">
                  <c:v>5061129942.6054983</c:v>
                </c:pt>
                <c:pt idx="24">
                  <c:v>5320535739.7431526</c:v>
                </c:pt>
                <c:pt idx="25">
                  <c:v>5579781993.6900492</c:v>
                </c:pt>
                <c:pt idx="26">
                  <c:v>5838869200.3584919</c:v>
                </c:pt>
                <c:pt idx="27">
                  <c:v>6097797878.3031635</c:v>
                </c:pt>
                <c:pt idx="28">
                  <c:v>6356568567.7554722</c:v>
                </c:pt>
                <c:pt idx="29">
                  <c:v>6615181829.66784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1B-478D-9F10-26B631CA0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23384"/>
        <c:axId val="422716168"/>
      </c:areaChart>
      <c:lineChart>
        <c:grouping val="standard"/>
        <c:varyColors val="0"/>
        <c:ser>
          <c:idx val="0"/>
          <c:order val="0"/>
          <c:tx>
            <c:strRef>
              <c:f>Forecast!$B$4</c:f>
              <c:strCache>
                <c:ptCount val="1"/>
                <c:pt idx="0">
                  <c:v>%NPL By 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Forecast!$J$60:$J$88</c:f>
              <c:numCache>
                <c:formatCode>0.00%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3.24499829928834E-4</c:v>
                </c:pt>
                <c:pt idx="5">
                  <c:v>8.1861422615871248E-4</c:v>
                </c:pt>
                <c:pt idx="6">
                  <c:v>4.0734621854434413E-4</c:v>
                </c:pt>
                <c:pt idx="7">
                  <c:v>1.7135541440103005E-4</c:v>
                </c:pt>
                <c:pt idx="8">
                  <c:v>1.3306305450301828E-4</c:v>
                </c:pt>
                <c:pt idx="9">
                  <c:v>1.2493366012811702E-4</c:v>
                </c:pt>
                <c:pt idx="10">
                  <c:v>1.2309267292290733E-4</c:v>
                </c:pt>
                <c:pt idx="11">
                  <c:v>1.453434010778284E-4</c:v>
                </c:pt>
                <c:pt idx="12">
                  <c:v>1.7341111179293867E-4</c:v>
                </c:pt>
                <c:pt idx="13">
                  <c:v>3.0048707087630986E-4</c:v>
                </c:pt>
                <c:pt idx="14">
                  <c:v>3.0830649064008769E-4</c:v>
                </c:pt>
                <c:pt idx="15">
                  <c:v>6.7514861187624258E-4</c:v>
                </c:pt>
                <c:pt idx="16">
                  <c:v>5.0127330581413649E-4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1B-478D-9F10-26B631CA0CD8}"/>
            </c:ext>
          </c:extLst>
        </c:ser>
        <c:ser>
          <c:idx val="1"/>
          <c:order val="1"/>
          <c:tx>
            <c:strRef>
              <c:f>Forecast!$C$3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Forecast!$K$60:$K$85</c:f>
              <c:numCache>
                <c:formatCode>0.00%</c:formatCode>
                <c:ptCount val="26"/>
                <c:pt idx="16">
                  <c:v>5.0127330581413649E-4</c:v>
                </c:pt>
                <c:pt idx="17">
                  <c:v>4.5449285873411249E-4</c:v>
                </c:pt>
                <c:pt idx="18">
                  <c:v>4.7717533272456056E-4</c:v>
                </c:pt>
                <c:pt idx="19">
                  <c:v>4.9985780671500885E-4</c:v>
                </c:pt>
                <c:pt idx="20">
                  <c:v>5.2254028070545687E-4</c:v>
                </c:pt>
                <c:pt idx="21">
                  <c:v>5.4522275469590521E-4</c:v>
                </c:pt>
                <c:pt idx="22">
                  <c:v>5.6790522868635322E-4</c:v>
                </c:pt>
                <c:pt idx="23">
                  <c:v>5.9058770267680157E-4</c:v>
                </c:pt>
                <c:pt idx="24">
                  <c:v>6.1327017666724948E-4</c:v>
                </c:pt>
                <c:pt idx="25">
                  <c:v>6.3595265065769793E-4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1B-478D-9F10-26B631CA0CD8}"/>
            </c:ext>
          </c:extLst>
        </c:ser>
        <c:ser>
          <c:idx val="2"/>
          <c:order val="2"/>
          <c:tx>
            <c:strRef>
              <c:f>Forecast!$D$3</c:f>
              <c:strCache>
                <c:ptCount val="1"/>
                <c:pt idx="0">
                  <c:v>Lower CF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Forecast!$L$60:$L$85</c:f>
              <c:numCache>
                <c:formatCode>0.00%</c:formatCode>
                <c:ptCount val="26"/>
                <c:pt idx="16">
                  <c:v>5.0127330581413649E-4</c:v>
                </c:pt>
                <c:pt idx="17">
                  <c:v>7.8023874118598503E-5</c:v>
                </c:pt>
                <c:pt idx="18">
                  <c:v>1.0070465400242753E-4</c:v>
                </c:pt>
                <c:pt idx="19">
                  <c:v>1.2338411626659844E-4</c:v>
                </c:pt>
                <c:pt idx="20">
                  <c:v>1.4606188448297109E-4</c:v>
                </c:pt>
                <c:pt idx="21">
                  <c:v>1.6873758226208335E-4</c:v>
                </c:pt>
                <c:pt idx="22">
                  <c:v>1.9141083327196319E-4</c:v>
                </c:pt>
                <c:pt idx="23">
                  <c:v>2.1408126126070147E-4</c:v>
                </c:pt>
                <c:pt idx="24">
                  <c:v>2.3674849008276891E-4</c:v>
                </c:pt>
                <c:pt idx="25">
                  <c:v>2.5941214372908136E-4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1B-478D-9F10-26B631CA0CD8}"/>
            </c:ext>
          </c:extLst>
        </c:ser>
        <c:ser>
          <c:idx val="3"/>
          <c:order val="3"/>
          <c:tx>
            <c:strRef>
              <c:f>Forecast!$E$3</c:f>
              <c:strCache>
                <c:ptCount val="1"/>
                <c:pt idx="0">
                  <c:v>Upper CF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Forecast!$M$60:$M$85</c:f>
              <c:numCache>
                <c:formatCode>0.00%</c:formatCode>
                <c:ptCount val="26"/>
                <c:pt idx="16">
                  <c:v>5.0127330581413649E-4</c:v>
                </c:pt>
                <c:pt idx="17">
                  <c:v>8.3096184334962653E-4</c:v>
                </c:pt>
                <c:pt idx="18">
                  <c:v>8.5364601144669364E-4</c:v>
                </c:pt>
                <c:pt idx="19">
                  <c:v>8.7633149716341932E-4</c:v>
                </c:pt>
                <c:pt idx="20">
                  <c:v>8.9901867692794265E-4</c:v>
                </c:pt>
                <c:pt idx="21">
                  <c:v>9.2170792712972707E-4</c:v>
                </c:pt>
                <c:pt idx="22">
                  <c:v>9.4439962410074326E-4</c:v>
                </c:pt>
                <c:pt idx="23">
                  <c:v>9.6709414409290161E-4</c:v>
                </c:pt>
                <c:pt idx="24">
                  <c:v>9.8979186325172993E-4</c:v>
                </c:pt>
                <c:pt idx="25">
                  <c:v>1.0124931575863144E-3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1B-478D-9F10-26B631CA0CD8}"/>
            </c:ext>
          </c:extLst>
        </c:ser>
        <c:ser>
          <c:idx val="5"/>
          <c:order val="4"/>
          <c:tx>
            <c:strRef>
              <c:f>Forecast!$AA$1</c:f>
              <c:strCache>
                <c:ptCount val="1"/>
                <c:pt idx="0">
                  <c:v>Premium fee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Forecast!$A$60:$A$88</c:f>
              <c:numCache>
                <c:formatCode>[$-409]mmm\-yy;@</c:formatCode>
                <c:ptCount val="29"/>
                <c:pt idx="0">
                  <c:v>43678</c:v>
                </c:pt>
                <c:pt idx="1">
                  <c:v>43709</c:v>
                </c:pt>
                <c:pt idx="2">
                  <c:v>43739</c:v>
                </c:pt>
                <c:pt idx="3">
                  <c:v>43770</c:v>
                </c:pt>
                <c:pt idx="4">
                  <c:v>43800</c:v>
                </c:pt>
                <c:pt idx="5">
                  <c:v>43831</c:v>
                </c:pt>
                <c:pt idx="6">
                  <c:v>43862</c:v>
                </c:pt>
                <c:pt idx="7">
                  <c:v>43891</c:v>
                </c:pt>
                <c:pt idx="8">
                  <c:v>43922</c:v>
                </c:pt>
                <c:pt idx="9">
                  <c:v>43952</c:v>
                </c:pt>
                <c:pt idx="10">
                  <c:v>43983</c:v>
                </c:pt>
                <c:pt idx="11">
                  <c:v>44013</c:v>
                </c:pt>
                <c:pt idx="12">
                  <c:v>44044</c:v>
                </c:pt>
                <c:pt idx="13">
                  <c:v>44075</c:v>
                </c:pt>
                <c:pt idx="14">
                  <c:v>44105</c:v>
                </c:pt>
                <c:pt idx="15">
                  <c:v>44136</c:v>
                </c:pt>
                <c:pt idx="16">
                  <c:v>44166</c:v>
                </c:pt>
                <c:pt idx="17">
                  <c:v>44197</c:v>
                </c:pt>
                <c:pt idx="18">
                  <c:v>44228</c:v>
                </c:pt>
                <c:pt idx="19">
                  <c:v>44256</c:v>
                </c:pt>
                <c:pt idx="20">
                  <c:v>44287</c:v>
                </c:pt>
                <c:pt idx="21">
                  <c:v>44317</c:v>
                </c:pt>
                <c:pt idx="22">
                  <c:v>44348</c:v>
                </c:pt>
                <c:pt idx="23">
                  <c:v>44378</c:v>
                </c:pt>
                <c:pt idx="24">
                  <c:v>44409</c:v>
                </c:pt>
                <c:pt idx="25">
                  <c:v>44440</c:v>
                </c:pt>
                <c:pt idx="26">
                  <c:v>44470</c:v>
                </c:pt>
                <c:pt idx="27">
                  <c:v>44501</c:v>
                </c:pt>
                <c:pt idx="28">
                  <c:v>44531</c:v>
                </c:pt>
              </c:numCache>
            </c:numRef>
          </c:cat>
          <c:val>
            <c:numRef>
              <c:f>Forecast!$AA$17:$AA$86</c:f>
              <c:numCache>
                <c:formatCode>0.00%</c:formatCode>
                <c:ptCount val="70"/>
                <c:pt idx="0">
                  <c:v>6.0000000000000001E-3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6.0000000000000001E-3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6.0000000000000001E-3</c:v>
                </c:pt>
                <c:pt idx="40">
                  <c:v>6.0000000000000001E-3</c:v>
                </c:pt>
                <c:pt idx="41">
                  <c:v>6.0000000000000001E-3</c:v>
                </c:pt>
                <c:pt idx="42">
                  <c:v>6.0000000000000001E-3</c:v>
                </c:pt>
                <c:pt idx="43">
                  <c:v>6.0000000000000001E-3</c:v>
                </c:pt>
                <c:pt idx="44">
                  <c:v>6.0000000000000001E-3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6.0000000000000001E-3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6.0000000000000001E-3</c:v>
                </c:pt>
                <c:pt idx="54">
                  <c:v>6.0000000000000001E-3</c:v>
                </c:pt>
                <c:pt idx="55">
                  <c:v>6.0000000000000001E-3</c:v>
                </c:pt>
                <c:pt idx="56">
                  <c:v>6.0000000000000001E-3</c:v>
                </c:pt>
                <c:pt idx="57">
                  <c:v>6.0000000000000001E-3</c:v>
                </c:pt>
                <c:pt idx="58">
                  <c:v>6.0000000000000001E-3</c:v>
                </c:pt>
                <c:pt idx="59">
                  <c:v>6.0000000000000001E-3</c:v>
                </c:pt>
                <c:pt idx="60">
                  <c:v>6.0000000000000001E-3</c:v>
                </c:pt>
                <c:pt idx="61">
                  <c:v>6.0000000000000001E-3</c:v>
                </c:pt>
                <c:pt idx="62">
                  <c:v>6.0000000000000001E-3</c:v>
                </c:pt>
                <c:pt idx="63">
                  <c:v>6.0000000000000001E-3</c:v>
                </c:pt>
                <c:pt idx="64">
                  <c:v>6.0000000000000001E-3</c:v>
                </c:pt>
                <c:pt idx="65">
                  <c:v>6.0000000000000001E-3</c:v>
                </c:pt>
                <c:pt idx="66">
                  <c:v>6.0000000000000001E-3</c:v>
                </c:pt>
                <c:pt idx="67">
                  <c:v>6.0000000000000001E-3</c:v>
                </c:pt>
                <c:pt idx="68">
                  <c:v>6.0000000000000001E-3</c:v>
                </c:pt>
                <c:pt idx="69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1B-478D-9F10-26B631CA0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690584"/>
        <c:axId val="422685992"/>
      </c:lineChart>
      <c:dateAx>
        <c:axId val="42269058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2685992"/>
        <c:crosses val="autoZero"/>
        <c:auto val="1"/>
        <c:lblOffset val="100"/>
        <c:baseTimeUnit val="months"/>
        <c:majorUnit val="1"/>
        <c:majorTimeUnit val="months"/>
      </c:dateAx>
      <c:valAx>
        <c:axId val="422685992"/>
        <c:scaling>
          <c:orientation val="minMax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2690584"/>
        <c:crosses val="autoZero"/>
        <c:crossBetween val="between"/>
      </c:valAx>
      <c:valAx>
        <c:axId val="422716168"/>
        <c:scaling>
          <c:orientation val="minMax"/>
          <c:min val="0"/>
        </c:scaling>
        <c:delete val="0"/>
        <c:axPos val="r"/>
        <c:numFmt formatCode="###,,\ 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22723384"/>
        <c:crosses val="max"/>
        <c:crossBetween val="between"/>
      </c:valAx>
      <c:dateAx>
        <c:axId val="422723384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42271616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Offcn_40!$B$20</c:f>
              <c:strCache>
                <c:ptCount val="1"/>
                <c:pt idx="0">
                  <c:v>DPD1-30days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Offcn_40!$D$2:$R$2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Offcn_40!$D$89:$R$89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3.2297266107646299E-3</c:v>
                </c:pt>
                <c:pt idx="5">
                  <c:v>7.1021229726890298E-3</c:v>
                </c:pt>
                <c:pt idx="6">
                  <c:v>1.5713061958684202E-2</c:v>
                </c:pt>
                <c:pt idx="7">
                  <c:v>1.6179746451162186E-3</c:v>
                </c:pt>
                <c:pt idx="8">
                  <c:v>1.0173557862386635E-3</c:v>
                </c:pt>
                <c:pt idx="9">
                  <c:v>5.1331894478896572E-4</c:v>
                </c:pt>
                <c:pt idx="10">
                  <c:v>2.098175729821972E-4</c:v>
                </c:pt>
                <c:pt idx="11">
                  <c:v>1.4393771655681875E-4</c:v>
                </c:pt>
                <c:pt idx="12">
                  <c:v>1.6187088562548079E-4</c:v>
                </c:pt>
                <c:pt idx="13">
                  <c:v>2.1135333978070204E-4</c:v>
                </c:pt>
                <c:pt idx="14">
                  <c:v>3.289721583103521E-4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8-4B5C-A56E-B1749DD1CEFE}"/>
            </c:ext>
          </c:extLst>
        </c:ser>
        <c:ser>
          <c:idx val="1"/>
          <c:order val="1"/>
          <c:tx>
            <c:strRef>
              <c:f>Offcn_40!$B$21</c:f>
              <c:strCache>
                <c:ptCount val="1"/>
                <c:pt idx="0">
                  <c:v>DPD31-60days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Offcn_40!$D$2:$R$2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Offcn_40!$D$90:$R$90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2.9282542630952903E-3</c:v>
                </c:pt>
                <c:pt idx="7">
                  <c:v>1.3620071719915498E-3</c:v>
                </c:pt>
                <c:pt idx="8">
                  <c:v>9.1239367223017642E-4</c:v>
                </c:pt>
                <c:pt idx="9">
                  <c:v>4.6806235699273322E-4</c:v>
                </c:pt>
                <c:pt idx="10">
                  <c:v>1.9076416664952475E-4</c:v>
                </c:pt>
                <c:pt idx="11">
                  <c:v>1.4393771655681875E-4</c:v>
                </c:pt>
                <c:pt idx="12">
                  <c:v>1.2493366012811702E-4</c:v>
                </c:pt>
                <c:pt idx="13">
                  <c:v>1.5617722663818117E-4</c:v>
                </c:pt>
                <c:pt idx="14">
                  <c:v>1.9770390048031493E-4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8-4B5C-A56E-B1749DD1CEFE}"/>
            </c:ext>
          </c:extLst>
        </c:ser>
        <c:ser>
          <c:idx val="2"/>
          <c:order val="2"/>
          <c:tx>
            <c:strRef>
              <c:f>Offcn_40!$B$22</c:f>
              <c:strCache>
                <c:ptCount val="1"/>
                <c:pt idx="0">
                  <c:v>DPD61-90days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Offcn_40!$D$2:$R$2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Offcn_40!$D$91:$R$91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3.24499829928834E-4</c:v>
                </c:pt>
                <c:pt idx="8">
                  <c:v>8.1861422615871248E-4</c:v>
                </c:pt>
                <c:pt idx="9">
                  <c:v>4.0734621854434413E-4</c:v>
                </c:pt>
                <c:pt idx="10">
                  <c:v>1.7135541440103005E-4</c:v>
                </c:pt>
                <c:pt idx="11">
                  <c:v>1.3306305450301828E-4</c:v>
                </c:pt>
                <c:pt idx="12">
                  <c:v>1.2493366012811702E-4</c:v>
                </c:pt>
                <c:pt idx="13">
                  <c:v>1.2309267292290733E-4</c:v>
                </c:pt>
                <c:pt idx="14">
                  <c:v>1.453434010778284E-4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B8-4B5C-A56E-B1749DD1CEFE}"/>
            </c:ext>
          </c:extLst>
        </c:ser>
        <c:ser>
          <c:idx val="7"/>
          <c:order val="3"/>
          <c:tx>
            <c:strRef>
              <c:f>Offcn_40!$B$26</c:f>
              <c:strCache>
                <c:ptCount val="1"/>
                <c:pt idx="0">
                  <c:v>DPD180+days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Offcn_40!$D$2:$R$2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Offcn_40!$D$94:$R$94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3.0256943562212863E-5</c:v>
                </c:pt>
                <c:pt idx="12">
                  <c:v>8.4882714206133787E-5</c:v>
                </c:pt>
                <c:pt idx="13">
                  <c:v>1.008312122082274E-4</c:v>
                </c:pt>
                <c:pt idx="14">
                  <c:v>1.1483781222365197E-4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B8-4B5C-A56E-B1749DD1CEFE}"/>
            </c:ext>
          </c:extLst>
        </c:ser>
        <c:ser>
          <c:idx val="3"/>
          <c:order val="6"/>
          <c:tx>
            <c:strRef>
              <c:f>Offcn_40!$B$23</c:f>
              <c:strCache>
                <c:ptCount val="1"/>
                <c:pt idx="0">
                  <c:v>DPD91-120days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Offcn_40!$D$2:$R$2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Offcn_40!$D$92:$R$92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3.24499829928834E-4</c:v>
                </c:pt>
                <c:pt idx="8">
                  <c:v>8.1861422615871248E-4</c:v>
                </c:pt>
                <c:pt idx="9">
                  <c:v>4.0734621854434413E-4</c:v>
                </c:pt>
                <c:pt idx="10">
                  <c:v>1.7135541440103005E-4</c:v>
                </c:pt>
                <c:pt idx="11">
                  <c:v>1.3306305450301828E-4</c:v>
                </c:pt>
                <c:pt idx="12">
                  <c:v>1.2493366012811702E-4</c:v>
                </c:pt>
                <c:pt idx="13">
                  <c:v>1.2309267292290733E-4</c:v>
                </c:pt>
                <c:pt idx="14">
                  <c:v>1.453434010778284E-4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B8-4B5C-A56E-B1749DD1CEFE}"/>
            </c:ext>
          </c:extLst>
        </c:ser>
        <c:ser>
          <c:idx val="5"/>
          <c:order val="7"/>
          <c:tx>
            <c:strRef>
              <c:f>Offcn_40!$B$24</c:f>
              <c:strCache>
                <c:ptCount val="1"/>
                <c:pt idx="0">
                  <c:v>DPD121-180days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Offcn_40!$D$2:$R$2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Offcn_40!$D$93:$R$93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1.4105325183476548E-4</c:v>
                </c:pt>
                <c:pt idx="10">
                  <c:v>1.2526016248722556E-4</c:v>
                </c:pt>
                <c:pt idx="11">
                  <c:v>1.0810924333324856E-4</c:v>
                </c:pt>
                <c:pt idx="12">
                  <c:v>1.2493366012811702E-4</c:v>
                </c:pt>
                <c:pt idx="13">
                  <c:v>1.2309267292290733E-4</c:v>
                </c:pt>
                <c:pt idx="14">
                  <c:v>1.1483781222365197E-4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B8-4B5C-A56E-B1749DD1C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4032704"/>
        <c:axId val="-1294029984"/>
      </c:areaChart>
      <c:lineChart>
        <c:grouping val="standard"/>
        <c:varyColors val="0"/>
        <c:ser>
          <c:idx val="9"/>
          <c:order val="4"/>
          <c:tx>
            <c:strRef>
              <c:f>Offcn_40!$B$18</c:f>
              <c:strCache>
                <c:ptCount val="1"/>
                <c:pt idx="0">
                  <c:v>Outstanding for Pass exam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Offcn_40!$D$2:$R$2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Offcn_40!$D$18:$R$18</c:f>
              <c:numCache>
                <c:formatCode>_(* #,##0.00_);_(* \(#,##0.00\);_(* "-"??_);_(@_)</c:formatCode>
                <c:ptCount val="15"/>
                <c:pt idx="0">
                  <c:v>3949720</c:v>
                </c:pt>
                <c:pt idx="1">
                  <c:v>48686614.840000004</c:v>
                </c:pt>
                <c:pt idx="2">
                  <c:v>48270179.640000001</c:v>
                </c:pt>
                <c:pt idx="3">
                  <c:v>48952340.439999998</c:v>
                </c:pt>
                <c:pt idx="4">
                  <c:v>38021794.039999999</c:v>
                </c:pt>
                <c:pt idx="5">
                  <c:v>27003460.900000002</c:v>
                </c:pt>
                <c:pt idx="6">
                  <c:v>45505594.127999999</c:v>
                </c:pt>
                <c:pt idx="7">
                  <c:v>357857968.75600004</c:v>
                </c:pt>
                <c:pt idx="8">
                  <c:v>463976935.48800004</c:v>
                </c:pt>
                <c:pt idx="9">
                  <c:v>802093170.68800008</c:v>
                </c:pt>
                <c:pt idx="10">
                  <c:v>1870290245.1040001</c:v>
                </c:pt>
                <c:pt idx="11">
                  <c:v>1885116052.2119999</c:v>
                </c:pt>
                <c:pt idx="12">
                  <c:v>1824717452.1759999</c:v>
                </c:pt>
                <c:pt idx="13">
                  <c:v>1734948595.4680002</c:v>
                </c:pt>
                <c:pt idx="14">
                  <c:v>1698049503.2440002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B8-4B5C-A56E-B1749DD1CEFE}"/>
            </c:ext>
          </c:extLst>
        </c:ser>
        <c:ser>
          <c:idx val="4"/>
          <c:order val="5"/>
          <c:tx>
            <c:strRef>
              <c:f>Offcn_40!$B$19</c:f>
              <c:strCache>
                <c:ptCount val="1"/>
                <c:pt idx="0">
                  <c:v>Current Loan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Offcn_40!$D$2:$R$2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Offcn_40!$D$19:$R$19</c:f>
              <c:numCache>
                <c:formatCode>#,##0_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4319000</c:v>
                </c:pt>
                <c:pt idx="4">
                  <c:v>26176100</c:v>
                </c:pt>
                <c:pt idx="5">
                  <c:v>95809268.799999997</c:v>
                </c:pt>
                <c:pt idx="6">
                  <c:v>91816930</c:v>
                </c:pt>
                <c:pt idx="7">
                  <c:v>25978831</c:v>
                </c:pt>
                <c:pt idx="8">
                  <c:v>24380520</c:v>
                </c:pt>
                <c:pt idx="9">
                  <c:v>5051536</c:v>
                </c:pt>
                <c:pt idx="10">
                  <c:v>90959857</c:v>
                </c:pt>
                <c:pt idx="11">
                  <c:v>40810136.670000002</c:v>
                </c:pt>
                <c:pt idx="12">
                  <c:v>63211199.329999998</c:v>
                </c:pt>
                <c:pt idx="13">
                  <c:v>224401291</c:v>
                </c:pt>
                <c:pt idx="14">
                  <c:v>859869421.00999999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B8-4B5C-A56E-B1749DD1C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4027808"/>
        <c:axId val="-1294040864"/>
      </c:lineChart>
      <c:dateAx>
        <c:axId val="-1294032704"/>
        <c:scaling>
          <c:orientation val="minMax"/>
        </c:scaling>
        <c:delete val="0"/>
        <c:axPos val="b"/>
        <c:numFmt formatCode="[$-409]m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29984"/>
        <c:crosses val="autoZero"/>
        <c:auto val="1"/>
        <c:lblOffset val="100"/>
        <c:baseTimeUnit val="months"/>
      </c:dateAx>
      <c:valAx>
        <c:axId val="-1294029984"/>
        <c:scaling>
          <c:orientation val="minMax"/>
          <c:max val="0.2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32704"/>
        <c:crosses val="autoZero"/>
        <c:crossBetween val="between"/>
        <c:majorUnit val="5.000000000000001E-2"/>
      </c:valAx>
      <c:valAx>
        <c:axId val="-1294040864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27808"/>
        <c:crosses val="max"/>
        <c:crossBetween val="between"/>
      </c:valAx>
      <c:dateAx>
        <c:axId val="-1294027808"/>
        <c:scaling>
          <c:orientation val="minMax"/>
        </c:scaling>
        <c:delete val="1"/>
        <c:axPos val="b"/>
        <c:numFmt formatCode="[$-409]mmm/yyyy;@" sourceLinked="1"/>
        <c:majorTickMark val="out"/>
        <c:minorTickMark val="none"/>
        <c:tickLblPos val="nextTo"/>
        <c:crossAx val="-129404086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Offcn!$B$20</c:f>
              <c:strCache>
                <c:ptCount val="1"/>
                <c:pt idx="0">
                  <c:v>DPD1-30days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Offcn!$D$2:$R$2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Offcn!$D$89:$R$89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4.6693968188783559E-3</c:v>
                </c:pt>
                <c:pt idx="5">
                  <c:v>1.9977062605211673E-3</c:v>
                </c:pt>
                <c:pt idx="6">
                  <c:v>7.7274079447269281E-3</c:v>
                </c:pt>
                <c:pt idx="7">
                  <c:v>2.1801667778346093E-2</c:v>
                </c:pt>
                <c:pt idx="8">
                  <c:v>1.8993207023722661E-2</c:v>
                </c:pt>
                <c:pt idx="9">
                  <c:v>7.5363280616035658E-2</c:v>
                </c:pt>
                <c:pt idx="10">
                  <c:v>4.2956757501617848E-3</c:v>
                </c:pt>
                <c:pt idx="11">
                  <c:v>6.6049063134476279E-3</c:v>
                </c:pt>
                <c:pt idx="12">
                  <c:v>4.6509934245862533E-3</c:v>
                </c:pt>
                <c:pt idx="13">
                  <c:v>1.6314031160895501E-3</c:v>
                </c:pt>
                <c:pt idx="14">
                  <c:v>6.4922455941906771E-4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F-4F77-8437-C1AF30CBFADD}"/>
            </c:ext>
          </c:extLst>
        </c:ser>
        <c:ser>
          <c:idx val="1"/>
          <c:order val="1"/>
          <c:tx>
            <c:strRef>
              <c:f>Offcn!$B$21</c:f>
              <c:strCache>
                <c:ptCount val="1"/>
                <c:pt idx="0">
                  <c:v>DPD31-60days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Offcn!$D$2:$R$2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Offcn!$D$90:$R$90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1.4400640254789575E-3</c:v>
                </c:pt>
                <c:pt idx="7">
                  <c:v>1.8352591596607834E-2</c:v>
                </c:pt>
                <c:pt idx="8">
                  <c:v>1.703364952380286E-2</c:v>
                </c:pt>
                <c:pt idx="9">
                  <c:v>6.871890296265698E-2</c:v>
                </c:pt>
                <c:pt idx="10">
                  <c:v>3.9055880450285995E-3</c:v>
                </c:pt>
                <c:pt idx="11">
                  <c:v>6.6049063134476279E-3</c:v>
                </c:pt>
                <c:pt idx="12">
                  <c:v>3.5896858753820152E-3</c:v>
                </c:pt>
                <c:pt idx="13">
                  <c:v>1.2055073956442701E-3</c:v>
                </c:pt>
                <c:pt idx="14">
                  <c:v>3.9016744864978629E-4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2F-4F77-8437-C1AF30CBFADD}"/>
            </c:ext>
          </c:extLst>
        </c:ser>
        <c:ser>
          <c:idx val="2"/>
          <c:order val="2"/>
          <c:tx>
            <c:strRef>
              <c:f>Offcn!$B$22</c:f>
              <c:strCache>
                <c:ptCount val="1"/>
                <c:pt idx="0">
                  <c:v>DPD61-90days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Offcn!$D$2:$R$2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Offcn!$D$91:$R$91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4.3725267930450652E-3</c:v>
                </c:pt>
                <c:pt idx="8">
                  <c:v>1.5282863360399156E-2</c:v>
                </c:pt>
                <c:pt idx="9">
                  <c:v>5.980482054614069E-2</c:v>
                </c:pt>
                <c:pt idx="10">
                  <c:v>3.5082252064934736E-3</c:v>
                </c:pt>
                <c:pt idx="11">
                  <c:v>6.1058979522346513E-3</c:v>
                </c:pt>
                <c:pt idx="12">
                  <c:v>3.5896858753820152E-3</c:v>
                </c:pt>
                <c:pt idx="13">
                  <c:v>9.5013294032914269E-4</c:v>
                </c:pt>
                <c:pt idx="14">
                  <c:v>2.8683432061202686E-4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2F-4F77-8437-C1AF30CBFADD}"/>
            </c:ext>
          </c:extLst>
        </c:ser>
        <c:ser>
          <c:idx val="7"/>
          <c:order val="3"/>
          <c:tx>
            <c:strRef>
              <c:f>Offcn!$B$26</c:f>
              <c:strCache>
                <c:ptCount val="1"/>
                <c:pt idx="0">
                  <c:v>DPD180+days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Offcn!$D$2:$R$2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Offcn!$D$94:$R$94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1.3884080027127613E-3</c:v>
                </c:pt>
                <c:pt idx="12">
                  <c:v>2.4389126192043086E-3</c:v>
                </c:pt>
                <c:pt idx="13">
                  <c:v>7.7830023394126881E-4</c:v>
                </c:pt>
                <c:pt idx="14">
                  <c:v>2.2663172600525801E-4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2F-4F77-8437-C1AF30CBFADD}"/>
            </c:ext>
          </c:extLst>
        </c:ser>
        <c:ser>
          <c:idx val="3"/>
          <c:order val="6"/>
          <c:tx>
            <c:strRef>
              <c:f>Offcn!$B$23</c:f>
              <c:strCache>
                <c:ptCount val="1"/>
                <c:pt idx="0">
                  <c:v>DPD91-120days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Offcn!$D$2:$R$2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Offcn!$D$92:$R$92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4.3725267930450652E-3</c:v>
                </c:pt>
                <c:pt idx="8">
                  <c:v>1.5282863360399156E-2</c:v>
                </c:pt>
                <c:pt idx="9">
                  <c:v>5.980482054614069E-2</c:v>
                </c:pt>
                <c:pt idx="10">
                  <c:v>3.5082252064934736E-3</c:v>
                </c:pt>
                <c:pt idx="11">
                  <c:v>6.1058979522346513E-3</c:v>
                </c:pt>
                <c:pt idx="12">
                  <c:v>3.5896858753820152E-3</c:v>
                </c:pt>
                <c:pt idx="13">
                  <c:v>9.5013294032914269E-4</c:v>
                </c:pt>
                <c:pt idx="14">
                  <c:v>2.8683432061202686E-4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2F-4F77-8437-C1AF30CBFADD}"/>
            </c:ext>
          </c:extLst>
        </c:ser>
        <c:ser>
          <c:idx val="5"/>
          <c:order val="7"/>
          <c:tx>
            <c:strRef>
              <c:f>Offcn!$B$24</c:f>
              <c:strCache>
                <c:ptCount val="1"/>
                <c:pt idx="0">
                  <c:v>DPD121-180days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Offcn!$D$2:$R$2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Offcn!$D$93:$R$93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2.0708832019044322E-2</c:v>
                </c:pt>
                <c:pt idx="10">
                  <c:v>2.5644994116072206E-3</c:v>
                </c:pt>
                <c:pt idx="11">
                  <c:v>4.960836123532297E-3</c:v>
                </c:pt>
                <c:pt idx="12">
                  <c:v>3.5896858753820152E-3</c:v>
                </c:pt>
                <c:pt idx="13">
                  <c:v>9.5013294032914269E-4</c:v>
                </c:pt>
                <c:pt idx="14">
                  <c:v>2.2663172600525801E-4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2F-4F77-8437-C1AF30CBF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4032704"/>
        <c:axId val="-1294029984"/>
      </c:areaChart>
      <c:lineChart>
        <c:grouping val="standard"/>
        <c:varyColors val="0"/>
        <c:ser>
          <c:idx val="9"/>
          <c:order val="4"/>
          <c:tx>
            <c:strRef>
              <c:f>Offcn!$B$17</c:f>
              <c:strCache>
                <c:ptCount val="1"/>
                <c:pt idx="0">
                  <c:v>Total O/S(合同保有量)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Offcn!$D$2:$R$2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Offcn!$D$17:$R$17</c:f>
              <c:numCache>
                <c:formatCode>_(* #,##0.00_);_(* \(#,##0.00\);_(* "-"??_);_(@_)</c:formatCode>
                <c:ptCount val="15"/>
                <c:pt idx="0">
                  <c:v>9874300</c:v>
                </c:pt>
                <c:pt idx="1">
                  <c:v>121716537.09999999</c:v>
                </c:pt>
                <c:pt idx="2">
                  <c:v>120675449.09999999</c:v>
                </c:pt>
                <c:pt idx="3">
                  <c:v>122380851.09999999</c:v>
                </c:pt>
                <c:pt idx="4">
                  <c:v>95054485.099999994</c:v>
                </c:pt>
                <c:pt idx="5">
                  <c:v>67508652.25</c:v>
                </c:pt>
                <c:pt idx="6">
                  <c:v>113763985.31999999</c:v>
                </c:pt>
                <c:pt idx="7">
                  <c:v>894644921.88999999</c:v>
                </c:pt>
                <c:pt idx="8">
                  <c:v>1159942338.72</c:v>
                </c:pt>
                <c:pt idx="9">
                  <c:v>2005232926.72</c:v>
                </c:pt>
                <c:pt idx="10">
                  <c:v>4675725612.7600002</c:v>
                </c:pt>
                <c:pt idx="11">
                  <c:v>4712790130.5299997</c:v>
                </c:pt>
                <c:pt idx="12">
                  <c:v>4561793630.4399996</c:v>
                </c:pt>
                <c:pt idx="13">
                  <c:v>4337371488.6700001</c:v>
                </c:pt>
                <c:pt idx="14">
                  <c:v>4245123758.1100001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2F-4F77-8437-C1AF30CBFADD}"/>
            </c:ext>
          </c:extLst>
        </c:ser>
        <c:ser>
          <c:idx val="4"/>
          <c:order val="5"/>
          <c:tx>
            <c:strRef>
              <c:f>Offcn!$B$19</c:f>
              <c:strCache>
                <c:ptCount val="1"/>
                <c:pt idx="0">
                  <c:v>Current Loan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Offcn!$D$2:$R$2</c:f>
              <c:numCache>
                <c:formatCode>[$-409]mmm/yyyy;@</c:formatCode>
                <c:ptCount val="15"/>
                <c:pt idx="0">
                  <c:v>43586</c:v>
                </c:pt>
                <c:pt idx="1">
                  <c:v>43617</c:v>
                </c:pt>
                <c:pt idx="2">
                  <c:v>43647</c:v>
                </c:pt>
                <c:pt idx="3">
                  <c:v>43678</c:v>
                </c:pt>
                <c:pt idx="4">
                  <c:v>43709</c:v>
                </c:pt>
                <c:pt idx="5">
                  <c:v>43739</c:v>
                </c:pt>
                <c:pt idx="6">
                  <c:v>43770</c:v>
                </c:pt>
                <c:pt idx="7">
                  <c:v>43800</c:v>
                </c:pt>
                <c:pt idx="8">
                  <c:v>43831</c:v>
                </c:pt>
                <c:pt idx="9">
                  <c:v>43862</c:v>
                </c:pt>
                <c:pt idx="10">
                  <c:v>43891</c:v>
                </c:pt>
                <c:pt idx="11">
                  <c:v>43922</c:v>
                </c:pt>
                <c:pt idx="12">
                  <c:v>43952</c:v>
                </c:pt>
                <c:pt idx="13">
                  <c:v>43983</c:v>
                </c:pt>
                <c:pt idx="14">
                  <c:v>44013</c:v>
                </c:pt>
              </c:numCache>
            </c:numRef>
          </c:cat>
          <c:val>
            <c:numRef>
              <c:f>Offcn!$D$19:$R$19</c:f>
              <c:numCache>
                <c:formatCode>#,##0_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4319000</c:v>
                </c:pt>
                <c:pt idx="4">
                  <c:v>26176100</c:v>
                </c:pt>
                <c:pt idx="5">
                  <c:v>95809268.799999997</c:v>
                </c:pt>
                <c:pt idx="6">
                  <c:v>91816930</c:v>
                </c:pt>
                <c:pt idx="7">
                  <c:v>25978831</c:v>
                </c:pt>
                <c:pt idx="8">
                  <c:v>24380520</c:v>
                </c:pt>
                <c:pt idx="9">
                  <c:v>5051536</c:v>
                </c:pt>
                <c:pt idx="10">
                  <c:v>90959857</c:v>
                </c:pt>
                <c:pt idx="11">
                  <c:v>40810136.670000002</c:v>
                </c:pt>
                <c:pt idx="12">
                  <c:v>63211199.329999998</c:v>
                </c:pt>
                <c:pt idx="13">
                  <c:v>224401291</c:v>
                </c:pt>
                <c:pt idx="14">
                  <c:v>859869421.00999999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2F-4F77-8437-C1AF30CBF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4027808"/>
        <c:axId val="-1294040864"/>
      </c:lineChart>
      <c:dateAx>
        <c:axId val="-1294032704"/>
        <c:scaling>
          <c:orientation val="minMax"/>
        </c:scaling>
        <c:delete val="0"/>
        <c:axPos val="b"/>
        <c:numFmt formatCode="[$-409]m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29984"/>
        <c:crosses val="autoZero"/>
        <c:auto val="1"/>
        <c:lblOffset val="100"/>
        <c:baseTimeUnit val="months"/>
      </c:dateAx>
      <c:valAx>
        <c:axId val="-1294029984"/>
        <c:scaling>
          <c:orientation val="minMax"/>
          <c:max val="0.2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32704"/>
        <c:crosses val="autoZero"/>
        <c:crossBetween val="between"/>
        <c:majorUnit val="5.000000000000001E-2"/>
      </c:valAx>
      <c:valAx>
        <c:axId val="-1294040864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1294027808"/>
        <c:crosses val="max"/>
        <c:crossBetween val="between"/>
      </c:valAx>
      <c:dateAx>
        <c:axId val="-1294027808"/>
        <c:scaling>
          <c:orientation val="minMax"/>
        </c:scaling>
        <c:delete val="1"/>
        <c:axPos val="b"/>
        <c:numFmt formatCode="[$-409]mmm/yyyy;@" sourceLinked="1"/>
        <c:majorTickMark val="out"/>
        <c:minorTickMark val="none"/>
        <c:tickLblPos val="nextTo"/>
        <c:crossAx val="-129404086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98</xdr:row>
      <xdr:rowOff>114233</xdr:rowOff>
    </xdr:from>
    <xdr:to>
      <xdr:col>8</xdr:col>
      <xdr:colOff>804338</xdr:colOff>
      <xdr:row>123</xdr:row>
      <xdr:rowOff>9124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23268</xdr:colOff>
      <xdr:row>7</xdr:row>
      <xdr:rowOff>24423</xdr:rowOff>
    </xdr:from>
    <xdr:to>
      <xdr:col>1</xdr:col>
      <xdr:colOff>1660770</xdr:colOff>
      <xdr:row>8</xdr:row>
      <xdr:rowOff>374488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4218" y="1453173"/>
          <a:ext cx="1637502" cy="775515"/>
        </a:xfrm>
        <a:prstGeom prst="rect">
          <a:avLst/>
        </a:prstGeom>
      </xdr:spPr>
    </xdr:pic>
    <xdr:clientData/>
  </xdr:twoCellAnchor>
  <xdr:oneCellAnchor>
    <xdr:from>
      <xdr:col>2</xdr:col>
      <xdr:colOff>177948</xdr:colOff>
      <xdr:row>7</xdr:row>
      <xdr:rowOff>16283</xdr:rowOff>
    </xdr:from>
    <xdr:ext cx="1637502" cy="773398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0320" y="1156027"/>
          <a:ext cx="1637502" cy="77339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1924483</xdr:colOff>
      <xdr:row>106</xdr:row>
      <xdr:rowOff>124402</xdr:rowOff>
    </xdr:from>
    <xdr:to>
      <xdr:col>20</xdr:col>
      <xdr:colOff>1373187</xdr:colOff>
      <xdr:row>128</xdr:row>
      <xdr:rowOff>26843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1191819</xdr:colOff>
      <xdr:row>60</xdr:row>
      <xdr:rowOff>5565</xdr:rowOff>
    </xdr:from>
    <xdr:to>
      <xdr:col>5</xdr:col>
      <xdr:colOff>140921</xdr:colOff>
      <xdr:row>75</xdr:row>
      <xdr:rowOff>218835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1736912</xdr:colOff>
      <xdr:row>51</xdr:row>
      <xdr:rowOff>36108</xdr:rowOff>
    </xdr:from>
    <xdr:to>
      <xdr:col>25</xdr:col>
      <xdr:colOff>0</xdr:colOff>
      <xdr:row>81</xdr:row>
      <xdr:rowOff>194235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73764</xdr:colOff>
      <xdr:row>49</xdr:row>
      <xdr:rowOff>205254</xdr:rowOff>
    </xdr:from>
    <xdr:to>
      <xdr:col>10</xdr:col>
      <xdr:colOff>239949</xdr:colOff>
      <xdr:row>65</xdr:row>
      <xdr:rowOff>187615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98</xdr:row>
      <xdr:rowOff>114233</xdr:rowOff>
    </xdr:from>
    <xdr:to>
      <xdr:col>8</xdr:col>
      <xdr:colOff>804338</xdr:colOff>
      <xdr:row>123</xdr:row>
      <xdr:rowOff>9124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96</xdr:row>
      <xdr:rowOff>50733</xdr:rowOff>
    </xdr:from>
    <xdr:to>
      <xdr:col>10</xdr:col>
      <xdr:colOff>855138</xdr:colOff>
      <xdr:row>120</xdr:row>
      <xdr:rowOff>123424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:/Users/yumeiling/Library/Containers/com.microsoft.Excel/Data/Documents/C:/Users/maymei/Desktop/&#31616;&#21333;&#30340;&#20010;&#20154;&#29616;&#37329;&#27969;&#37327;&#34920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简单的个人现金流量表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R107"/>
  <sheetViews>
    <sheetView showGridLines="0" zoomScale="50" zoomScaleNormal="50" workbookViewId="0">
      <pane xSplit="3" ySplit="2" topLeftCell="J50" activePane="bottomRight" state="frozen"/>
      <selection activeCell="B93" sqref="B93:C93"/>
      <selection pane="topRight" activeCell="B93" sqref="B93:C93"/>
      <selection pane="bottomLeft" activeCell="B93" sqref="B93:C93"/>
      <selection pane="bottomRight" activeCell="B93" sqref="B93:C93"/>
    </sheetView>
  </sheetViews>
  <sheetFormatPr defaultColWidth="9" defaultRowHeight="14" x14ac:dyDescent="0.3"/>
  <cols>
    <col min="1" max="1" width="2.83203125" style="329" customWidth="1"/>
    <col min="2" max="2" width="44.33203125" style="329" customWidth="1"/>
    <col min="3" max="3" width="5.83203125" style="329" bestFit="1" customWidth="1"/>
    <col min="4" max="18" width="16.5" style="329" bestFit="1" customWidth="1"/>
    <col min="19" max="20" width="15.58203125" style="329" bestFit="1" customWidth="1"/>
    <col min="21" max="21" width="15.25" style="329" bestFit="1" customWidth="1"/>
    <col min="22" max="23" width="15.58203125" style="329" bestFit="1" customWidth="1"/>
    <col min="24" max="25" width="15.58203125" customWidth="1"/>
    <col min="26" max="26" width="8.08203125" style="331" bestFit="1" customWidth="1"/>
    <col min="27" max="27" width="7.75" style="331" bestFit="1" customWidth="1"/>
    <col min="28" max="16384" width="9" style="329"/>
  </cols>
  <sheetData>
    <row r="1" spans="1:35" ht="14.5" thickBot="1" x14ac:dyDescent="0.35"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</row>
    <row r="2" spans="1:35" s="337" customFormat="1" ht="15" thickTop="1" thickBot="1" x14ac:dyDescent="0.35">
      <c r="A2" s="332"/>
      <c r="B2" s="333" t="s">
        <v>149</v>
      </c>
      <c r="C2" s="334" t="s">
        <v>150</v>
      </c>
      <c r="D2" s="335">
        <v>43586</v>
      </c>
      <c r="E2" s="335">
        <v>43617</v>
      </c>
      <c r="F2" s="335">
        <v>43647</v>
      </c>
      <c r="G2" s="335">
        <v>43678</v>
      </c>
      <c r="H2" s="335">
        <v>43709</v>
      </c>
      <c r="I2" s="335">
        <v>43739</v>
      </c>
      <c r="J2" s="335">
        <v>43770</v>
      </c>
      <c r="K2" s="335">
        <v>43800</v>
      </c>
      <c r="L2" s="335">
        <v>43831</v>
      </c>
      <c r="M2" s="335">
        <v>43862</v>
      </c>
      <c r="N2" s="335">
        <v>43891</v>
      </c>
      <c r="O2" s="335">
        <v>43922</v>
      </c>
      <c r="P2" s="335">
        <v>43952</v>
      </c>
      <c r="Q2" s="335">
        <v>43983</v>
      </c>
      <c r="R2" s="335">
        <v>44013</v>
      </c>
      <c r="S2" s="335">
        <v>44044</v>
      </c>
      <c r="T2" s="335">
        <v>44075</v>
      </c>
      <c r="U2" s="335">
        <v>44105</v>
      </c>
      <c r="V2" s="335">
        <v>44136</v>
      </c>
      <c r="W2" s="335">
        <v>44166</v>
      </c>
      <c r="X2"/>
      <c r="Y2"/>
      <c r="Z2" s="336"/>
      <c r="AA2" s="336"/>
      <c r="AB2" s="85"/>
      <c r="AC2" s="85"/>
      <c r="AD2" s="85"/>
      <c r="AE2" s="85"/>
      <c r="AF2" s="85"/>
      <c r="AG2" s="85"/>
      <c r="AH2" s="85"/>
      <c r="AI2" s="85"/>
    </row>
    <row r="3" spans="1:35" s="342" customFormat="1" ht="15" thickTop="1" thickBot="1" x14ac:dyDescent="0.35">
      <c r="A3" s="338"/>
      <c r="B3" s="339" t="s">
        <v>151</v>
      </c>
      <c r="C3" s="340" t="s">
        <v>152</v>
      </c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/>
      <c r="Y3"/>
      <c r="Z3" s="43"/>
      <c r="AA3" s="43"/>
    </row>
    <row r="4" spans="1:35" s="342" customFormat="1" ht="15" thickTop="1" thickBot="1" x14ac:dyDescent="0.35">
      <c r="A4" s="338"/>
      <c r="B4" s="339" t="s">
        <v>153</v>
      </c>
      <c r="C4" s="343" t="s">
        <v>154</v>
      </c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4"/>
      <c r="Q4" s="344"/>
      <c r="R4" s="344"/>
      <c r="S4" s="344"/>
      <c r="T4" s="344"/>
      <c r="U4" s="344"/>
      <c r="V4" s="344"/>
      <c r="W4" s="344"/>
      <c r="X4"/>
      <c r="Y4"/>
      <c r="Z4" s="43"/>
      <c r="AA4" s="43"/>
    </row>
    <row r="5" spans="1:35" ht="15" thickTop="1" thickBot="1" x14ac:dyDescent="0.35">
      <c r="A5" s="331"/>
      <c r="B5" s="339" t="s">
        <v>155</v>
      </c>
      <c r="C5" s="345" t="s">
        <v>156</v>
      </c>
      <c r="D5" s="346"/>
      <c r="E5" s="346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  <c r="T5" s="344"/>
      <c r="U5" s="344"/>
      <c r="V5" s="344"/>
      <c r="W5" s="344"/>
      <c r="Z5" s="43"/>
      <c r="AA5" s="43"/>
    </row>
    <row r="6" spans="1:35" s="342" customFormat="1" ht="14.5" thickTop="1" x14ac:dyDescent="0.3">
      <c r="A6" s="338"/>
      <c r="B6" s="347" t="s">
        <v>157</v>
      </c>
      <c r="C6" s="348" t="s">
        <v>152</v>
      </c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/>
      <c r="Y6"/>
      <c r="Z6" s="43"/>
      <c r="AA6" s="43"/>
    </row>
    <row r="7" spans="1:35" s="342" customFormat="1" x14ac:dyDescent="0.3">
      <c r="A7" s="338"/>
      <c r="B7" s="349" t="s">
        <v>158</v>
      </c>
      <c r="C7" s="350" t="s">
        <v>154</v>
      </c>
      <c r="D7" s="350"/>
      <c r="E7" s="350"/>
      <c r="F7" s="350"/>
      <c r="G7" s="350"/>
      <c r="H7" s="350"/>
      <c r="I7" s="350"/>
      <c r="J7" s="351"/>
      <c r="K7" s="350"/>
      <c r="L7" s="350"/>
      <c r="M7" s="350"/>
      <c r="N7" s="350"/>
      <c r="O7" s="350"/>
      <c r="P7" s="350"/>
      <c r="Q7" s="350"/>
      <c r="R7" s="350"/>
      <c r="S7" s="350"/>
      <c r="T7" s="350"/>
      <c r="U7" s="350"/>
      <c r="V7" s="350"/>
      <c r="W7" s="350"/>
      <c r="X7"/>
      <c r="Y7"/>
      <c r="Z7" s="43"/>
      <c r="AA7" s="43"/>
    </row>
    <row r="8" spans="1:35" s="342" customFormat="1" x14ac:dyDescent="0.3">
      <c r="A8" s="338"/>
      <c r="B8" s="349" t="s">
        <v>159</v>
      </c>
      <c r="C8" s="350" t="s">
        <v>154</v>
      </c>
      <c r="D8" s="350"/>
      <c r="E8" s="350"/>
      <c r="F8" s="350"/>
      <c r="G8" s="350"/>
      <c r="H8" s="350"/>
      <c r="I8" s="350"/>
      <c r="J8" s="351"/>
      <c r="K8" s="350"/>
      <c r="L8" s="350"/>
      <c r="M8" s="350"/>
      <c r="N8" s="350"/>
      <c r="O8" s="350"/>
      <c r="P8" s="350"/>
      <c r="Q8" s="350"/>
      <c r="R8" s="350"/>
      <c r="S8" s="350"/>
      <c r="T8" s="350"/>
      <c r="U8" s="350"/>
      <c r="V8" s="350"/>
      <c r="W8" s="350"/>
      <c r="X8"/>
      <c r="Y8"/>
      <c r="Z8" s="43"/>
      <c r="AA8" s="43"/>
    </row>
    <row r="9" spans="1:35" s="342" customFormat="1" x14ac:dyDescent="0.3">
      <c r="A9" s="338"/>
      <c r="B9" s="349" t="s">
        <v>160</v>
      </c>
      <c r="C9" s="350" t="s">
        <v>154</v>
      </c>
      <c r="D9" s="350"/>
      <c r="E9" s="350"/>
      <c r="F9" s="350"/>
      <c r="G9" s="350"/>
      <c r="H9" s="350"/>
      <c r="I9" s="350"/>
      <c r="J9" s="351"/>
      <c r="K9" s="350"/>
      <c r="L9" s="350"/>
      <c r="M9" s="350"/>
      <c r="N9" s="350"/>
      <c r="O9" s="350"/>
      <c r="P9" s="350"/>
      <c r="Q9" s="350"/>
      <c r="R9" s="350"/>
      <c r="S9" s="350"/>
      <c r="T9" s="350"/>
      <c r="U9" s="350"/>
      <c r="V9" s="350"/>
      <c r="W9" s="350"/>
      <c r="X9"/>
      <c r="Y9"/>
      <c r="Z9" s="43"/>
      <c r="AA9" s="43"/>
    </row>
    <row r="10" spans="1:35" s="342" customFormat="1" x14ac:dyDescent="0.3">
      <c r="A10" s="338"/>
      <c r="B10" s="349" t="s">
        <v>161</v>
      </c>
      <c r="C10" s="350" t="s">
        <v>154</v>
      </c>
      <c r="D10" s="350"/>
      <c r="E10" s="350"/>
      <c r="F10" s="350"/>
      <c r="G10" s="350"/>
      <c r="H10" s="350"/>
      <c r="I10" s="350"/>
      <c r="J10" s="351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/>
      <c r="Y10"/>
      <c r="Z10" s="43"/>
      <c r="AA10" s="43"/>
    </row>
    <row r="11" spans="1:35" s="342" customFormat="1" x14ac:dyDescent="0.3">
      <c r="A11" s="338"/>
      <c r="B11" s="349" t="s">
        <v>162</v>
      </c>
      <c r="C11" s="352"/>
      <c r="D11" s="352"/>
      <c r="E11" s="352"/>
      <c r="F11" s="352"/>
      <c r="G11" s="352"/>
      <c r="H11" s="352"/>
      <c r="I11" s="352"/>
      <c r="J11" s="353"/>
      <c r="K11" s="352"/>
      <c r="L11" s="352"/>
      <c r="M11" s="352"/>
      <c r="N11" s="352"/>
      <c r="O11" s="352"/>
      <c r="P11" s="352"/>
      <c r="Q11" s="352"/>
      <c r="R11" s="352"/>
      <c r="S11" s="352"/>
      <c r="T11" s="352"/>
      <c r="U11" s="352"/>
      <c r="V11" s="352"/>
      <c r="W11" s="352"/>
      <c r="X11"/>
      <c r="Y11"/>
      <c r="Z11" s="43"/>
      <c r="AA11" s="43"/>
    </row>
    <row r="12" spans="1:35" s="342" customFormat="1" x14ac:dyDescent="0.3">
      <c r="A12" s="338"/>
      <c r="B12" s="354" t="s">
        <v>163</v>
      </c>
      <c r="C12" s="352"/>
      <c r="D12" s="352"/>
      <c r="E12" s="352"/>
      <c r="F12" s="352"/>
      <c r="G12" s="352"/>
      <c r="H12" s="352"/>
      <c r="I12" s="352"/>
      <c r="J12" s="353"/>
      <c r="K12" s="352"/>
      <c r="L12" s="352"/>
      <c r="M12" s="352"/>
      <c r="N12" s="352"/>
      <c r="O12" s="352"/>
      <c r="P12" s="352"/>
      <c r="Q12" s="352"/>
      <c r="R12" s="352"/>
      <c r="S12" s="352"/>
      <c r="T12" s="352"/>
      <c r="U12" s="352"/>
      <c r="V12" s="352"/>
      <c r="W12" s="352"/>
      <c r="X12"/>
      <c r="Y12"/>
      <c r="Z12" s="43"/>
      <c r="AA12" s="43"/>
    </row>
    <row r="13" spans="1:35" s="342" customFormat="1" ht="14.5" thickBot="1" x14ac:dyDescent="0.35">
      <c r="A13" s="338"/>
      <c r="B13" s="355" t="s">
        <v>164</v>
      </c>
      <c r="C13" s="352"/>
      <c r="D13" s="352"/>
      <c r="E13" s="352"/>
      <c r="F13" s="352"/>
      <c r="G13" s="352"/>
      <c r="H13" s="352"/>
      <c r="I13" s="352"/>
      <c r="J13" s="353"/>
      <c r="K13" s="352"/>
      <c r="L13" s="352"/>
      <c r="M13" s="352"/>
      <c r="N13" s="352"/>
      <c r="O13" s="352"/>
      <c r="P13" s="352"/>
      <c r="Q13" s="352"/>
      <c r="R13" s="352"/>
      <c r="S13" s="352"/>
      <c r="T13" s="352"/>
      <c r="U13" s="352"/>
      <c r="V13" s="352"/>
      <c r="W13" s="352"/>
      <c r="X13"/>
      <c r="Y13"/>
      <c r="Z13" s="43"/>
      <c r="AA13" s="43"/>
    </row>
    <row r="14" spans="1:35" s="342" customFormat="1" ht="15" thickTop="1" thickBot="1" x14ac:dyDescent="0.35">
      <c r="A14" s="338"/>
      <c r="B14" s="356" t="s">
        <v>165</v>
      </c>
      <c r="C14" s="357" t="s">
        <v>154</v>
      </c>
      <c r="D14" s="357"/>
      <c r="E14" s="357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/>
      <c r="Y14"/>
      <c r="Z14" s="43"/>
      <c r="AA14" s="43"/>
    </row>
    <row r="15" spans="1:35" s="342" customFormat="1" ht="15" thickTop="1" thickBot="1" x14ac:dyDescent="0.35">
      <c r="A15" s="338"/>
      <c r="B15" s="356" t="s">
        <v>166</v>
      </c>
      <c r="C15" s="358" t="s">
        <v>154</v>
      </c>
      <c r="D15" s="358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  <c r="X15"/>
      <c r="Y15"/>
      <c r="Z15" s="43"/>
      <c r="AA15" s="43"/>
    </row>
    <row r="16" spans="1:35" s="342" customFormat="1" ht="14.5" thickTop="1" x14ac:dyDescent="0.3">
      <c r="A16" s="338"/>
      <c r="B16" s="359" t="s">
        <v>151</v>
      </c>
      <c r="C16" s="340" t="s">
        <v>152</v>
      </c>
      <c r="D16" s="341">
        <v>9997700</v>
      </c>
      <c r="E16" s="341">
        <v>115894997.09999999</v>
      </c>
      <c r="F16" s="341">
        <v>81100</v>
      </c>
      <c r="G16" s="341">
        <v>40191640</v>
      </c>
      <c r="H16" s="341">
        <v>69518960</v>
      </c>
      <c r="I16" s="341">
        <v>188003908</v>
      </c>
      <c r="J16" s="341">
        <v>128930114</v>
      </c>
      <c r="K16" s="341">
        <v>810941181</v>
      </c>
      <c r="L16" s="341">
        <v>341244295</v>
      </c>
      <c r="M16" s="341">
        <v>915401231</v>
      </c>
      <c r="N16" s="341">
        <v>2917002804.9000001</v>
      </c>
      <c r="O16" s="341">
        <v>274848829</v>
      </c>
      <c r="P16" s="341">
        <v>227147788</v>
      </c>
      <c r="Q16" s="341">
        <v>616467281</v>
      </c>
      <c r="R16" s="341">
        <v>171233499</v>
      </c>
      <c r="S16" s="341">
        <v>353054594</v>
      </c>
      <c r="T16" s="341">
        <v>596050538</v>
      </c>
      <c r="U16" s="341">
        <v>495413368</v>
      </c>
      <c r="V16" s="341">
        <v>1102253205</v>
      </c>
      <c r="W16" s="341">
        <v>1645136906</v>
      </c>
      <c r="X16"/>
      <c r="Y16"/>
      <c r="Z16" s="43"/>
      <c r="AA16" s="43"/>
    </row>
    <row r="17" spans="1:44" s="342" customFormat="1" x14ac:dyDescent="0.3">
      <c r="A17" s="338"/>
      <c r="B17" s="360" t="s">
        <v>167</v>
      </c>
      <c r="C17" s="343" t="s">
        <v>154</v>
      </c>
      <c r="D17" s="344">
        <v>9874300</v>
      </c>
      <c r="E17" s="344">
        <v>121716537.09999999</v>
      </c>
      <c r="F17" s="344">
        <v>120675449.09999999</v>
      </c>
      <c r="G17" s="344">
        <v>122380851.09999999</v>
      </c>
      <c r="H17" s="344">
        <v>95054485.099999994</v>
      </c>
      <c r="I17" s="344">
        <v>67508652.25</v>
      </c>
      <c r="J17" s="361">
        <v>113763985.31999999</v>
      </c>
      <c r="K17" s="344">
        <v>894644921.88999999</v>
      </c>
      <c r="L17" s="344">
        <v>1159942338.72</v>
      </c>
      <c r="M17" s="344">
        <v>2005232926.72</v>
      </c>
      <c r="N17" s="344">
        <v>4675725612.7600002</v>
      </c>
      <c r="O17" s="344">
        <v>4712790130.5299997</v>
      </c>
      <c r="P17" s="344">
        <v>4561793630.4399996</v>
      </c>
      <c r="Q17" s="344">
        <v>4337371488.6700001</v>
      </c>
      <c r="R17" s="344">
        <v>4245123758.1100001</v>
      </c>
      <c r="S17" s="344">
        <v>4076209521.3600001</v>
      </c>
      <c r="T17" s="344">
        <v>3436480301.7600002</v>
      </c>
      <c r="U17" s="344">
        <v>2702101400.04</v>
      </c>
      <c r="V17" s="344">
        <v>3514015815.5799999</v>
      </c>
      <c r="W17" s="344">
        <v>4404015482.96</v>
      </c>
      <c r="X17"/>
      <c r="Y17"/>
      <c r="Z17" s="43"/>
      <c r="AA17" s="43"/>
    </row>
    <row r="18" spans="1:44" ht="14.5" thickBot="1" x14ac:dyDescent="0.35">
      <c r="A18" s="331"/>
      <c r="B18" s="362" t="s">
        <v>168</v>
      </c>
      <c r="C18" s="345" t="s">
        <v>156</v>
      </c>
      <c r="D18" s="346">
        <f>D17*40%</f>
        <v>3949720</v>
      </c>
      <c r="E18" s="346">
        <f t="shared" ref="E18:W18" si="0">E17*40%</f>
        <v>48686614.840000004</v>
      </c>
      <c r="F18" s="346">
        <f t="shared" si="0"/>
        <v>48270179.640000001</v>
      </c>
      <c r="G18" s="346">
        <f t="shared" si="0"/>
        <v>48952340.439999998</v>
      </c>
      <c r="H18" s="346">
        <f t="shared" si="0"/>
        <v>38021794.039999999</v>
      </c>
      <c r="I18" s="346">
        <f t="shared" si="0"/>
        <v>27003460.900000002</v>
      </c>
      <c r="J18" s="346">
        <f t="shared" si="0"/>
        <v>45505594.127999999</v>
      </c>
      <c r="K18" s="346">
        <f t="shared" si="0"/>
        <v>357857968.75600004</v>
      </c>
      <c r="L18" s="346">
        <f t="shared" si="0"/>
        <v>463976935.48800004</v>
      </c>
      <c r="M18" s="346">
        <f t="shared" si="0"/>
        <v>802093170.68800008</v>
      </c>
      <c r="N18" s="346">
        <f t="shared" si="0"/>
        <v>1870290245.1040001</v>
      </c>
      <c r="O18" s="346">
        <f t="shared" si="0"/>
        <v>1885116052.2119999</v>
      </c>
      <c r="P18" s="346">
        <f t="shared" si="0"/>
        <v>1824717452.1759999</v>
      </c>
      <c r="Q18" s="346">
        <f t="shared" si="0"/>
        <v>1734948595.4680002</v>
      </c>
      <c r="R18" s="346">
        <f t="shared" si="0"/>
        <v>1698049503.2440002</v>
      </c>
      <c r="S18" s="346">
        <f t="shared" si="0"/>
        <v>1630483808.5440001</v>
      </c>
      <c r="T18" s="346">
        <f t="shared" si="0"/>
        <v>1374592120.7040002</v>
      </c>
      <c r="U18" s="346">
        <f t="shared" si="0"/>
        <v>1080840560.016</v>
      </c>
      <c r="V18" s="346">
        <f t="shared" si="0"/>
        <v>1405606326.2320001</v>
      </c>
      <c r="W18" s="346">
        <f t="shared" si="0"/>
        <v>1761606193.184</v>
      </c>
      <c r="Z18" s="43"/>
      <c r="AA18" s="43"/>
    </row>
    <row r="19" spans="1:44" s="364" customFormat="1" ht="14.5" thickTop="1" x14ac:dyDescent="0.3">
      <c r="A19" s="363"/>
      <c r="B19" s="347" t="s">
        <v>157</v>
      </c>
      <c r="C19" s="348" t="s">
        <v>169</v>
      </c>
      <c r="D19" s="348">
        <v>0</v>
      </c>
      <c r="E19" s="348">
        <v>0</v>
      </c>
      <c r="F19" s="348">
        <v>0</v>
      </c>
      <c r="G19" s="348">
        <v>4319000</v>
      </c>
      <c r="H19" s="348">
        <v>26176100</v>
      </c>
      <c r="I19" s="348">
        <v>95809268.799999997</v>
      </c>
      <c r="J19" s="348">
        <v>91816930</v>
      </c>
      <c r="K19" s="348">
        <v>25978831</v>
      </c>
      <c r="L19" s="348">
        <v>24380520</v>
      </c>
      <c r="M19" s="348">
        <v>5051536</v>
      </c>
      <c r="N19" s="348">
        <v>90959857</v>
      </c>
      <c r="O19" s="348">
        <v>40810136.670000002</v>
      </c>
      <c r="P19" s="348">
        <v>63211199.329999998</v>
      </c>
      <c r="Q19" s="348">
        <v>224401291</v>
      </c>
      <c r="R19" s="348">
        <v>859869421.00999999</v>
      </c>
      <c r="S19" s="348">
        <v>111556956</v>
      </c>
      <c r="T19" s="348">
        <v>1808852839</v>
      </c>
      <c r="U19" s="348">
        <v>373982624</v>
      </c>
      <c r="V19" s="348">
        <v>157653222</v>
      </c>
      <c r="W19" s="348">
        <v>1400692733.6700001</v>
      </c>
      <c r="X19"/>
      <c r="Y19"/>
      <c r="Z19" s="43"/>
      <c r="AA19" s="43"/>
    </row>
    <row r="20" spans="1:44" s="364" customFormat="1" x14ac:dyDescent="0.3">
      <c r="A20" s="363"/>
      <c r="B20" s="349" t="s">
        <v>158</v>
      </c>
      <c r="C20" s="350" t="s">
        <v>169</v>
      </c>
      <c r="D20" s="350">
        <v>0</v>
      </c>
      <c r="E20" s="350">
        <v>0</v>
      </c>
      <c r="F20" s="350">
        <v>0</v>
      </c>
      <c r="G20" s="350">
        <v>0</v>
      </c>
      <c r="H20" s="350">
        <v>122800</v>
      </c>
      <c r="I20" s="350">
        <v>191781.9</v>
      </c>
      <c r="J20" s="351">
        <v>581780.27</v>
      </c>
      <c r="K20" s="350">
        <v>91600</v>
      </c>
      <c r="L20" s="350">
        <v>48700</v>
      </c>
      <c r="M20" s="350">
        <v>36300</v>
      </c>
      <c r="N20" s="350">
        <v>35635.4</v>
      </c>
      <c r="O20" s="350">
        <v>0</v>
      </c>
      <c r="P20" s="350">
        <v>67400</v>
      </c>
      <c r="Q20" s="350">
        <v>95727.72</v>
      </c>
      <c r="R20" s="350">
        <v>222900</v>
      </c>
      <c r="S20" s="350">
        <v>15800</v>
      </c>
      <c r="T20" s="350">
        <v>946060</v>
      </c>
      <c r="U20" s="350">
        <v>16800</v>
      </c>
      <c r="V20" s="350">
        <v>0</v>
      </c>
      <c r="W20" s="350">
        <v>793789.8</v>
      </c>
      <c r="X20"/>
      <c r="Y20"/>
      <c r="Z20" s="43"/>
      <c r="AA20" s="43"/>
    </row>
    <row r="21" spans="1:44" s="364" customFormat="1" x14ac:dyDescent="0.3">
      <c r="A21" s="363"/>
      <c r="B21" s="349" t="s">
        <v>159</v>
      </c>
      <c r="C21" s="350" t="s">
        <v>169</v>
      </c>
      <c r="D21" s="350">
        <v>0</v>
      </c>
      <c r="E21" s="350">
        <v>0</v>
      </c>
      <c r="F21" s="350">
        <v>0</v>
      </c>
      <c r="G21" s="350">
        <v>0</v>
      </c>
      <c r="H21" s="350">
        <v>0</v>
      </c>
      <c r="I21" s="350">
        <v>0</v>
      </c>
      <c r="J21" s="351">
        <v>133251.95000000001</v>
      </c>
      <c r="K21" s="350">
        <v>371280.27</v>
      </c>
      <c r="L21" s="350">
        <v>43511.5</v>
      </c>
      <c r="M21" s="350">
        <v>48700</v>
      </c>
      <c r="N21" s="350">
        <v>36300</v>
      </c>
      <c r="O21" s="350">
        <v>20500</v>
      </c>
      <c r="P21" s="350">
        <v>0</v>
      </c>
      <c r="Q21" s="350">
        <v>57400</v>
      </c>
      <c r="R21" s="350">
        <v>88910.720000000001</v>
      </c>
      <c r="S21" s="350">
        <v>213020</v>
      </c>
      <c r="T21" s="350">
        <v>15800</v>
      </c>
      <c r="U21" s="350">
        <v>688860</v>
      </c>
      <c r="V21" s="350">
        <v>16800</v>
      </c>
      <c r="W21" s="350">
        <v>0</v>
      </c>
      <c r="X21"/>
      <c r="Y21"/>
      <c r="Z21" s="43"/>
      <c r="AA21" s="43"/>
    </row>
    <row r="22" spans="1:44" s="364" customFormat="1" x14ac:dyDescent="0.3">
      <c r="A22" s="363"/>
      <c r="B22" s="349" t="s">
        <v>160</v>
      </c>
      <c r="C22" s="350" t="s">
        <v>169</v>
      </c>
      <c r="D22" s="350">
        <v>0</v>
      </c>
      <c r="E22" s="350">
        <v>0</v>
      </c>
      <c r="F22" s="350">
        <v>0</v>
      </c>
      <c r="G22" s="350">
        <v>0</v>
      </c>
      <c r="H22" s="350">
        <v>0</v>
      </c>
      <c r="I22" s="350">
        <v>0</v>
      </c>
      <c r="J22" s="351">
        <v>0</v>
      </c>
      <c r="K22" s="350">
        <v>116124.85</v>
      </c>
      <c r="L22" s="350">
        <v>266680.27</v>
      </c>
      <c r="M22" s="350">
        <v>43511.5</v>
      </c>
      <c r="N22" s="350">
        <v>48700</v>
      </c>
      <c r="O22" s="350">
        <v>0</v>
      </c>
      <c r="P22" s="350">
        <v>0</v>
      </c>
      <c r="Q22" s="350">
        <v>0</v>
      </c>
      <c r="R22" s="350">
        <v>51800</v>
      </c>
      <c r="S22" s="350">
        <v>49493.72</v>
      </c>
      <c r="T22" s="350">
        <v>151520</v>
      </c>
      <c r="U22" s="350">
        <v>15800</v>
      </c>
      <c r="V22" s="350">
        <v>640260</v>
      </c>
      <c r="W22" s="350">
        <v>16800</v>
      </c>
      <c r="X22"/>
      <c r="Y22"/>
      <c r="Z22" s="43"/>
      <c r="AA22" s="43"/>
    </row>
    <row r="23" spans="1:44" s="369" customFormat="1" x14ac:dyDescent="0.3">
      <c r="A23" s="365"/>
      <c r="B23" s="366" t="s">
        <v>161</v>
      </c>
      <c r="C23" s="367" t="s">
        <v>169</v>
      </c>
      <c r="D23" s="367">
        <v>0</v>
      </c>
      <c r="E23" s="367">
        <v>0</v>
      </c>
      <c r="F23" s="367">
        <v>0</v>
      </c>
      <c r="G23" s="367">
        <v>0</v>
      </c>
      <c r="H23" s="367">
        <v>0</v>
      </c>
      <c r="I23" s="367">
        <v>0</v>
      </c>
      <c r="J23" s="367">
        <v>0</v>
      </c>
      <c r="K23" s="367">
        <v>0</v>
      </c>
      <c r="L23" s="367">
        <v>113137.85</v>
      </c>
      <c r="M23" s="367">
        <v>170080.27</v>
      </c>
      <c r="N23" s="367">
        <v>37511.5</v>
      </c>
      <c r="O23" s="367">
        <v>47040.83</v>
      </c>
      <c r="P23" s="367">
        <v>0</v>
      </c>
      <c r="Q23" s="367">
        <v>0</v>
      </c>
      <c r="R23" s="367">
        <v>0</v>
      </c>
      <c r="S23" s="367">
        <v>49800</v>
      </c>
      <c r="T23" s="367">
        <v>42676.72</v>
      </c>
      <c r="U23" s="367">
        <v>70720</v>
      </c>
      <c r="V23" s="367">
        <v>15800</v>
      </c>
      <c r="W23" s="367">
        <v>586160</v>
      </c>
      <c r="X23"/>
      <c r="Y23"/>
      <c r="Z23" s="368"/>
      <c r="AA23" s="368"/>
    </row>
    <row r="24" spans="1:44" s="364" customFormat="1" x14ac:dyDescent="0.3">
      <c r="A24" s="363"/>
      <c r="B24" s="370" t="s">
        <v>170</v>
      </c>
      <c r="C24" s="352" t="s">
        <v>169</v>
      </c>
      <c r="D24" s="352">
        <v>0</v>
      </c>
      <c r="E24" s="352">
        <v>0</v>
      </c>
      <c r="F24" s="352">
        <v>0</v>
      </c>
      <c r="G24" s="352">
        <v>0</v>
      </c>
      <c r="H24" s="352">
        <v>0</v>
      </c>
      <c r="I24" s="352">
        <v>0</v>
      </c>
      <c r="J24" s="353">
        <v>0</v>
      </c>
      <c r="K24" s="352">
        <v>0</v>
      </c>
      <c r="L24" s="352">
        <v>0</v>
      </c>
      <c r="M24" s="352">
        <v>113137.85</v>
      </c>
      <c r="N24" s="352">
        <v>126135.01</v>
      </c>
      <c r="O24" s="352">
        <v>37511.5</v>
      </c>
      <c r="P24" s="352">
        <v>41781.660000000003</v>
      </c>
      <c r="Q24" s="352">
        <v>0</v>
      </c>
      <c r="R24" s="352">
        <v>0</v>
      </c>
      <c r="S24" s="352">
        <v>0</v>
      </c>
      <c r="T24" s="352">
        <v>48800</v>
      </c>
      <c r="U24" s="352">
        <v>37859.72</v>
      </c>
      <c r="V24" s="352">
        <v>68840</v>
      </c>
      <c r="W24" s="352">
        <v>15800</v>
      </c>
      <c r="X24"/>
      <c r="Y24"/>
      <c r="Z24" s="43"/>
      <c r="AA24" s="43"/>
    </row>
    <row r="25" spans="1:44" s="364" customFormat="1" x14ac:dyDescent="0.3">
      <c r="A25" s="363"/>
      <c r="B25" s="354" t="s">
        <v>163</v>
      </c>
      <c r="C25" s="352" t="s">
        <v>171</v>
      </c>
      <c r="D25" s="352">
        <v>0</v>
      </c>
      <c r="E25" s="352">
        <v>0</v>
      </c>
      <c r="F25" s="352">
        <v>0</v>
      </c>
      <c r="G25" s="352">
        <v>0</v>
      </c>
      <c r="H25" s="352">
        <v>0</v>
      </c>
      <c r="I25" s="352">
        <v>0</v>
      </c>
      <c r="J25" s="353">
        <v>0</v>
      </c>
      <c r="K25" s="352">
        <v>0</v>
      </c>
      <c r="L25" s="352">
        <v>0</v>
      </c>
      <c r="M25" s="352">
        <v>0</v>
      </c>
      <c r="N25" s="352">
        <v>108137.85</v>
      </c>
      <c r="O25" s="352">
        <v>109249.12</v>
      </c>
      <c r="P25" s="352">
        <v>31300</v>
      </c>
      <c r="Q25" s="352">
        <v>38622.49</v>
      </c>
      <c r="R25" s="352">
        <v>0</v>
      </c>
      <c r="S25" s="352">
        <v>0</v>
      </c>
      <c r="T25" s="352">
        <v>0</v>
      </c>
      <c r="U25" s="352">
        <v>48800</v>
      </c>
      <c r="V25" s="352">
        <v>29242.720000000001</v>
      </c>
      <c r="W25" s="352">
        <v>53160</v>
      </c>
      <c r="X25"/>
      <c r="Y25"/>
      <c r="Z25" s="43"/>
      <c r="AA25" s="43"/>
    </row>
    <row r="26" spans="1:44" s="364" customFormat="1" ht="14.5" thickBot="1" x14ac:dyDescent="0.35">
      <c r="A26" s="363"/>
      <c r="B26" s="355" t="s">
        <v>164</v>
      </c>
      <c r="C26" s="352" t="s">
        <v>169</v>
      </c>
      <c r="D26" s="352">
        <v>0</v>
      </c>
      <c r="E26" s="352">
        <v>0</v>
      </c>
      <c r="F26" s="352">
        <v>0</v>
      </c>
      <c r="G26" s="352">
        <v>0</v>
      </c>
      <c r="H26" s="352">
        <v>0</v>
      </c>
      <c r="I26" s="352">
        <v>0</v>
      </c>
      <c r="J26" s="353">
        <v>0</v>
      </c>
      <c r="K26" s="352">
        <v>0</v>
      </c>
      <c r="L26" s="352">
        <v>0</v>
      </c>
      <c r="M26" s="352">
        <v>0</v>
      </c>
      <c r="N26" s="352">
        <v>0</v>
      </c>
      <c r="O26" s="352">
        <v>57037.85</v>
      </c>
      <c r="P26" s="352">
        <v>154886.97</v>
      </c>
      <c r="Q26" s="352">
        <v>174936.97</v>
      </c>
      <c r="R26" s="352">
        <v>195000.29</v>
      </c>
      <c r="S26" s="352">
        <v>183450.29</v>
      </c>
      <c r="T26" s="352">
        <v>170050.44</v>
      </c>
      <c r="U26" s="352">
        <v>160050.44</v>
      </c>
      <c r="V26" s="352">
        <v>194850.44</v>
      </c>
      <c r="W26" s="352">
        <v>211126.16</v>
      </c>
      <c r="X26"/>
      <c r="Y26"/>
      <c r="Z26" s="43"/>
      <c r="AA26" s="43"/>
    </row>
    <row r="27" spans="1:44" customFormat="1" ht="14.5" thickTop="1" x14ac:dyDescent="0.3">
      <c r="A27" s="371"/>
      <c r="B27" s="372"/>
      <c r="C27" s="373"/>
      <c r="D27" s="374" t="e">
        <f t="shared" ref="D27:W27" si="1">(C23-D24)/C23</f>
        <v>#VALUE!</v>
      </c>
      <c r="E27" s="374" t="e">
        <f t="shared" si="1"/>
        <v>#DIV/0!</v>
      </c>
      <c r="F27" s="374" t="e">
        <f t="shared" si="1"/>
        <v>#DIV/0!</v>
      </c>
      <c r="G27" s="374" t="e">
        <f t="shared" si="1"/>
        <v>#DIV/0!</v>
      </c>
      <c r="H27" s="374" t="e">
        <f t="shared" si="1"/>
        <v>#DIV/0!</v>
      </c>
      <c r="I27" s="374" t="e">
        <f t="shared" si="1"/>
        <v>#DIV/0!</v>
      </c>
      <c r="J27" s="374" t="e">
        <f t="shared" si="1"/>
        <v>#DIV/0!</v>
      </c>
      <c r="K27" s="374" t="e">
        <f t="shared" si="1"/>
        <v>#DIV/0!</v>
      </c>
      <c r="L27" s="374" t="e">
        <f t="shared" si="1"/>
        <v>#DIV/0!</v>
      </c>
      <c r="M27" s="374">
        <f t="shared" si="1"/>
        <v>0</v>
      </c>
      <c r="N27" s="374">
        <f t="shared" si="1"/>
        <v>0.25837952867784136</v>
      </c>
      <c r="O27" s="374">
        <f t="shared" si="1"/>
        <v>0</v>
      </c>
      <c r="P27" s="374">
        <f t="shared" si="1"/>
        <v>0.11180011066981595</v>
      </c>
      <c r="Q27" s="374" t="e">
        <f t="shared" si="1"/>
        <v>#DIV/0!</v>
      </c>
      <c r="R27" s="374" t="e">
        <f t="shared" si="1"/>
        <v>#DIV/0!</v>
      </c>
      <c r="S27" s="374" t="e">
        <f t="shared" si="1"/>
        <v>#DIV/0!</v>
      </c>
      <c r="T27" s="374">
        <f t="shared" si="1"/>
        <v>2.0080321285140562E-2</v>
      </c>
      <c r="U27" s="374">
        <f t="shared" si="1"/>
        <v>0.11287184207221174</v>
      </c>
      <c r="V27" s="374">
        <f t="shared" si="1"/>
        <v>2.6583710407239818E-2</v>
      </c>
      <c r="W27" s="374">
        <f t="shared" si="1"/>
        <v>0</v>
      </c>
      <c r="Z27" s="43"/>
      <c r="AA27" s="43"/>
      <c r="AQ27" s="375"/>
      <c r="AR27" s="375"/>
    </row>
    <row r="28" spans="1:44" customFormat="1" x14ac:dyDescent="0.3">
      <c r="A28" s="371"/>
      <c r="B28" s="372"/>
      <c r="C28" s="373"/>
      <c r="D28" s="374" t="e">
        <f t="shared" ref="D28:V28" si="2">(D24-E25)/C23</f>
        <v>#VALUE!</v>
      </c>
      <c r="E28" s="374" t="e">
        <f t="shared" si="2"/>
        <v>#DIV/0!</v>
      </c>
      <c r="F28" s="374" t="e">
        <f t="shared" si="2"/>
        <v>#DIV/0!</v>
      </c>
      <c r="G28" s="374" t="e">
        <f t="shared" si="2"/>
        <v>#DIV/0!</v>
      </c>
      <c r="H28" s="374" t="e">
        <f t="shared" si="2"/>
        <v>#DIV/0!</v>
      </c>
      <c r="I28" s="374" t="e">
        <f t="shared" si="2"/>
        <v>#DIV/0!</v>
      </c>
      <c r="J28" s="374" t="e">
        <f t="shared" si="2"/>
        <v>#DIV/0!</v>
      </c>
      <c r="K28" s="374" t="e">
        <f t="shared" si="2"/>
        <v>#DIV/0!</v>
      </c>
      <c r="L28" s="374" t="e">
        <f t="shared" si="2"/>
        <v>#DIV/0!</v>
      </c>
      <c r="M28" s="374">
        <f t="shared" si="2"/>
        <v>4.4193874994089069E-2</v>
      </c>
      <c r="N28" s="374">
        <f t="shared" si="2"/>
        <v>9.9281886135293651E-2</v>
      </c>
      <c r="O28" s="374">
        <f t="shared" si="2"/>
        <v>0.16558921930607948</v>
      </c>
      <c r="P28" s="374">
        <f t="shared" si="2"/>
        <v>6.7158041216534778E-2</v>
      </c>
      <c r="Q28" s="374" t="e">
        <f t="shared" si="2"/>
        <v>#DIV/0!</v>
      </c>
      <c r="R28" s="374" t="e">
        <f t="shared" si="2"/>
        <v>#DIV/0!</v>
      </c>
      <c r="S28" s="374" t="e">
        <f t="shared" si="2"/>
        <v>#DIV/0!</v>
      </c>
      <c r="T28" s="374">
        <f t="shared" si="2"/>
        <v>0</v>
      </c>
      <c r="U28" s="374">
        <f t="shared" si="2"/>
        <v>0.20191336166415788</v>
      </c>
      <c r="V28" s="374">
        <f t="shared" si="2"/>
        <v>0.22171945701357465</v>
      </c>
      <c r="W28" s="374">
        <f t="shared" ref="W28" si="3">(W24-Z25)/V23</f>
        <v>1</v>
      </c>
      <c r="Z28" s="43"/>
      <c r="AA28" s="43"/>
      <c r="AQ28" s="375"/>
      <c r="AR28" s="375"/>
    </row>
    <row r="29" spans="1:44" customFormat="1" x14ac:dyDescent="0.3">
      <c r="A29" s="371"/>
      <c r="B29" s="372"/>
      <c r="C29" s="373"/>
      <c r="D29" s="374" t="e">
        <f t="shared" ref="D29:U29" si="4">(E25-F26)/C23</f>
        <v>#VALUE!</v>
      </c>
      <c r="E29" s="374" t="e">
        <f t="shared" si="4"/>
        <v>#DIV/0!</v>
      </c>
      <c r="F29" s="374" t="e">
        <f t="shared" si="4"/>
        <v>#DIV/0!</v>
      </c>
      <c r="G29" s="374" t="e">
        <f t="shared" si="4"/>
        <v>#DIV/0!</v>
      </c>
      <c r="H29" s="374" t="e">
        <f t="shared" si="4"/>
        <v>#DIV/0!</v>
      </c>
      <c r="I29" s="374" t="e">
        <f t="shared" si="4"/>
        <v>#DIV/0!</v>
      </c>
      <c r="J29" s="374" t="e">
        <f t="shared" si="4"/>
        <v>#DIV/0!</v>
      </c>
      <c r="K29" s="374" t="e">
        <f t="shared" si="4"/>
        <v>#DIV/0!</v>
      </c>
      <c r="L29" s="374" t="e">
        <f t="shared" si="4"/>
        <v>#DIV/0!</v>
      </c>
      <c r="M29" s="374">
        <f t="shared" si="4"/>
        <v>0.45166140243959035</v>
      </c>
      <c r="N29" s="374">
        <f t="shared" si="4"/>
        <v>-0.26833124147792103</v>
      </c>
      <c r="O29" s="374">
        <f t="shared" si="4"/>
        <v>-3.829144928888474</v>
      </c>
      <c r="P29" s="374">
        <f t="shared" si="4"/>
        <v>-3.3242993374053991</v>
      </c>
      <c r="Q29" s="374" t="e">
        <f t="shared" si="4"/>
        <v>#DIV/0!</v>
      </c>
      <c r="R29" s="374" t="e">
        <f t="shared" si="4"/>
        <v>#DIV/0!</v>
      </c>
      <c r="S29" s="374" t="e">
        <f t="shared" si="4"/>
        <v>#DIV/0!</v>
      </c>
      <c r="T29" s="374">
        <f t="shared" si="4"/>
        <v>-2.9327397590361448</v>
      </c>
      <c r="U29" s="374">
        <f t="shared" si="4"/>
        <v>-4.2618889174238319</v>
      </c>
      <c r="V29" s="374">
        <f t="shared" ref="V29" si="5">(W25-Z26)/U23</f>
        <v>0.75169683257918551</v>
      </c>
      <c r="W29" s="374">
        <f t="shared" ref="W29" si="6">(Z25-AA26)/V23</f>
        <v>0</v>
      </c>
      <c r="Z29" s="43"/>
      <c r="AA29" s="43"/>
      <c r="AQ29" s="375"/>
      <c r="AR29" s="375"/>
    </row>
    <row r="30" spans="1:44" customFormat="1" x14ac:dyDescent="0.3">
      <c r="A30" s="371"/>
      <c r="B30" s="372"/>
      <c r="C30" s="373"/>
      <c r="D30" s="374" t="e">
        <f t="shared" ref="D30:U30" si="7">(E26-F32)/C24</f>
        <v>#VALUE!</v>
      </c>
      <c r="E30" s="374" t="e">
        <f t="shared" si="7"/>
        <v>#DIV/0!</v>
      </c>
      <c r="F30" s="374" t="e">
        <f t="shared" si="7"/>
        <v>#DIV/0!</v>
      </c>
      <c r="G30" s="374" t="e">
        <f t="shared" si="7"/>
        <v>#DIV/0!</v>
      </c>
      <c r="H30" s="374" t="e">
        <f t="shared" si="7"/>
        <v>#DIV/0!</v>
      </c>
      <c r="I30" s="374" t="e">
        <f t="shared" si="7"/>
        <v>#DIV/0!</v>
      </c>
      <c r="J30" s="374" t="e">
        <f t="shared" si="7"/>
        <v>#DIV/0!</v>
      </c>
      <c r="K30" s="374" t="e">
        <f t="shared" si="7"/>
        <v>#DIV/0!</v>
      </c>
      <c r="L30" s="374" t="e">
        <f t="shared" si="7"/>
        <v>#DIV/0!</v>
      </c>
      <c r="M30" s="374" t="e">
        <f t="shared" si="7"/>
        <v>#DIV/0!</v>
      </c>
      <c r="N30" s="374">
        <f t="shared" si="7"/>
        <v>0.50414472256632059</v>
      </c>
      <c r="O30" s="374">
        <f t="shared" si="7"/>
        <v>1.2279459128754182</v>
      </c>
      <c r="P30" s="374">
        <f t="shared" si="7"/>
        <v>4.6635557095823952</v>
      </c>
      <c r="Q30" s="374">
        <f t="shared" si="7"/>
        <v>4.6671264377719792</v>
      </c>
      <c r="R30" s="374" t="e">
        <f t="shared" si="7"/>
        <v>#DIV/0!</v>
      </c>
      <c r="S30" s="374" t="e">
        <f t="shared" si="7"/>
        <v>#DIV/0!</v>
      </c>
      <c r="T30" s="374" t="e">
        <f t="shared" si="7"/>
        <v>#DIV/0!</v>
      </c>
      <c r="U30" s="374">
        <f t="shared" si="7"/>
        <v>3.9928368852459015</v>
      </c>
      <c r="V30" s="374">
        <f t="shared" ref="V30" si="8">(W26-Z32)/U24</f>
        <v>5.5765166778835136</v>
      </c>
      <c r="W30" s="374">
        <f t="shared" ref="W30" si="9">(Z26-AA32)/V24</f>
        <v>0</v>
      </c>
      <c r="Z30" s="43"/>
      <c r="AA30" s="43"/>
      <c r="AQ30" s="375"/>
      <c r="AR30" s="375"/>
    </row>
    <row r="31" spans="1:44" customFormat="1" ht="14.5" thickBot="1" x14ac:dyDescent="0.35">
      <c r="A31" s="371"/>
      <c r="B31" s="372"/>
      <c r="C31" s="373"/>
      <c r="D31" s="376" t="e">
        <f t="shared" ref="D31:F31" si="10">SUM(D27:D28)</f>
        <v>#VALUE!</v>
      </c>
      <c r="E31" s="376" t="e">
        <f t="shared" si="10"/>
        <v>#DIV/0!</v>
      </c>
      <c r="F31" s="376" t="e">
        <f t="shared" si="10"/>
        <v>#DIV/0!</v>
      </c>
      <c r="G31" s="376" t="e">
        <f t="shared" ref="G31:R31" si="11">SUM(G27)</f>
        <v>#DIV/0!</v>
      </c>
      <c r="H31" s="376" t="e">
        <f t="shared" si="11"/>
        <v>#DIV/0!</v>
      </c>
      <c r="I31" s="376" t="e">
        <f t="shared" si="11"/>
        <v>#DIV/0!</v>
      </c>
      <c r="J31" s="376" t="e">
        <f t="shared" si="11"/>
        <v>#DIV/0!</v>
      </c>
      <c r="K31" s="376" t="e">
        <f t="shared" si="11"/>
        <v>#DIV/0!</v>
      </c>
      <c r="L31" s="376" t="e">
        <f t="shared" si="11"/>
        <v>#DIV/0!</v>
      </c>
      <c r="M31" s="376">
        <f>SUM(M27:M28)</f>
        <v>4.4193874994089069E-2</v>
      </c>
      <c r="N31" s="376">
        <f t="shared" ref="N31:P31" si="12">SUM(N27:N28)</f>
        <v>0.35766141481313501</v>
      </c>
      <c r="O31" s="376">
        <f t="shared" si="12"/>
        <v>0.16558921930607948</v>
      </c>
      <c r="P31" s="376">
        <f t="shared" si="12"/>
        <v>0.17895815188635072</v>
      </c>
      <c r="Q31" s="376" t="e">
        <f t="shared" si="11"/>
        <v>#DIV/0!</v>
      </c>
      <c r="R31" s="376" t="e">
        <f t="shared" si="11"/>
        <v>#DIV/0!</v>
      </c>
      <c r="S31" s="376"/>
      <c r="T31" s="376">
        <f t="shared" ref="T31:V31" si="13">SUM(T27:T28)</f>
        <v>2.0080321285140562E-2</v>
      </c>
      <c r="U31" s="376">
        <f t="shared" si="13"/>
        <v>0.31478520373636965</v>
      </c>
      <c r="V31" s="376">
        <f t="shared" si="13"/>
        <v>0.24830316742081446</v>
      </c>
      <c r="W31" s="376"/>
      <c r="Y31" s="377">
        <f>AVERAGE(M31:P31)</f>
        <v>0.18660066524991359</v>
      </c>
      <c r="Z31" s="378">
        <f>ROUNDUP(Y31,1)</f>
        <v>0.2</v>
      </c>
      <c r="AA31" s="378"/>
      <c r="AP31" s="377"/>
      <c r="AQ31" s="375"/>
      <c r="AR31" s="375"/>
    </row>
    <row r="32" spans="1:44" s="364" customFormat="1" ht="15" thickTop="1" thickBot="1" x14ac:dyDescent="0.35">
      <c r="A32" s="363"/>
      <c r="B32" s="356" t="s">
        <v>165</v>
      </c>
      <c r="C32" s="357" t="s">
        <v>169</v>
      </c>
      <c r="D32" s="357"/>
      <c r="E32" s="357"/>
      <c r="F32" s="357"/>
      <c r="G32" s="357"/>
      <c r="H32" s="357"/>
      <c r="I32" s="357"/>
      <c r="J32" s="357"/>
      <c r="K32" s="357"/>
      <c r="L32" s="357"/>
      <c r="M32" s="357"/>
      <c r="N32" s="357"/>
      <c r="O32" s="357"/>
      <c r="P32" s="357"/>
      <c r="Q32" s="357"/>
      <c r="R32" s="357"/>
      <c r="S32" s="357"/>
      <c r="T32" s="357"/>
      <c r="U32" s="357"/>
      <c r="V32" s="357"/>
      <c r="W32" s="357"/>
      <c r="X32"/>
      <c r="Y32"/>
      <c r="Z32" s="378">
        <f>100%-Z31</f>
        <v>0.8</v>
      </c>
      <c r="AA32" s="379"/>
    </row>
    <row r="33" spans="1:27" s="364" customFormat="1" ht="15" thickTop="1" thickBot="1" x14ac:dyDescent="0.35">
      <c r="A33" s="363"/>
      <c r="B33" s="356" t="s">
        <v>166</v>
      </c>
      <c r="C33" s="358" t="s">
        <v>169</v>
      </c>
      <c r="D33" s="358"/>
      <c r="E33" s="358"/>
      <c r="F33" s="358"/>
      <c r="G33" s="358"/>
      <c r="H33" s="358"/>
      <c r="I33" s="358"/>
      <c r="J33" s="358"/>
      <c r="K33" s="358"/>
      <c r="L33" s="358"/>
      <c r="M33" s="358"/>
      <c r="N33" s="358"/>
      <c r="O33" s="358"/>
      <c r="P33" s="358"/>
      <c r="Q33" s="358"/>
      <c r="R33" s="358"/>
      <c r="S33" s="358"/>
      <c r="T33" s="358"/>
      <c r="U33" s="358"/>
      <c r="V33" s="358"/>
      <c r="W33" s="358"/>
      <c r="X33"/>
      <c r="Y33"/>
      <c r="Z33" s="43"/>
      <c r="AA33" s="43"/>
    </row>
    <row r="34" spans="1:27" ht="15" thickTop="1" thickBot="1" x14ac:dyDescent="0.35">
      <c r="A34" s="331"/>
      <c r="B34" s="380" t="s">
        <v>172</v>
      </c>
      <c r="C34" s="381" t="s">
        <v>156</v>
      </c>
      <c r="D34" s="382">
        <f>SUM(D19:D26)</f>
        <v>0</v>
      </c>
      <c r="E34" s="382">
        <f t="shared" ref="E34:W34" si="14">SUM(E19:E26)</f>
        <v>0</v>
      </c>
      <c r="F34" s="382">
        <f t="shared" si="14"/>
        <v>0</v>
      </c>
      <c r="G34" s="382">
        <f t="shared" si="14"/>
        <v>4319000</v>
      </c>
      <c r="H34" s="382">
        <f t="shared" si="14"/>
        <v>26298900</v>
      </c>
      <c r="I34" s="382">
        <f t="shared" si="14"/>
        <v>96001050.700000003</v>
      </c>
      <c r="J34" s="382">
        <f t="shared" si="14"/>
        <v>92531962.219999999</v>
      </c>
      <c r="K34" s="382">
        <f t="shared" si="14"/>
        <v>26557836.120000001</v>
      </c>
      <c r="L34" s="382">
        <f t="shared" si="14"/>
        <v>24852549.620000001</v>
      </c>
      <c r="M34" s="382">
        <f t="shared" si="14"/>
        <v>5463265.6199999992</v>
      </c>
      <c r="N34" s="382">
        <f t="shared" si="14"/>
        <v>91352276.760000005</v>
      </c>
      <c r="O34" s="382">
        <f t="shared" si="14"/>
        <v>41081475.969999999</v>
      </c>
      <c r="P34" s="382">
        <f t="shared" si="14"/>
        <v>63506567.959999993</v>
      </c>
      <c r="Q34" s="382">
        <f t="shared" si="14"/>
        <v>224767978.18000001</v>
      </c>
      <c r="R34" s="382">
        <f t="shared" si="14"/>
        <v>860428032.01999998</v>
      </c>
      <c r="S34" s="382">
        <f t="shared" si="14"/>
        <v>112068520.01000001</v>
      </c>
      <c r="T34" s="382">
        <f t="shared" si="14"/>
        <v>1810227746.1600001</v>
      </c>
      <c r="U34" s="382">
        <f t="shared" si="14"/>
        <v>375021514.16000003</v>
      </c>
      <c r="V34" s="382">
        <f t="shared" si="14"/>
        <v>158619015.16</v>
      </c>
      <c r="W34" s="382">
        <f t="shared" si="14"/>
        <v>1402369569.6300001</v>
      </c>
      <c r="Z34" s="43"/>
      <c r="AA34" s="43"/>
    </row>
    <row r="35" spans="1:27" ht="15" thickTop="1" thickBot="1" x14ac:dyDescent="0.35">
      <c r="A35" s="331"/>
      <c r="B35" s="383" t="s">
        <v>173</v>
      </c>
      <c r="C35" s="384" t="s">
        <v>156</v>
      </c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Z35" s="43"/>
      <c r="AA35" s="43"/>
    </row>
    <row r="36" spans="1:27" ht="14.5" thickTop="1" x14ac:dyDescent="0.3">
      <c r="B36" s="386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</row>
    <row r="37" spans="1:27" x14ac:dyDescent="0.3">
      <c r="D37" s="342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</row>
    <row r="39" spans="1:27" ht="16.5" customHeight="1" thickBot="1" x14ac:dyDescent="0.35">
      <c r="A39" s="623" t="s">
        <v>174</v>
      </c>
      <c r="B39" s="623"/>
      <c r="C39" s="623"/>
      <c r="D39" s="387"/>
      <c r="E39" s="387"/>
      <c r="F39" s="387"/>
      <c r="G39" s="387"/>
      <c r="H39" s="387"/>
      <c r="I39" s="387"/>
      <c r="J39" s="387"/>
      <c r="K39" s="387"/>
      <c r="L39" s="387"/>
      <c r="M39" s="387"/>
      <c r="N39" s="387"/>
      <c r="O39" s="387"/>
      <c r="P39" s="387"/>
      <c r="Q39" s="387"/>
      <c r="R39" s="387"/>
      <c r="S39" s="387"/>
      <c r="T39" s="387"/>
      <c r="U39" s="387"/>
      <c r="V39" s="387"/>
      <c r="W39" s="387"/>
    </row>
    <row r="40" spans="1:27" s="392" customFormat="1" ht="16.5" customHeight="1" x14ac:dyDescent="0.3">
      <c r="A40" s="624" t="s">
        <v>175</v>
      </c>
      <c r="B40" s="388" t="s">
        <v>176</v>
      </c>
      <c r="C40" s="389"/>
      <c r="D40" s="390">
        <f t="shared" ref="D40:W40" si="15">D4</f>
        <v>0</v>
      </c>
      <c r="E40" s="390">
        <f t="shared" si="15"/>
        <v>0</v>
      </c>
      <c r="F40" s="390">
        <f t="shared" si="15"/>
        <v>0</v>
      </c>
      <c r="G40" s="390">
        <f t="shared" si="15"/>
        <v>0</v>
      </c>
      <c r="H40" s="390">
        <f t="shared" si="15"/>
        <v>0</v>
      </c>
      <c r="I40" s="390">
        <f t="shared" si="15"/>
        <v>0</v>
      </c>
      <c r="J40" s="390">
        <f t="shared" si="15"/>
        <v>0</v>
      </c>
      <c r="K40" s="390">
        <f t="shared" si="15"/>
        <v>0</v>
      </c>
      <c r="L40" s="390">
        <f t="shared" si="15"/>
        <v>0</v>
      </c>
      <c r="M40" s="390">
        <f t="shared" si="15"/>
        <v>0</v>
      </c>
      <c r="N40" s="390">
        <f t="shared" si="15"/>
        <v>0</v>
      </c>
      <c r="O40" s="390">
        <f t="shared" si="15"/>
        <v>0</v>
      </c>
      <c r="P40" s="390">
        <f t="shared" si="15"/>
        <v>0</v>
      </c>
      <c r="Q40" s="390">
        <f t="shared" si="15"/>
        <v>0</v>
      </c>
      <c r="R40" s="390">
        <f t="shared" si="15"/>
        <v>0</v>
      </c>
      <c r="S40" s="390">
        <f t="shared" si="15"/>
        <v>0</v>
      </c>
      <c r="T40" s="390">
        <f t="shared" si="15"/>
        <v>0</v>
      </c>
      <c r="U40" s="390">
        <f t="shared" si="15"/>
        <v>0</v>
      </c>
      <c r="V40" s="390">
        <f t="shared" si="15"/>
        <v>0</v>
      </c>
      <c r="W40" s="390">
        <f t="shared" si="15"/>
        <v>0</v>
      </c>
      <c r="X40"/>
      <c r="Y40"/>
      <c r="Z40" s="391"/>
      <c r="AA40" s="391"/>
    </row>
    <row r="41" spans="1:27" s="392" customFormat="1" ht="16.5" customHeight="1" x14ac:dyDescent="0.3">
      <c r="A41" s="625"/>
      <c r="B41" s="393" t="s">
        <v>177</v>
      </c>
      <c r="C41" s="394"/>
      <c r="D41" s="395">
        <f t="shared" ref="D41:W41" si="16">SUM(D8:D13)</f>
        <v>0</v>
      </c>
      <c r="E41" s="395">
        <f t="shared" si="16"/>
        <v>0</v>
      </c>
      <c r="F41" s="395">
        <f t="shared" si="16"/>
        <v>0</v>
      </c>
      <c r="G41" s="395">
        <f t="shared" si="16"/>
        <v>0</v>
      </c>
      <c r="H41" s="395">
        <f t="shared" si="16"/>
        <v>0</v>
      </c>
      <c r="I41" s="395">
        <f t="shared" si="16"/>
        <v>0</v>
      </c>
      <c r="J41" s="395">
        <f t="shared" si="16"/>
        <v>0</v>
      </c>
      <c r="K41" s="395">
        <f t="shared" si="16"/>
        <v>0</v>
      </c>
      <c r="L41" s="395">
        <f t="shared" si="16"/>
        <v>0</v>
      </c>
      <c r="M41" s="395">
        <f t="shared" si="16"/>
        <v>0</v>
      </c>
      <c r="N41" s="395">
        <f t="shared" si="16"/>
        <v>0</v>
      </c>
      <c r="O41" s="395">
        <f t="shared" si="16"/>
        <v>0</v>
      </c>
      <c r="P41" s="395">
        <f t="shared" si="16"/>
        <v>0</v>
      </c>
      <c r="Q41" s="395">
        <f t="shared" si="16"/>
        <v>0</v>
      </c>
      <c r="R41" s="395">
        <f t="shared" si="16"/>
        <v>0</v>
      </c>
      <c r="S41" s="395">
        <f t="shared" si="16"/>
        <v>0</v>
      </c>
      <c r="T41" s="395">
        <f t="shared" si="16"/>
        <v>0</v>
      </c>
      <c r="U41" s="395">
        <f t="shared" si="16"/>
        <v>0</v>
      </c>
      <c r="V41" s="395">
        <f t="shared" si="16"/>
        <v>0</v>
      </c>
      <c r="W41" s="395">
        <f t="shared" si="16"/>
        <v>0</v>
      </c>
      <c r="X41"/>
      <c r="Y41"/>
      <c r="Z41" s="391"/>
      <c r="AA41" s="391"/>
    </row>
    <row r="42" spans="1:27" ht="15.75" customHeight="1" x14ac:dyDescent="0.3">
      <c r="A42" s="625"/>
      <c r="B42" s="396" t="s">
        <v>178</v>
      </c>
      <c r="C42" s="397"/>
      <c r="D42" s="395">
        <f t="shared" ref="D42:W42" si="17">SUM(D7:D9)</f>
        <v>0</v>
      </c>
      <c r="E42" s="395">
        <f t="shared" si="17"/>
        <v>0</v>
      </c>
      <c r="F42" s="395">
        <f t="shared" si="17"/>
        <v>0</v>
      </c>
      <c r="G42" s="395">
        <f t="shared" si="17"/>
        <v>0</v>
      </c>
      <c r="H42" s="395">
        <f t="shared" si="17"/>
        <v>0</v>
      </c>
      <c r="I42" s="395">
        <f t="shared" si="17"/>
        <v>0</v>
      </c>
      <c r="J42" s="395">
        <f t="shared" si="17"/>
        <v>0</v>
      </c>
      <c r="K42" s="395">
        <f t="shared" si="17"/>
        <v>0</v>
      </c>
      <c r="L42" s="395">
        <f t="shared" si="17"/>
        <v>0</v>
      </c>
      <c r="M42" s="395">
        <f t="shared" si="17"/>
        <v>0</v>
      </c>
      <c r="N42" s="395">
        <f t="shared" si="17"/>
        <v>0</v>
      </c>
      <c r="O42" s="395">
        <f t="shared" si="17"/>
        <v>0</v>
      </c>
      <c r="P42" s="395">
        <f t="shared" si="17"/>
        <v>0</v>
      </c>
      <c r="Q42" s="395">
        <f t="shared" si="17"/>
        <v>0</v>
      </c>
      <c r="R42" s="395">
        <f t="shared" si="17"/>
        <v>0</v>
      </c>
      <c r="S42" s="395">
        <f t="shared" si="17"/>
        <v>0</v>
      </c>
      <c r="T42" s="395">
        <f t="shared" si="17"/>
        <v>0</v>
      </c>
      <c r="U42" s="395">
        <f t="shared" si="17"/>
        <v>0</v>
      </c>
      <c r="V42" s="395">
        <f t="shared" si="17"/>
        <v>0</v>
      </c>
      <c r="W42" s="395">
        <f t="shared" si="17"/>
        <v>0</v>
      </c>
    </row>
    <row r="43" spans="1:27" x14ac:dyDescent="0.3">
      <c r="A43" s="625"/>
      <c r="B43" s="396" t="s">
        <v>179</v>
      </c>
      <c r="C43" s="397"/>
      <c r="D43" s="395">
        <f t="shared" ref="D43:W43" si="18">SUM(D7:D13)</f>
        <v>0</v>
      </c>
      <c r="E43" s="395">
        <f t="shared" si="18"/>
        <v>0</v>
      </c>
      <c r="F43" s="395">
        <f t="shared" si="18"/>
        <v>0</v>
      </c>
      <c r="G43" s="395">
        <f t="shared" si="18"/>
        <v>0</v>
      </c>
      <c r="H43" s="395">
        <f t="shared" si="18"/>
        <v>0</v>
      </c>
      <c r="I43" s="395">
        <f t="shared" si="18"/>
        <v>0</v>
      </c>
      <c r="J43" s="395">
        <f t="shared" si="18"/>
        <v>0</v>
      </c>
      <c r="K43" s="395">
        <f t="shared" si="18"/>
        <v>0</v>
      </c>
      <c r="L43" s="395">
        <f t="shared" si="18"/>
        <v>0</v>
      </c>
      <c r="M43" s="395">
        <f t="shared" si="18"/>
        <v>0</v>
      </c>
      <c r="N43" s="395">
        <f t="shared" si="18"/>
        <v>0</v>
      </c>
      <c r="O43" s="395">
        <f t="shared" si="18"/>
        <v>0</v>
      </c>
      <c r="P43" s="395">
        <f t="shared" si="18"/>
        <v>0</v>
      </c>
      <c r="Q43" s="395">
        <f t="shared" si="18"/>
        <v>0</v>
      </c>
      <c r="R43" s="395">
        <f t="shared" si="18"/>
        <v>0</v>
      </c>
      <c r="S43" s="395">
        <f t="shared" si="18"/>
        <v>0</v>
      </c>
      <c r="T43" s="395">
        <f t="shared" si="18"/>
        <v>0</v>
      </c>
      <c r="U43" s="395">
        <f t="shared" si="18"/>
        <v>0</v>
      </c>
      <c r="V43" s="395">
        <f t="shared" si="18"/>
        <v>0</v>
      </c>
      <c r="W43" s="395">
        <f t="shared" si="18"/>
        <v>0</v>
      </c>
    </row>
    <row r="44" spans="1:27" x14ac:dyDescent="0.3">
      <c r="A44" s="625"/>
      <c r="B44" s="396" t="s">
        <v>180</v>
      </c>
      <c r="C44" s="397"/>
      <c r="D44" s="398" t="str">
        <f t="shared" ref="D44:R44" si="19">IFERROR(SUM(D10:D13)/D4,"")</f>
        <v/>
      </c>
      <c r="E44" s="398" t="str">
        <f t="shared" si="19"/>
        <v/>
      </c>
      <c r="F44" s="398" t="str">
        <f t="shared" si="19"/>
        <v/>
      </c>
      <c r="G44" s="398" t="str">
        <f t="shared" si="19"/>
        <v/>
      </c>
      <c r="H44" s="398" t="str">
        <f t="shared" si="19"/>
        <v/>
      </c>
      <c r="I44" s="398" t="str">
        <f t="shared" si="19"/>
        <v/>
      </c>
      <c r="J44" s="398" t="str">
        <f t="shared" si="19"/>
        <v/>
      </c>
      <c r="K44" s="398" t="str">
        <f t="shared" si="19"/>
        <v/>
      </c>
      <c r="L44" s="398" t="str">
        <f t="shared" si="19"/>
        <v/>
      </c>
      <c r="M44" s="398" t="str">
        <f t="shared" si="19"/>
        <v/>
      </c>
      <c r="N44" s="398" t="str">
        <f t="shared" si="19"/>
        <v/>
      </c>
      <c r="O44" s="398" t="str">
        <f t="shared" si="19"/>
        <v/>
      </c>
      <c r="P44" s="398" t="str">
        <f t="shared" si="19"/>
        <v/>
      </c>
      <c r="Q44" s="398" t="str">
        <f t="shared" si="19"/>
        <v/>
      </c>
      <c r="R44" s="398" t="str">
        <f t="shared" si="19"/>
        <v/>
      </c>
      <c r="S44" s="398" t="str">
        <f t="shared" ref="S44:W44" si="20">IFERROR(SUM(S10:S13)/S4,"")</f>
        <v/>
      </c>
      <c r="T44" s="398" t="str">
        <f t="shared" si="20"/>
        <v/>
      </c>
      <c r="U44" s="398" t="str">
        <f t="shared" si="20"/>
        <v/>
      </c>
      <c r="V44" s="398" t="str">
        <f t="shared" si="20"/>
        <v/>
      </c>
      <c r="W44" s="398" t="str">
        <f t="shared" si="20"/>
        <v/>
      </c>
    </row>
    <row r="45" spans="1:27" x14ac:dyDescent="0.3">
      <c r="A45" s="625"/>
      <c r="B45" s="396" t="s">
        <v>181</v>
      </c>
      <c r="C45" s="397"/>
      <c r="D45" s="398" t="str">
        <f t="shared" ref="D45:W45" si="21">IFERROR((D10+D11+D14+D12+D13)/D3,"")</f>
        <v/>
      </c>
      <c r="E45" s="398" t="str">
        <f t="shared" si="21"/>
        <v/>
      </c>
      <c r="F45" s="398" t="str">
        <f t="shared" si="21"/>
        <v/>
      </c>
      <c r="G45" s="398" t="str">
        <f t="shared" si="21"/>
        <v/>
      </c>
      <c r="H45" s="398" t="str">
        <f t="shared" si="21"/>
        <v/>
      </c>
      <c r="I45" s="398" t="str">
        <f t="shared" si="21"/>
        <v/>
      </c>
      <c r="J45" s="398" t="str">
        <f t="shared" si="21"/>
        <v/>
      </c>
      <c r="K45" s="398" t="str">
        <f t="shared" si="21"/>
        <v/>
      </c>
      <c r="L45" s="398" t="str">
        <f t="shared" si="21"/>
        <v/>
      </c>
      <c r="M45" s="398" t="str">
        <f t="shared" si="21"/>
        <v/>
      </c>
      <c r="N45" s="398" t="str">
        <f t="shared" si="21"/>
        <v/>
      </c>
      <c r="O45" s="398" t="str">
        <f t="shared" si="21"/>
        <v/>
      </c>
      <c r="P45" s="398" t="str">
        <f t="shared" si="21"/>
        <v/>
      </c>
      <c r="Q45" s="398" t="str">
        <f t="shared" si="21"/>
        <v/>
      </c>
      <c r="R45" s="398" t="str">
        <f t="shared" si="21"/>
        <v/>
      </c>
      <c r="S45" s="398" t="str">
        <f t="shared" si="21"/>
        <v/>
      </c>
      <c r="T45" s="398" t="str">
        <f t="shared" si="21"/>
        <v/>
      </c>
      <c r="U45" s="398" t="str">
        <f t="shared" si="21"/>
        <v/>
      </c>
      <c r="V45" s="398" t="str">
        <f t="shared" si="21"/>
        <v/>
      </c>
      <c r="W45" s="398" t="str">
        <f t="shared" si="21"/>
        <v/>
      </c>
    </row>
    <row r="46" spans="1:27" x14ac:dyDescent="0.3">
      <c r="A46" s="625"/>
      <c r="B46" s="396" t="s">
        <v>182</v>
      </c>
      <c r="C46" s="397"/>
      <c r="D46" s="399" t="e">
        <f t="shared" ref="D46:W46" si="22">(D10+D11+D12+D13)/D40</f>
        <v>#DIV/0!</v>
      </c>
      <c r="E46" s="399" t="e">
        <f t="shared" si="22"/>
        <v>#DIV/0!</v>
      </c>
      <c r="F46" s="399" t="e">
        <f t="shared" si="22"/>
        <v>#DIV/0!</v>
      </c>
      <c r="G46" s="399" t="e">
        <f t="shared" si="22"/>
        <v>#DIV/0!</v>
      </c>
      <c r="H46" s="399" t="e">
        <f t="shared" si="22"/>
        <v>#DIV/0!</v>
      </c>
      <c r="I46" s="399" t="e">
        <f t="shared" si="22"/>
        <v>#DIV/0!</v>
      </c>
      <c r="J46" s="399" t="e">
        <f t="shared" si="22"/>
        <v>#DIV/0!</v>
      </c>
      <c r="K46" s="399" t="e">
        <f t="shared" si="22"/>
        <v>#DIV/0!</v>
      </c>
      <c r="L46" s="399" t="e">
        <f t="shared" si="22"/>
        <v>#DIV/0!</v>
      </c>
      <c r="M46" s="399" t="e">
        <f t="shared" si="22"/>
        <v>#DIV/0!</v>
      </c>
      <c r="N46" s="399" t="e">
        <f t="shared" si="22"/>
        <v>#DIV/0!</v>
      </c>
      <c r="O46" s="399" t="e">
        <f t="shared" si="22"/>
        <v>#DIV/0!</v>
      </c>
      <c r="P46" s="399" t="e">
        <f t="shared" si="22"/>
        <v>#DIV/0!</v>
      </c>
      <c r="Q46" s="399" t="e">
        <f t="shared" si="22"/>
        <v>#DIV/0!</v>
      </c>
      <c r="R46" s="399" t="e">
        <f t="shared" si="22"/>
        <v>#DIV/0!</v>
      </c>
      <c r="S46" s="399" t="e">
        <f t="shared" si="22"/>
        <v>#DIV/0!</v>
      </c>
      <c r="T46" s="399" t="e">
        <f t="shared" si="22"/>
        <v>#DIV/0!</v>
      </c>
      <c r="U46" s="399" t="e">
        <f t="shared" si="22"/>
        <v>#DIV/0!</v>
      </c>
      <c r="V46" s="399" t="e">
        <f t="shared" si="22"/>
        <v>#DIV/0!</v>
      </c>
      <c r="W46" s="399" t="e">
        <f t="shared" si="22"/>
        <v>#DIV/0!</v>
      </c>
    </row>
    <row r="47" spans="1:27" x14ac:dyDescent="0.3">
      <c r="A47" s="625"/>
      <c r="B47" s="396" t="s">
        <v>183</v>
      </c>
      <c r="C47" s="397"/>
      <c r="D47" s="399" t="str">
        <f t="shared" ref="D47:W47" si="23">IFERROR(D41/D4,"")</f>
        <v/>
      </c>
      <c r="E47" s="399" t="str">
        <f t="shared" si="23"/>
        <v/>
      </c>
      <c r="F47" s="399" t="str">
        <f t="shared" si="23"/>
        <v/>
      </c>
      <c r="G47" s="399" t="str">
        <f t="shared" si="23"/>
        <v/>
      </c>
      <c r="H47" s="399" t="str">
        <f t="shared" si="23"/>
        <v/>
      </c>
      <c r="I47" s="399" t="str">
        <f t="shared" si="23"/>
        <v/>
      </c>
      <c r="J47" s="399" t="str">
        <f t="shared" si="23"/>
        <v/>
      </c>
      <c r="K47" s="399" t="str">
        <f t="shared" si="23"/>
        <v/>
      </c>
      <c r="L47" s="399" t="str">
        <f t="shared" si="23"/>
        <v/>
      </c>
      <c r="M47" s="399" t="str">
        <f t="shared" si="23"/>
        <v/>
      </c>
      <c r="N47" s="399" t="str">
        <f t="shared" si="23"/>
        <v/>
      </c>
      <c r="O47" s="399" t="str">
        <f t="shared" si="23"/>
        <v/>
      </c>
      <c r="P47" s="399" t="str">
        <f t="shared" si="23"/>
        <v/>
      </c>
      <c r="Q47" s="399" t="str">
        <f t="shared" si="23"/>
        <v/>
      </c>
      <c r="R47" s="399" t="str">
        <f t="shared" si="23"/>
        <v/>
      </c>
      <c r="S47" s="399" t="str">
        <f t="shared" si="23"/>
        <v/>
      </c>
      <c r="T47" s="399" t="str">
        <f t="shared" si="23"/>
        <v/>
      </c>
      <c r="U47" s="399" t="str">
        <f t="shared" si="23"/>
        <v/>
      </c>
      <c r="V47" s="399" t="str">
        <f t="shared" si="23"/>
        <v/>
      </c>
      <c r="W47" s="399" t="str">
        <f t="shared" si="23"/>
        <v/>
      </c>
    </row>
    <row r="48" spans="1:27" x14ac:dyDescent="0.3">
      <c r="A48" s="625"/>
      <c r="B48" s="396" t="s">
        <v>184</v>
      </c>
      <c r="C48" s="397"/>
      <c r="D48" s="399" t="str">
        <f t="shared" ref="D48:W48" si="24">IFERROR((D41+D14)/D3,"")</f>
        <v/>
      </c>
      <c r="E48" s="399" t="str">
        <f t="shared" si="24"/>
        <v/>
      </c>
      <c r="F48" s="399" t="str">
        <f t="shared" si="24"/>
        <v/>
      </c>
      <c r="G48" s="399" t="str">
        <f t="shared" si="24"/>
        <v/>
      </c>
      <c r="H48" s="399" t="str">
        <f t="shared" si="24"/>
        <v/>
      </c>
      <c r="I48" s="399" t="str">
        <f t="shared" si="24"/>
        <v/>
      </c>
      <c r="J48" s="399" t="str">
        <f t="shared" si="24"/>
        <v/>
      </c>
      <c r="K48" s="399" t="str">
        <f t="shared" si="24"/>
        <v/>
      </c>
      <c r="L48" s="399" t="str">
        <f t="shared" si="24"/>
        <v/>
      </c>
      <c r="M48" s="399" t="str">
        <f t="shared" si="24"/>
        <v/>
      </c>
      <c r="N48" s="399" t="str">
        <f t="shared" si="24"/>
        <v/>
      </c>
      <c r="O48" s="399" t="str">
        <f t="shared" si="24"/>
        <v/>
      </c>
      <c r="P48" s="399" t="str">
        <f t="shared" si="24"/>
        <v/>
      </c>
      <c r="Q48" s="399" t="str">
        <f t="shared" si="24"/>
        <v/>
      </c>
      <c r="R48" s="399" t="str">
        <f t="shared" si="24"/>
        <v/>
      </c>
      <c r="S48" s="399" t="str">
        <f t="shared" si="24"/>
        <v/>
      </c>
      <c r="T48" s="399" t="str">
        <f t="shared" si="24"/>
        <v/>
      </c>
      <c r="U48" s="399" t="str">
        <f t="shared" si="24"/>
        <v/>
      </c>
      <c r="V48" s="399" t="str">
        <f t="shared" si="24"/>
        <v/>
      </c>
      <c r="W48" s="399" t="str">
        <f t="shared" si="24"/>
        <v/>
      </c>
    </row>
    <row r="49" spans="1:27" x14ac:dyDescent="0.3">
      <c r="A49" s="625"/>
      <c r="B49" s="396" t="s">
        <v>185</v>
      </c>
      <c r="C49" s="397"/>
      <c r="D49" s="399" t="str">
        <f t="shared" ref="D49:W49" si="25">IFERROR((D41)/D40,"")</f>
        <v/>
      </c>
      <c r="E49" s="399" t="str">
        <f t="shared" si="25"/>
        <v/>
      </c>
      <c r="F49" s="399" t="str">
        <f t="shared" si="25"/>
        <v/>
      </c>
      <c r="G49" s="399" t="str">
        <f t="shared" si="25"/>
        <v/>
      </c>
      <c r="H49" s="399" t="str">
        <f t="shared" si="25"/>
        <v/>
      </c>
      <c r="I49" s="399" t="str">
        <f t="shared" si="25"/>
        <v/>
      </c>
      <c r="J49" s="399" t="str">
        <f t="shared" si="25"/>
        <v/>
      </c>
      <c r="K49" s="399" t="str">
        <f t="shared" si="25"/>
        <v/>
      </c>
      <c r="L49" s="399" t="str">
        <f t="shared" si="25"/>
        <v/>
      </c>
      <c r="M49" s="399" t="str">
        <f t="shared" si="25"/>
        <v/>
      </c>
      <c r="N49" s="399" t="str">
        <f t="shared" si="25"/>
        <v/>
      </c>
      <c r="O49" s="399" t="str">
        <f t="shared" si="25"/>
        <v/>
      </c>
      <c r="P49" s="399" t="str">
        <f t="shared" si="25"/>
        <v/>
      </c>
      <c r="Q49" s="399" t="str">
        <f t="shared" si="25"/>
        <v/>
      </c>
      <c r="R49" s="399" t="str">
        <f t="shared" si="25"/>
        <v/>
      </c>
      <c r="S49" s="399" t="str">
        <f t="shared" si="25"/>
        <v/>
      </c>
      <c r="T49" s="399" t="str">
        <f t="shared" si="25"/>
        <v/>
      </c>
      <c r="U49" s="399" t="str">
        <f t="shared" si="25"/>
        <v/>
      </c>
      <c r="V49" s="399" t="str">
        <f t="shared" si="25"/>
        <v/>
      </c>
      <c r="W49" s="399" t="str">
        <f t="shared" si="25"/>
        <v/>
      </c>
    </row>
    <row r="50" spans="1:27" x14ac:dyDescent="0.3">
      <c r="A50" s="625"/>
      <c r="B50" s="396" t="s">
        <v>186</v>
      </c>
      <c r="C50" s="397"/>
      <c r="D50" s="398" t="str">
        <f t="shared" ref="D50:R50" si="26">IFERROR(SUM(D43/D4),"")</f>
        <v/>
      </c>
      <c r="E50" s="398" t="str">
        <f t="shared" si="26"/>
        <v/>
      </c>
      <c r="F50" s="398" t="str">
        <f t="shared" si="26"/>
        <v/>
      </c>
      <c r="G50" s="398" t="str">
        <f t="shared" si="26"/>
        <v/>
      </c>
      <c r="H50" s="398" t="str">
        <f t="shared" si="26"/>
        <v/>
      </c>
      <c r="I50" s="398" t="str">
        <f t="shared" si="26"/>
        <v/>
      </c>
      <c r="J50" s="398" t="str">
        <f t="shared" si="26"/>
        <v/>
      </c>
      <c r="K50" s="398" t="str">
        <f t="shared" si="26"/>
        <v/>
      </c>
      <c r="L50" s="398" t="str">
        <f t="shared" si="26"/>
        <v/>
      </c>
      <c r="M50" s="398" t="str">
        <f t="shared" si="26"/>
        <v/>
      </c>
      <c r="N50" s="398" t="str">
        <f t="shared" si="26"/>
        <v/>
      </c>
      <c r="O50" s="398" t="str">
        <f t="shared" si="26"/>
        <v/>
      </c>
      <c r="P50" s="398" t="str">
        <f t="shared" si="26"/>
        <v/>
      </c>
      <c r="Q50" s="398" t="str">
        <f t="shared" si="26"/>
        <v/>
      </c>
      <c r="R50" s="398" t="str">
        <f t="shared" si="26"/>
        <v/>
      </c>
      <c r="S50" s="398" t="str">
        <f t="shared" ref="S50:W50" si="27">IFERROR(SUM(S43/S4),"")</f>
        <v/>
      </c>
      <c r="T50" s="398" t="str">
        <f t="shared" si="27"/>
        <v/>
      </c>
      <c r="U50" s="398" t="str">
        <f t="shared" si="27"/>
        <v/>
      </c>
      <c r="V50" s="398" t="str">
        <f t="shared" si="27"/>
        <v/>
      </c>
      <c r="W50" s="398" t="str">
        <f t="shared" si="27"/>
        <v/>
      </c>
    </row>
    <row r="51" spans="1:27" x14ac:dyDescent="0.3">
      <c r="A51" s="625"/>
      <c r="B51" s="396" t="s">
        <v>187</v>
      </c>
      <c r="C51" s="397"/>
      <c r="D51" s="399" t="str">
        <f t="shared" ref="D51:W51" si="28">IFERROR(SUM(D43/D40),"")</f>
        <v/>
      </c>
      <c r="E51" s="399" t="str">
        <f t="shared" si="28"/>
        <v/>
      </c>
      <c r="F51" s="399" t="str">
        <f t="shared" si="28"/>
        <v/>
      </c>
      <c r="G51" s="399" t="str">
        <f t="shared" si="28"/>
        <v/>
      </c>
      <c r="H51" s="399" t="str">
        <f t="shared" si="28"/>
        <v/>
      </c>
      <c r="I51" s="399" t="str">
        <f t="shared" si="28"/>
        <v/>
      </c>
      <c r="J51" s="399" t="str">
        <f t="shared" si="28"/>
        <v/>
      </c>
      <c r="K51" s="399" t="str">
        <f t="shared" si="28"/>
        <v/>
      </c>
      <c r="L51" s="399" t="str">
        <f t="shared" si="28"/>
        <v/>
      </c>
      <c r="M51" s="399" t="str">
        <f t="shared" si="28"/>
        <v/>
      </c>
      <c r="N51" s="399" t="str">
        <f t="shared" si="28"/>
        <v/>
      </c>
      <c r="O51" s="399" t="str">
        <f t="shared" si="28"/>
        <v/>
      </c>
      <c r="P51" s="399" t="str">
        <f t="shared" si="28"/>
        <v/>
      </c>
      <c r="Q51" s="399" t="str">
        <f t="shared" si="28"/>
        <v/>
      </c>
      <c r="R51" s="399" t="str">
        <f t="shared" si="28"/>
        <v/>
      </c>
      <c r="S51" s="399" t="str">
        <f t="shared" si="28"/>
        <v/>
      </c>
      <c r="T51" s="399" t="str">
        <f t="shared" si="28"/>
        <v/>
      </c>
      <c r="U51" s="399" t="str">
        <f t="shared" si="28"/>
        <v/>
      </c>
      <c r="V51" s="399" t="str">
        <f t="shared" si="28"/>
        <v/>
      </c>
      <c r="W51" s="399" t="str">
        <f t="shared" si="28"/>
        <v/>
      </c>
    </row>
    <row r="52" spans="1:27" x14ac:dyDescent="0.3">
      <c r="A52" s="625"/>
      <c r="B52" s="396" t="s">
        <v>188</v>
      </c>
      <c r="C52" s="397"/>
      <c r="D52" s="399" t="str">
        <f t="shared" ref="D52:W52" si="29">IFERROR(D14/D3,"")</f>
        <v/>
      </c>
      <c r="E52" s="399" t="str">
        <f t="shared" si="29"/>
        <v/>
      </c>
      <c r="F52" s="399" t="str">
        <f t="shared" si="29"/>
        <v/>
      </c>
      <c r="G52" s="399" t="str">
        <f t="shared" si="29"/>
        <v/>
      </c>
      <c r="H52" s="399" t="str">
        <f t="shared" si="29"/>
        <v/>
      </c>
      <c r="I52" s="399" t="str">
        <f t="shared" si="29"/>
        <v/>
      </c>
      <c r="J52" s="399" t="str">
        <f t="shared" si="29"/>
        <v/>
      </c>
      <c r="K52" s="399" t="str">
        <f t="shared" si="29"/>
        <v/>
      </c>
      <c r="L52" s="399" t="str">
        <f t="shared" si="29"/>
        <v/>
      </c>
      <c r="M52" s="399" t="str">
        <f t="shared" si="29"/>
        <v/>
      </c>
      <c r="N52" s="399" t="str">
        <f t="shared" si="29"/>
        <v/>
      </c>
      <c r="O52" s="399" t="str">
        <f t="shared" si="29"/>
        <v/>
      </c>
      <c r="P52" s="399" t="str">
        <f t="shared" si="29"/>
        <v/>
      </c>
      <c r="Q52" s="399" t="str">
        <f t="shared" si="29"/>
        <v/>
      </c>
      <c r="R52" s="399" t="str">
        <f t="shared" si="29"/>
        <v/>
      </c>
      <c r="S52" s="399" t="str">
        <f t="shared" si="29"/>
        <v/>
      </c>
      <c r="T52" s="399" t="str">
        <f t="shared" si="29"/>
        <v/>
      </c>
      <c r="U52" s="399" t="str">
        <f t="shared" si="29"/>
        <v/>
      </c>
      <c r="V52" s="399" t="str">
        <f t="shared" si="29"/>
        <v/>
      </c>
      <c r="W52" s="399" t="str">
        <f t="shared" si="29"/>
        <v/>
      </c>
    </row>
    <row r="53" spans="1:27" x14ac:dyDescent="0.3">
      <c r="A53" s="625"/>
      <c r="B53" s="627" t="s">
        <v>189</v>
      </c>
      <c r="C53" s="628"/>
      <c r="D53" s="400"/>
      <c r="E53" s="400"/>
      <c r="F53" s="400"/>
      <c r="G53" s="400"/>
      <c r="H53" s="400"/>
      <c r="I53" s="400"/>
      <c r="J53" s="400"/>
      <c r="K53" s="400"/>
      <c r="L53" s="400"/>
      <c r="M53" s="400"/>
      <c r="N53" s="400"/>
      <c r="O53" s="400"/>
      <c r="P53" s="400"/>
      <c r="Q53" s="400"/>
      <c r="R53" s="400"/>
      <c r="S53" s="400"/>
      <c r="T53" s="400"/>
      <c r="U53" s="400"/>
      <c r="V53" s="400"/>
      <c r="W53" s="400"/>
    </row>
    <row r="54" spans="1:27" x14ac:dyDescent="0.3">
      <c r="A54" s="625"/>
      <c r="B54" s="629" t="s">
        <v>100</v>
      </c>
      <c r="C54" s="630"/>
      <c r="D54" s="401" t="str">
        <f t="shared" ref="D54:W54" si="30">IFERROR(D6/D4,"")</f>
        <v/>
      </c>
      <c r="E54" s="401" t="str">
        <f t="shared" si="30"/>
        <v/>
      </c>
      <c r="F54" s="401" t="str">
        <f t="shared" si="30"/>
        <v/>
      </c>
      <c r="G54" s="401" t="str">
        <f t="shared" si="30"/>
        <v/>
      </c>
      <c r="H54" s="401" t="str">
        <f t="shared" si="30"/>
        <v/>
      </c>
      <c r="I54" s="401" t="str">
        <f t="shared" si="30"/>
        <v/>
      </c>
      <c r="J54" s="401" t="str">
        <f t="shared" si="30"/>
        <v/>
      </c>
      <c r="K54" s="401" t="str">
        <f t="shared" si="30"/>
        <v/>
      </c>
      <c r="L54" s="401" t="str">
        <f t="shared" si="30"/>
        <v/>
      </c>
      <c r="M54" s="401" t="str">
        <f t="shared" si="30"/>
        <v/>
      </c>
      <c r="N54" s="401" t="str">
        <f t="shared" si="30"/>
        <v/>
      </c>
      <c r="O54" s="401" t="str">
        <f t="shared" si="30"/>
        <v/>
      </c>
      <c r="P54" s="401" t="str">
        <f t="shared" si="30"/>
        <v/>
      </c>
      <c r="Q54" s="401" t="str">
        <f t="shared" si="30"/>
        <v/>
      </c>
      <c r="R54" s="401" t="str">
        <f t="shared" si="30"/>
        <v/>
      </c>
      <c r="S54" s="401" t="str">
        <f t="shared" si="30"/>
        <v/>
      </c>
      <c r="T54" s="401" t="str">
        <f t="shared" si="30"/>
        <v/>
      </c>
      <c r="U54" s="401" t="str">
        <f t="shared" si="30"/>
        <v/>
      </c>
      <c r="V54" s="401" t="str">
        <f t="shared" si="30"/>
        <v/>
      </c>
      <c r="W54" s="401" t="str">
        <f t="shared" si="30"/>
        <v/>
      </c>
      <c r="Z54" s="402"/>
      <c r="AA54" s="402"/>
    </row>
    <row r="55" spans="1:27" x14ac:dyDescent="0.3">
      <c r="A55" s="625"/>
      <c r="B55" s="631" t="s">
        <v>190</v>
      </c>
      <c r="C55" s="632"/>
      <c r="D55" s="403" t="str">
        <f>IFERROR(D7/#REF!,"")</f>
        <v/>
      </c>
      <c r="E55" s="403" t="str">
        <f t="shared" ref="E55:W58" si="31">IFERROR(E7/D6,"")</f>
        <v/>
      </c>
      <c r="F55" s="403" t="str">
        <f t="shared" si="31"/>
        <v/>
      </c>
      <c r="G55" s="403" t="str">
        <f t="shared" si="31"/>
        <v/>
      </c>
      <c r="H55" s="403" t="str">
        <f t="shared" si="31"/>
        <v/>
      </c>
      <c r="I55" s="403" t="str">
        <f t="shared" si="31"/>
        <v/>
      </c>
      <c r="J55" s="403" t="str">
        <f t="shared" si="31"/>
        <v/>
      </c>
      <c r="K55" s="403" t="str">
        <f t="shared" si="31"/>
        <v/>
      </c>
      <c r="L55" s="403" t="str">
        <f t="shared" si="31"/>
        <v/>
      </c>
      <c r="M55" s="403" t="str">
        <f t="shared" si="31"/>
        <v/>
      </c>
      <c r="N55" s="403" t="str">
        <f t="shared" si="31"/>
        <v/>
      </c>
      <c r="O55" s="403" t="str">
        <f t="shared" si="31"/>
        <v/>
      </c>
      <c r="P55" s="403" t="str">
        <f t="shared" si="31"/>
        <v/>
      </c>
      <c r="Q55" s="403" t="str">
        <f t="shared" si="31"/>
        <v/>
      </c>
      <c r="R55" s="403" t="str">
        <f t="shared" si="31"/>
        <v/>
      </c>
      <c r="S55" s="403" t="str">
        <f t="shared" si="31"/>
        <v/>
      </c>
      <c r="T55" s="403" t="str">
        <f t="shared" si="31"/>
        <v/>
      </c>
      <c r="U55" s="403" t="str">
        <f t="shared" si="31"/>
        <v/>
      </c>
      <c r="V55" s="403" t="str">
        <f t="shared" si="31"/>
        <v/>
      </c>
      <c r="W55" s="403" t="str">
        <f t="shared" si="31"/>
        <v/>
      </c>
      <c r="Z55" s="402"/>
      <c r="AA55" s="402"/>
    </row>
    <row r="56" spans="1:27" x14ac:dyDescent="0.3">
      <c r="A56" s="625"/>
      <c r="B56" s="631" t="s">
        <v>191</v>
      </c>
      <c r="C56" s="632"/>
      <c r="D56" s="403" t="str">
        <f>IFERROR(D8/#REF!,"")</f>
        <v/>
      </c>
      <c r="E56" s="403" t="str">
        <f t="shared" si="31"/>
        <v/>
      </c>
      <c r="F56" s="403" t="str">
        <f t="shared" si="31"/>
        <v/>
      </c>
      <c r="G56" s="403" t="str">
        <f t="shared" si="31"/>
        <v/>
      </c>
      <c r="H56" s="403" t="str">
        <f t="shared" si="31"/>
        <v/>
      </c>
      <c r="I56" s="403" t="str">
        <f t="shared" si="31"/>
        <v/>
      </c>
      <c r="J56" s="403" t="str">
        <f t="shared" si="31"/>
        <v/>
      </c>
      <c r="K56" s="403" t="str">
        <f t="shared" si="31"/>
        <v/>
      </c>
      <c r="L56" s="403" t="str">
        <f t="shared" si="31"/>
        <v/>
      </c>
      <c r="M56" s="403" t="str">
        <f t="shared" si="31"/>
        <v/>
      </c>
      <c r="N56" s="403" t="str">
        <f t="shared" si="31"/>
        <v/>
      </c>
      <c r="O56" s="403" t="str">
        <f t="shared" si="31"/>
        <v/>
      </c>
      <c r="P56" s="403" t="str">
        <f t="shared" si="31"/>
        <v/>
      </c>
      <c r="Q56" s="403" t="str">
        <f t="shared" si="31"/>
        <v/>
      </c>
      <c r="R56" s="403" t="str">
        <f t="shared" si="31"/>
        <v/>
      </c>
      <c r="S56" s="403" t="str">
        <f t="shared" si="31"/>
        <v/>
      </c>
      <c r="T56" s="403" t="str">
        <f t="shared" si="31"/>
        <v/>
      </c>
      <c r="U56" s="403" t="str">
        <f t="shared" si="31"/>
        <v/>
      </c>
      <c r="V56" s="403" t="str">
        <f t="shared" si="31"/>
        <v/>
      </c>
      <c r="W56" s="403" t="str">
        <f t="shared" si="31"/>
        <v/>
      </c>
      <c r="Z56" s="402"/>
      <c r="AA56" s="402"/>
    </row>
    <row r="57" spans="1:27" x14ac:dyDescent="0.3">
      <c r="A57" s="625"/>
      <c r="B57" s="631" t="s">
        <v>192</v>
      </c>
      <c r="C57" s="632"/>
      <c r="D57" s="403" t="str">
        <f>IFERROR(D9/#REF!,"")</f>
        <v/>
      </c>
      <c r="E57" s="403" t="str">
        <f t="shared" si="31"/>
        <v/>
      </c>
      <c r="F57" s="403" t="str">
        <f t="shared" si="31"/>
        <v/>
      </c>
      <c r="G57" s="403" t="str">
        <f t="shared" si="31"/>
        <v/>
      </c>
      <c r="H57" s="403" t="str">
        <f t="shared" si="31"/>
        <v/>
      </c>
      <c r="I57" s="403" t="str">
        <f t="shared" si="31"/>
        <v/>
      </c>
      <c r="J57" s="403" t="str">
        <f t="shared" si="31"/>
        <v/>
      </c>
      <c r="K57" s="403" t="str">
        <f t="shared" si="31"/>
        <v/>
      </c>
      <c r="L57" s="403" t="str">
        <f t="shared" si="31"/>
        <v/>
      </c>
      <c r="M57" s="403" t="str">
        <f t="shared" si="31"/>
        <v/>
      </c>
      <c r="N57" s="403" t="str">
        <f t="shared" si="31"/>
        <v/>
      </c>
      <c r="O57" s="403" t="str">
        <f t="shared" si="31"/>
        <v/>
      </c>
      <c r="P57" s="403" t="str">
        <f t="shared" si="31"/>
        <v/>
      </c>
      <c r="Q57" s="403" t="str">
        <f t="shared" si="31"/>
        <v/>
      </c>
      <c r="R57" s="403" t="str">
        <f t="shared" si="31"/>
        <v/>
      </c>
      <c r="S57" s="403" t="str">
        <f t="shared" si="31"/>
        <v/>
      </c>
      <c r="T57" s="403" t="str">
        <f t="shared" si="31"/>
        <v/>
      </c>
      <c r="U57" s="403" t="str">
        <f t="shared" si="31"/>
        <v/>
      </c>
      <c r="V57" s="403" t="str">
        <f t="shared" si="31"/>
        <v/>
      </c>
      <c r="W57" s="403" t="str">
        <f t="shared" si="31"/>
        <v/>
      </c>
      <c r="Z57" s="402"/>
      <c r="AA57" s="402"/>
    </row>
    <row r="58" spans="1:27" x14ac:dyDescent="0.3">
      <c r="A58" s="625"/>
      <c r="B58" s="404" t="s">
        <v>193</v>
      </c>
      <c r="C58" s="397"/>
      <c r="D58" s="403" t="str">
        <f>IFERROR(D10/#REF!,"")</f>
        <v/>
      </c>
      <c r="E58" s="403" t="str">
        <f t="shared" si="31"/>
        <v/>
      </c>
      <c r="F58" s="403" t="str">
        <f t="shared" si="31"/>
        <v/>
      </c>
      <c r="G58" s="403" t="str">
        <f t="shared" si="31"/>
        <v/>
      </c>
      <c r="H58" s="403" t="str">
        <f t="shared" si="31"/>
        <v/>
      </c>
      <c r="I58" s="403" t="str">
        <f t="shared" si="31"/>
        <v/>
      </c>
      <c r="J58" s="403" t="str">
        <f t="shared" si="31"/>
        <v/>
      </c>
      <c r="K58" s="403" t="str">
        <f t="shared" si="31"/>
        <v/>
      </c>
      <c r="L58" s="403" t="str">
        <f t="shared" si="31"/>
        <v/>
      </c>
      <c r="M58" s="403" t="str">
        <f t="shared" si="31"/>
        <v/>
      </c>
      <c r="N58" s="403" t="str">
        <f t="shared" si="31"/>
        <v/>
      </c>
      <c r="O58" s="403" t="str">
        <f t="shared" si="31"/>
        <v/>
      </c>
      <c r="P58" s="403" t="str">
        <f t="shared" si="31"/>
        <v/>
      </c>
      <c r="Q58" s="403" t="str">
        <f t="shared" si="31"/>
        <v/>
      </c>
      <c r="R58" s="403" t="str">
        <f t="shared" si="31"/>
        <v/>
      </c>
      <c r="S58" s="403" t="str">
        <f t="shared" si="31"/>
        <v/>
      </c>
      <c r="T58" s="403" t="str">
        <f t="shared" si="31"/>
        <v/>
      </c>
      <c r="U58" s="403" t="str">
        <f t="shared" si="31"/>
        <v/>
      </c>
      <c r="V58" s="403" t="str">
        <f t="shared" si="31"/>
        <v/>
      </c>
      <c r="W58" s="403" t="str">
        <f t="shared" si="31"/>
        <v/>
      </c>
      <c r="Z58" s="402"/>
      <c r="AA58" s="402"/>
    </row>
    <row r="59" spans="1:27" s="409" customFormat="1" x14ac:dyDescent="0.3">
      <c r="A59" s="625"/>
      <c r="B59" s="405" t="s">
        <v>194</v>
      </c>
      <c r="C59" s="406"/>
      <c r="D59" s="407"/>
      <c r="E59" s="407"/>
      <c r="F59" s="407"/>
      <c r="G59" s="407"/>
      <c r="H59" s="407"/>
      <c r="I59" s="407"/>
      <c r="J59" s="407"/>
      <c r="K59" s="407"/>
      <c r="L59" s="407"/>
      <c r="M59" s="407"/>
      <c r="N59" s="407"/>
      <c r="O59" s="407"/>
      <c r="P59" s="407"/>
      <c r="Q59" s="407"/>
      <c r="R59" s="407"/>
      <c r="S59" s="407"/>
      <c r="T59" s="407"/>
      <c r="U59" s="407"/>
      <c r="V59" s="407"/>
      <c r="W59" s="407"/>
      <c r="X59"/>
      <c r="Y59"/>
      <c r="Z59" s="408"/>
      <c r="AA59" s="408"/>
    </row>
    <row r="60" spans="1:27" s="409" customFormat="1" x14ac:dyDescent="0.3">
      <c r="A60" s="625"/>
      <c r="B60" s="631" t="s">
        <v>100</v>
      </c>
      <c r="C60" s="632"/>
      <c r="D60" s="410"/>
      <c r="E60" s="410"/>
      <c r="F60" s="410"/>
      <c r="G60" s="410"/>
      <c r="H60" s="401"/>
      <c r="I60" s="410"/>
      <c r="J60" s="410"/>
      <c r="K60" s="410"/>
      <c r="L60" s="410"/>
      <c r="M60" s="410"/>
      <c r="N60" s="410"/>
      <c r="O60" s="410"/>
      <c r="P60" s="401"/>
      <c r="Q60" s="410"/>
      <c r="R60" s="410"/>
      <c r="S60" s="410"/>
      <c r="T60" s="410"/>
      <c r="U60" s="410"/>
      <c r="V60" s="410"/>
      <c r="W60" s="410"/>
      <c r="X60"/>
      <c r="Y60"/>
      <c r="Z60" s="408"/>
      <c r="AA60" s="408"/>
    </row>
    <row r="61" spans="1:27" x14ac:dyDescent="0.3">
      <c r="A61" s="625"/>
      <c r="B61" s="629" t="s">
        <v>195</v>
      </c>
      <c r="C61" s="630"/>
      <c r="D61" s="403" t="str">
        <f t="shared" ref="D61:W61" si="32">IFERROR(D7:D10/D3,"")</f>
        <v/>
      </c>
      <c r="E61" s="403" t="str">
        <f t="shared" si="32"/>
        <v/>
      </c>
      <c r="F61" s="403" t="str">
        <f t="shared" si="32"/>
        <v/>
      </c>
      <c r="G61" s="403" t="str">
        <f t="shared" si="32"/>
        <v/>
      </c>
      <c r="H61" s="411" t="str">
        <f t="shared" si="32"/>
        <v/>
      </c>
      <c r="I61" s="403" t="str">
        <f t="shared" si="32"/>
        <v/>
      </c>
      <c r="J61" s="403" t="str">
        <f t="shared" si="32"/>
        <v/>
      </c>
      <c r="K61" s="403" t="str">
        <f t="shared" si="32"/>
        <v/>
      </c>
      <c r="L61" s="403" t="str">
        <f t="shared" si="32"/>
        <v/>
      </c>
      <c r="M61" s="403" t="str">
        <f t="shared" si="32"/>
        <v/>
      </c>
      <c r="N61" s="403" t="str">
        <f t="shared" si="32"/>
        <v/>
      </c>
      <c r="O61" s="403" t="str">
        <f t="shared" si="32"/>
        <v/>
      </c>
      <c r="P61" s="411" t="str">
        <f t="shared" si="32"/>
        <v/>
      </c>
      <c r="Q61" s="403" t="str">
        <f t="shared" si="32"/>
        <v/>
      </c>
      <c r="R61" s="403" t="str">
        <f t="shared" si="32"/>
        <v/>
      </c>
      <c r="S61" s="403" t="str">
        <f t="shared" si="32"/>
        <v/>
      </c>
      <c r="T61" s="403" t="str">
        <f t="shared" si="32"/>
        <v/>
      </c>
      <c r="U61" s="403" t="str">
        <f t="shared" si="32"/>
        <v/>
      </c>
      <c r="V61" s="403" t="str">
        <f t="shared" si="32"/>
        <v/>
      </c>
      <c r="W61" s="403" t="str">
        <f t="shared" si="32"/>
        <v/>
      </c>
      <c r="Z61" s="402"/>
      <c r="AA61" s="402"/>
    </row>
    <row r="62" spans="1:27" x14ac:dyDescent="0.3">
      <c r="A62" s="625"/>
      <c r="B62" s="631" t="s">
        <v>196</v>
      </c>
      <c r="C62" s="632"/>
      <c r="D62" s="403" t="str">
        <f t="shared" ref="D62:W62" si="33">IFERROR(D8:D10/D3,"")</f>
        <v/>
      </c>
      <c r="E62" s="403" t="str">
        <f t="shared" si="33"/>
        <v/>
      </c>
      <c r="F62" s="403" t="str">
        <f t="shared" si="33"/>
        <v/>
      </c>
      <c r="G62" s="403" t="str">
        <f t="shared" si="33"/>
        <v/>
      </c>
      <c r="H62" s="411" t="str">
        <f t="shared" si="33"/>
        <v/>
      </c>
      <c r="I62" s="403" t="str">
        <f t="shared" si="33"/>
        <v/>
      </c>
      <c r="J62" s="403" t="str">
        <f t="shared" si="33"/>
        <v/>
      </c>
      <c r="K62" s="403" t="str">
        <f t="shared" si="33"/>
        <v/>
      </c>
      <c r="L62" s="403" t="str">
        <f t="shared" si="33"/>
        <v/>
      </c>
      <c r="M62" s="403" t="str">
        <f t="shared" si="33"/>
        <v/>
      </c>
      <c r="N62" s="403" t="str">
        <f t="shared" si="33"/>
        <v/>
      </c>
      <c r="O62" s="403" t="str">
        <f t="shared" si="33"/>
        <v/>
      </c>
      <c r="P62" s="411" t="str">
        <f t="shared" si="33"/>
        <v/>
      </c>
      <c r="Q62" s="403" t="str">
        <f t="shared" si="33"/>
        <v/>
      </c>
      <c r="R62" s="403" t="str">
        <f t="shared" si="33"/>
        <v/>
      </c>
      <c r="S62" s="403" t="str">
        <f t="shared" si="33"/>
        <v/>
      </c>
      <c r="T62" s="403" t="str">
        <f t="shared" si="33"/>
        <v/>
      </c>
      <c r="U62" s="403" t="str">
        <f t="shared" si="33"/>
        <v/>
      </c>
      <c r="V62" s="403" t="str">
        <f t="shared" si="33"/>
        <v/>
      </c>
      <c r="W62" s="403" t="str">
        <f t="shared" si="33"/>
        <v/>
      </c>
      <c r="Z62" s="402"/>
      <c r="AA62" s="402"/>
    </row>
    <row r="63" spans="1:27" x14ac:dyDescent="0.3">
      <c r="A63" s="625"/>
      <c r="B63" s="631" t="s">
        <v>197</v>
      </c>
      <c r="C63" s="632"/>
      <c r="D63" s="403" t="str">
        <f t="shared" ref="D63:W63" si="34">IFERROR(D9:D10/D3,"")</f>
        <v/>
      </c>
      <c r="E63" s="403" t="str">
        <f t="shared" si="34"/>
        <v/>
      </c>
      <c r="F63" s="403" t="str">
        <f t="shared" si="34"/>
        <v/>
      </c>
      <c r="G63" s="403" t="str">
        <f t="shared" si="34"/>
        <v/>
      </c>
      <c r="H63" s="411" t="str">
        <f t="shared" si="34"/>
        <v/>
      </c>
      <c r="I63" s="403" t="str">
        <f t="shared" si="34"/>
        <v/>
      </c>
      <c r="J63" s="403" t="str">
        <f t="shared" si="34"/>
        <v/>
      </c>
      <c r="K63" s="403" t="str">
        <f t="shared" si="34"/>
        <v/>
      </c>
      <c r="L63" s="403" t="str">
        <f t="shared" si="34"/>
        <v/>
      </c>
      <c r="M63" s="403" t="str">
        <f t="shared" si="34"/>
        <v/>
      </c>
      <c r="N63" s="403" t="str">
        <f t="shared" si="34"/>
        <v/>
      </c>
      <c r="O63" s="403" t="str">
        <f t="shared" si="34"/>
        <v/>
      </c>
      <c r="P63" s="411" t="str">
        <f t="shared" si="34"/>
        <v/>
      </c>
      <c r="Q63" s="403" t="str">
        <f t="shared" si="34"/>
        <v/>
      </c>
      <c r="R63" s="403" t="str">
        <f t="shared" si="34"/>
        <v/>
      </c>
      <c r="S63" s="403" t="str">
        <f t="shared" si="34"/>
        <v/>
      </c>
      <c r="T63" s="403" t="str">
        <f t="shared" si="34"/>
        <v/>
      </c>
      <c r="U63" s="403" t="str">
        <f t="shared" si="34"/>
        <v/>
      </c>
      <c r="V63" s="403" t="str">
        <f t="shared" si="34"/>
        <v/>
      </c>
      <c r="W63" s="403" t="str">
        <f t="shared" si="34"/>
        <v/>
      </c>
      <c r="Z63" s="402"/>
      <c r="AA63" s="402"/>
    </row>
    <row r="64" spans="1:27" ht="14.5" thickBot="1" x14ac:dyDescent="0.35">
      <c r="A64" s="626"/>
      <c r="B64" s="633" t="s">
        <v>198</v>
      </c>
      <c r="C64" s="634"/>
      <c r="D64" s="412" t="str">
        <f t="shared" ref="D64:W64" si="35">IFERROR(D10/D3,"")</f>
        <v/>
      </c>
      <c r="E64" s="412" t="str">
        <f t="shared" si="35"/>
        <v/>
      </c>
      <c r="F64" s="412" t="str">
        <f t="shared" si="35"/>
        <v/>
      </c>
      <c r="G64" s="412" t="str">
        <f t="shared" si="35"/>
        <v/>
      </c>
      <c r="H64" s="413" t="str">
        <f t="shared" si="35"/>
        <v/>
      </c>
      <c r="I64" s="412" t="str">
        <f t="shared" si="35"/>
        <v/>
      </c>
      <c r="J64" s="412" t="str">
        <f t="shared" si="35"/>
        <v/>
      </c>
      <c r="K64" s="412" t="str">
        <f t="shared" si="35"/>
        <v/>
      </c>
      <c r="L64" s="412" t="str">
        <f t="shared" si="35"/>
        <v/>
      </c>
      <c r="M64" s="412" t="str">
        <f t="shared" si="35"/>
        <v/>
      </c>
      <c r="N64" s="412" t="str">
        <f t="shared" si="35"/>
        <v/>
      </c>
      <c r="O64" s="412" t="str">
        <f t="shared" si="35"/>
        <v/>
      </c>
      <c r="P64" s="413" t="str">
        <f t="shared" si="35"/>
        <v/>
      </c>
      <c r="Q64" s="412" t="str">
        <f t="shared" si="35"/>
        <v/>
      </c>
      <c r="R64" s="412" t="str">
        <f t="shared" si="35"/>
        <v/>
      </c>
      <c r="S64" s="412" t="str">
        <f t="shared" si="35"/>
        <v/>
      </c>
      <c r="T64" s="412" t="str">
        <f t="shared" si="35"/>
        <v/>
      </c>
      <c r="U64" s="412" t="str">
        <f t="shared" si="35"/>
        <v/>
      </c>
      <c r="V64" s="412" t="str">
        <f t="shared" si="35"/>
        <v/>
      </c>
      <c r="W64" s="412" t="str">
        <f t="shared" si="35"/>
        <v/>
      </c>
      <c r="Z64" s="402"/>
      <c r="AA64" s="402"/>
    </row>
    <row r="65" spans="1:28" ht="12.75" customHeight="1" x14ac:dyDescent="0.3">
      <c r="A65" s="625" t="s">
        <v>199</v>
      </c>
      <c r="B65" s="393" t="s">
        <v>145</v>
      </c>
      <c r="C65" s="397"/>
      <c r="D65" s="414">
        <f>D16</f>
        <v>9997700</v>
      </c>
      <c r="E65" s="414">
        <f t="shared" ref="E65:W65" si="36">D65+E16</f>
        <v>125892697.09999999</v>
      </c>
      <c r="F65" s="414">
        <f t="shared" si="36"/>
        <v>125973797.09999999</v>
      </c>
      <c r="G65" s="414">
        <f t="shared" si="36"/>
        <v>166165437.09999999</v>
      </c>
      <c r="H65" s="414">
        <f t="shared" si="36"/>
        <v>235684397.09999999</v>
      </c>
      <c r="I65" s="414">
        <f t="shared" si="36"/>
        <v>423688305.10000002</v>
      </c>
      <c r="J65" s="414">
        <f t="shared" si="36"/>
        <v>552618419.10000002</v>
      </c>
      <c r="K65" s="414">
        <f t="shared" si="36"/>
        <v>1363559600.0999999</v>
      </c>
      <c r="L65" s="414">
        <f t="shared" si="36"/>
        <v>1704803895.0999999</v>
      </c>
      <c r="M65" s="414">
        <f t="shared" si="36"/>
        <v>2620205126.0999999</v>
      </c>
      <c r="N65" s="414">
        <f t="shared" si="36"/>
        <v>5537207931</v>
      </c>
      <c r="O65" s="414">
        <f t="shared" si="36"/>
        <v>5812056760</v>
      </c>
      <c r="P65" s="414">
        <f t="shared" si="36"/>
        <v>6039204548</v>
      </c>
      <c r="Q65" s="414">
        <f t="shared" si="36"/>
        <v>6655671829</v>
      </c>
      <c r="R65" s="414">
        <f t="shared" si="36"/>
        <v>6826905328</v>
      </c>
      <c r="S65" s="414">
        <f t="shared" si="36"/>
        <v>7179959922</v>
      </c>
      <c r="T65" s="414">
        <f t="shared" si="36"/>
        <v>7776010460</v>
      </c>
      <c r="U65" s="414">
        <f t="shared" si="36"/>
        <v>8271423828</v>
      </c>
      <c r="V65" s="414">
        <f t="shared" si="36"/>
        <v>9373677033</v>
      </c>
      <c r="W65" s="414">
        <f t="shared" si="36"/>
        <v>11018813939</v>
      </c>
      <c r="Z65" s="402"/>
      <c r="AA65" s="402"/>
    </row>
    <row r="66" spans="1:28" x14ac:dyDescent="0.3">
      <c r="A66" s="625"/>
      <c r="B66" s="393" t="s">
        <v>177</v>
      </c>
      <c r="C66" s="397"/>
      <c r="D66" s="395">
        <f>SUM(D21:D26)</f>
        <v>0</v>
      </c>
      <c r="E66" s="395">
        <f t="shared" ref="E66:W66" si="37">SUM(E21:E26)</f>
        <v>0</v>
      </c>
      <c r="F66" s="395">
        <f t="shared" si="37"/>
        <v>0</v>
      </c>
      <c r="G66" s="395">
        <f t="shared" si="37"/>
        <v>0</v>
      </c>
      <c r="H66" s="395">
        <f t="shared" si="37"/>
        <v>0</v>
      </c>
      <c r="I66" s="395">
        <f t="shared" si="37"/>
        <v>0</v>
      </c>
      <c r="J66" s="395">
        <f t="shared" si="37"/>
        <v>133251.95000000001</v>
      </c>
      <c r="K66" s="395">
        <f t="shared" si="37"/>
        <v>487405.12</v>
      </c>
      <c r="L66" s="395">
        <f t="shared" si="37"/>
        <v>423329.62</v>
      </c>
      <c r="M66" s="395">
        <f t="shared" si="37"/>
        <v>375429.62</v>
      </c>
      <c r="N66" s="395">
        <f t="shared" si="37"/>
        <v>356784.36</v>
      </c>
      <c r="O66" s="395">
        <f t="shared" si="37"/>
        <v>271339.3</v>
      </c>
      <c r="P66" s="395">
        <f t="shared" si="37"/>
        <v>227968.63</v>
      </c>
      <c r="Q66" s="395">
        <f t="shared" si="37"/>
        <v>270959.45999999996</v>
      </c>
      <c r="R66" s="395">
        <f t="shared" si="37"/>
        <v>335711.01</v>
      </c>
      <c r="S66" s="395">
        <f t="shared" si="37"/>
        <v>495764.01</v>
      </c>
      <c r="T66" s="395">
        <f t="shared" si="37"/>
        <v>428847.16000000003</v>
      </c>
      <c r="U66" s="395">
        <f t="shared" si="37"/>
        <v>1022090.1599999999</v>
      </c>
      <c r="V66" s="395">
        <f t="shared" si="37"/>
        <v>965793.15999999992</v>
      </c>
      <c r="W66" s="395">
        <f t="shared" si="37"/>
        <v>883046.16</v>
      </c>
    </row>
    <row r="67" spans="1:28" x14ac:dyDescent="0.3">
      <c r="A67" s="625"/>
      <c r="B67" s="396" t="s">
        <v>178</v>
      </c>
      <c r="C67" s="397"/>
      <c r="D67" s="395">
        <f>SUM(D20:D22)</f>
        <v>0</v>
      </c>
      <c r="E67" s="395">
        <f t="shared" ref="E67:W67" si="38">SUM(E20:E22)</f>
        <v>0</v>
      </c>
      <c r="F67" s="395">
        <f t="shared" si="38"/>
        <v>0</v>
      </c>
      <c r="G67" s="395">
        <f t="shared" si="38"/>
        <v>0</v>
      </c>
      <c r="H67" s="395">
        <f t="shared" si="38"/>
        <v>122800</v>
      </c>
      <c r="I67" s="395">
        <f t="shared" si="38"/>
        <v>191781.9</v>
      </c>
      <c r="J67" s="395">
        <f t="shared" si="38"/>
        <v>715032.22</v>
      </c>
      <c r="K67" s="395">
        <f t="shared" si="38"/>
        <v>579005.12</v>
      </c>
      <c r="L67" s="395">
        <f t="shared" si="38"/>
        <v>358891.77</v>
      </c>
      <c r="M67" s="395">
        <f t="shared" si="38"/>
        <v>128511.5</v>
      </c>
      <c r="N67" s="395">
        <f t="shared" si="38"/>
        <v>120635.4</v>
      </c>
      <c r="O67" s="395">
        <f t="shared" si="38"/>
        <v>20500</v>
      </c>
      <c r="P67" s="395">
        <f t="shared" si="38"/>
        <v>67400</v>
      </c>
      <c r="Q67" s="395">
        <f t="shared" si="38"/>
        <v>153127.72</v>
      </c>
      <c r="R67" s="395">
        <f t="shared" si="38"/>
        <v>363610.72</v>
      </c>
      <c r="S67" s="395">
        <f t="shared" si="38"/>
        <v>278313.71999999997</v>
      </c>
      <c r="T67" s="395">
        <f t="shared" si="38"/>
        <v>1113380</v>
      </c>
      <c r="U67" s="395">
        <f t="shared" si="38"/>
        <v>721460</v>
      </c>
      <c r="V67" s="395">
        <f t="shared" si="38"/>
        <v>657060</v>
      </c>
      <c r="W67" s="395">
        <f t="shared" si="38"/>
        <v>810589.8</v>
      </c>
    </row>
    <row r="68" spans="1:28" s="419" customFormat="1" x14ac:dyDescent="0.3">
      <c r="A68" s="625"/>
      <c r="B68" s="415" t="s">
        <v>179</v>
      </c>
      <c r="C68" s="416"/>
      <c r="D68" s="417">
        <f t="shared" ref="D68:W68" si="39">SUM(D20:D26)</f>
        <v>0</v>
      </c>
      <c r="E68" s="417">
        <f t="shared" si="39"/>
        <v>0</v>
      </c>
      <c r="F68" s="417">
        <f t="shared" si="39"/>
        <v>0</v>
      </c>
      <c r="G68" s="417">
        <f t="shared" si="39"/>
        <v>0</v>
      </c>
      <c r="H68" s="417">
        <f t="shared" si="39"/>
        <v>122800</v>
      </c>
      <c r="I68" s="417">
        <f t="shared" si="39"/>
        <v>191781.9</v>
      </c>
      <c r="J68" s="417">
        <f t="shared" si="39"/>
        <v>715032.22</v>
      </c>
      <c r="K68" s="417">
        <f t="shared" si="39"/>
        <v>579005.12</v>
      </c>
      <c r="L68" s="417">
        <f t="shared" si="39"/>
        <v>472029.62</v>
      </c>
      <c r="M68" s="417">
        <f t="shared" si="39"/>
        <v>411729.62</v>
      </c>
      <c r="N68" s="417">
        <f t="shared" si="39"/>
        <v>392419.76</v>
      </c>
      <c r="O68" s="417">
        <f t="shared" si="39"/>
        <v>271339.3</v>
      </c>
      <c r="P68" s="417">
        <f t="shared" si="39"/>
        <v>295368.63</v>
      </c>
      <c r="Q68" s="417">
        <f t="shared" si="39"/>
        <v>366687.18</v>
      </c>
      <c r="R68" s="417">
        <f t="shared" si="39"/>
        <v>558611.01</v>
      </c>
      <c r="S68" s="417">
        <f t="shared" si="39"/>
        <v>511564.01</v>
      </c>
      <c r="T68" s="417">
        <f t="shared" si="39"/>
        <v>1374907.16</v>
      </c>
      <c r="U68" s="417">
        <f t="shared" si="39"/>
        <v>1038890.1599999999</v>
      </c>
      <c r="V68" s="417">
        <f t="shared" si="39"/>
        <v>965793.15999999992</v>
      </c>
      <c r="W68" s="417">
        <f t="shared" si="39"/>
        <v>1676835.96</v>
      </c>
      <c r="X68"/>
      <c r="Y68"/>
      <c r="Z68" s="331"/>
      <c r="AA68" s="418"/>
    </row>
    <row r="69" spans="1:28" x14ac:dyDescent="0.3">
      <c r="A69" s="625"/>
      <c r="B69" s="396" t="s">
        <v>142</v>
      </c>
      <c r="C69" s="397"/>
      <c r="D69" s="398">
        <f>SUM(D22:D26)/D18</f>
        <v>0</v>
      </c>
      <c r="E69" s="398">
        <f t="shared" ref="E69:W69" si="40">SUM(E22:E26)/E18</f>
        <v>0</v>
      </c>
      <c r="F69" s="398">
        <f t="shared" si="40"/>
        <v>0</v>
      </c>
      <c r="G69" s="398">
        <f t="shared" si="40"/>
        <v>0</v>
      </c>
      <c r="H69" s="398">
        <f t="shared" si="40"/>
        <v>0</v>
      </c>
      <c r="I69" s="398">
        <f t="shared" si="40"/>
        <v>0</v>
      </c>
      <c r="J69" s="398">
        <f t="shared" si="40"/>
        <v>0</v>
      </c>
      <c r="K69" s="398">
        <f t="shared" si="40"/>
        <v>3.24499829928834E-4</v>
      </c>
      <c r="L69" s="398">
        <f t="shared" si="40"/>
        <v>8.1861422615871248E-4</v>
      </c>
      <c r="M69" s="398">
        <f t="shared" si="40"/>
        <v>4.0734621854434413E-4</v>
      </c>
      <c r="N69" s="398">
        <f t="shared" si="40"/>
        <v>1.7135541440103005E-4</v>
      </c>
      <c r="O69" s="398">
        <f t="shared" si="40"/>
        <v>1.3306305450301828E-4</v>
      </c>
      <c r="P69" s="398">
        <f t="shared" si="40"/>
        <v>1.2493366012811702E-4</v>
      </c>
      <c r="Q69" s="398">
        <f t="shared" si="40"/>
        <v>1.2309267292290733E-4</v>
      </c>
      <c r="R69" s="398">
        <f t="shared" si="40"/>
        <v>1.453434010778284E-4</v>
      </c>
      <c r="S69" s="398">
        <f t="shared" si="40"/>
        <v>1.7341111179293867E-4</v>
      </c>
      <c r="T69" s="398">
        <f t="shared" si="40"/>
        <v>3.0048707087630986E-4</v>
      </c>
      <c r="U69" s="398">
        <f t="shared" si="40"/>
        <v>3.0830649064008769E-4</v>
      </c>
      <c r="V69" s="398">
        <f t="shared" si="40"/>
        <v>6.7514861187624258E-4</v>
      </c>
      <c r="W69" s="398">
        <f t="shared" si="40"/>
        <v>5.0127330581413649E-4</v>
      </c>
      <c r="Z69" s="420">
        <f>_xlfn.STDEV.S(L69:W69)</f>
        <v>2.3383388568105318E-4</v>
      </c>
    </row>
    <row r="70" spans="1:28" x14ac:dyDescent="0.3">
      <c r="A70" s="625"/>
      <c r="B70" s="396" t="s">
        <v>200</v>
      </c>
      <c r="C70" s="397"/>
      <c r="D70" s="399">
        <f>(SUM(D23:D26)+D32)/D18</f>
        <v>0</v>
      </c>
      <c r="E70" s="399">
        <f t="shared" ref="E70:W70" si="41">(SUM(E23:E26)+E32)/E18</f>
        <v>0</v>
      </c>
      <c r="F70" s="399">
        <f t="shared" si="41"/>
        <v>0</v>
      </c>
      <c r="G70" s="399">
        <f t="shared" si="41"/>
        <v>0</v>
      </c>
      <c r="H70" s="399">
        <f t="shared" si="41"/>
        <v>0</v>
      </c>
      <c r="I70" s="399">
        <f t="shared" si="41"/>
        <v>0</v>
      </c>
      <c r="J70" s="399">
        <f t="shared" si="41"/>
        <v>0</v>
      </c>
      <c r="K70" s="399">
        <f t="shared" si="41"/>
        <v>0</v>
      </c>
      <c r="L70" s="399">
        <f t="shared" si="41"/>
        <v>2.4384369425821625E-4</v>
      </c>
      <c r="M70" s="399">
        <f t="shared" si="41"/>
        <v>3.5309877997972229E-4</v>
      </c>
      <c r="N70" s="399">
        <f t="shared" si="41"/>
        <v>1.4531667515855918E-4</v>
      </c>
      <c r="O70" s="399">
        <f t="shared" si="41"/>
        <v>1.3306305450301828E-4</v>
      </c>
      <c r="P70" s="399">
        <f t="shared" si="41"/>
        <v>1.2493366012811702E-4</v>
      </c>
      <c r="Q70" s="399">
        <f t="shared" si="41"/>
        <v>1.2309267292290733E-4</v>
      </c>
      <c r="R70" s="399">
        <f t="shared" si="41"/>
        <v>1.1483781222365197E-4</v>
      </c>
      <c r="S70" s="399">
        <f t="shared" si="41"/>
        <v>1.4305587628514347E-4</v>
      </c>
      <c r="T70" s="399">
        <f t="shared" si="41"/>
        <v>1.9025800894745295E-4</v>
      </c>
      <c r="U70" s="399">
        <f t="shared" si="41"/>
        <v>2.9368823834229632E-4</v>
      </c>
      <c r="V70" s="399">
        <f t="shared" si="41"/>
        <v>2.1964411673332392E-4</v>
      </c>
      <c r="W70" s="399">
        <f t="shared" si="41"/>
        <v>4.9173655460095251E-4</v>
      </c>
      <c r="Z70" s="420">
        <f t="shared" ref="Z70" si="42">_xlfn.STDEV.S(L70:W70)</f>
        <v>1.1546258592127354E-4</v>
      </c>
    </row>
    <row r="71" spans="1:28" x14ac:dyDescent="0.3">
      <c r="A71" s="625"/>
      <c r="B71" s="396" t="s">
        <v>144</v>
      </c>
      <c r="C71" s="397"/>
      <c r="D71" s="399">
        <f t="shared" ref="D71:W71" si="43">SUM(D23:D26)/D65</f>
        <v>0</v>
      </c>
      <c r="E71" s="399">
        <f t="shared" si="43"/>
        <v>0</v>
      </c>
      <c r="F71" s="399">
        <f t="shared" si="43"/>
        <v>0</v>
      </c>
      <c r="G71" s="399">
        <f t="shared" si="43"/>
        <v>0</v>
      </c>
      <c r="H71" s="399">
        <f t="shared" si="43"/>
        <v>0</v>
      </c>
      <c r="I71" s="399">
        <f t="shared" si="43"/>
        <v>0</v>
      </c>
      <c r="J71" s="399">
        <f t="shared" si="43"/>
        <v>0</v>
      </c>
      <c r="K71" s="399">
        <f t="shared" si="43"/>
        <v>0</v>
      </c>
      <c r="L71" s="399">
        <f t="shared" si="43"/>
        <v>6.6364143304214825E-5</v>
      </c>
      <c r="M71" s="399">
        <f t="shared" si="43"/>
        <v>1.0809005645353852E-4</v>
      </c>
      <c r="N71" s="399">
        <f t="shared" si="43"/>
        <v>4.9083285906317173E-5</v>
      </c>
      <c r="O71" s="399">
        <f t="shared" si="43"/>
        <v>4.3158439491908885E-5</v>
      </c>
      <c r="P71" s="399">
        <f t="shared" si="43"/>
        <v>3.7748121989922706E-5</v>
      </c>
      <c r="Q71" s="399">
        <f t="shared" si="43"/>
        <v>3.2086837435325719E-5</v>
      </c>
      <c r="R71" s="399">
        <f t="shared" si="43"/>
        <v>2.8563497021149844E-5</v>
      </c>
      <c r="S71" s="399">
        <f t="shared" si="43"/>
        <v>3.2486294148425751E-5</v>
      </c>
      <c r="T71" s="399">
        <f t="shared" si="43"/>
        <v>3.3632562783358191E-5</v>
      </c>
      <c r="U71" s="399">
        <f t="shared" si="43"/>
        <v>3.8376725289478182E-5</v>
      </c>
      <c r="V71" s="399">
        <f t="shared" si="43"/>
        <v>3.2936184905145114E-5</v>
      </c>
      <c r="W71" s="399">
        <f t="shared" si="43"/>
        <v>7.8615190781469458E-5</v>
      </c>
      <c r="Z71" s="420"/>
    </row>
    <row r="72" spans="1:28" x14ac:dyDescent="0.3">
      <c r="A72" s="625"/>
      <c r="B72" s="396" t="s">
        <v>146</v>
      </c>
      <c r="C72" s="397"/>
      <c r="D72" s="399">
        <f>SUM(D21:D26)/D18</f>
        <v>0</v>
      </c>
      <c r="E72" s="399">
        <f t="shared" ref="E72:W72" si="44">SUM(E21:E26)/E18</f>
        <v>0</v>
      </c>
      <c r="F72" s="399">
        <f t="shared" si="44"/>
        <v>0</v>
      </c>
      <c r="G72" s="399">
        <f t="shared" si="44"/>
        <v>0</v>
      </c>
      <c r="H72" s="399">
        <f t="shared" si="44"/>
        <v>0</v>
      </c>
      <c r="I72" s="399">
        <f t="shared" si="44"/>
        <v>0</v>
      </c>
      <c r="J72" s="399">
        <f t="shared" si="44"/>
        <v>2.9282542630952903E-3</v>
      </c>
      <c r="K72" s="399">
        <f t="shared" si="44"/>
        <v>1.3620071719915498E-3</v>
      </c>
      <c r="L72" s="399">
        <f t="shared" si="44"/>
        <v>9.1239367223017642E-4</v>
      </c>
      <c r="M72" s="399">
        <f t="shared" si="44"/>
        <v>4.6806235699273322E-4</v>
      </c>
      <c r="N72" s="399">
        <f t="shared" si="44"/>
        <v>1.9076416664952475E-4</v>
      </c>
      <c r="O72" s="399">
        <f t="shared" si="44"/>
        <v>1.4393771655681875E-4</v>
      </c>
      <c r="P72" s="399">
        <f t="shared" si="44"/>
        <v>1.2493366012811702E-4</v>
      </c>
      <c r="Q72" s="399">
        <f t="shared" si="44"/>
        <v>1.5617722663818117E-4</v>
      </c>
      <c r="R72" s="399">
        <f t="shared" si="44"/>
        <v>1.9770390048031493E-4</v>
      </c>
      <c r="S72" s="399">
        <f t="shared" si="44"/>
        <v>3.0405944996332747E-4</v>
      </c>
      <c r="T72" s="399">
        <f t="shared" si="44"/>
        <v>3.1198138963605077E-4</v>
      </c>
      <c r="U72" s="399">
        <f t="shared" si="44"/>
        <v>9.456437867069585E-4</v>
      </c>
      <c r="V72" s="399">
        <f t="shared" si="44"/>
        <v>6.8710074931790856E-4</v>
      </c>
      <c r="W72" s="399">
        <f t="shared" si="44"/>
        <v>5.0127330581413649E-4</v>
      </c>
      <c r="Z72" s="420">
        <f>_xlfn.STDEV.S(L72:W72)</f>
        <v>2.9514178582604352E-4</v>
      </c>
      <c r="AA72" s="420">
        <f>_xlfn.STDEV.S(H72:O72)</f>
        <v>1.0021589188302013E-3</v>
      </c>
    </row>
    <row r="73" spans="1:28" x14ac:dyDescent="0.3">
      <c r="A73" s="625"/>
      <c r="B73" s="396" t="s">
        <v>201</v>
      </c>
      <c r="C73" s="397"/>
      <c r="D73" s="399" t="str">
        <f>IFERROR((D66+D32)/#REF!,"")</f>
        <v/>
      </c>
      <c r="E73" s="399" t="str">
        <f>IFERROR((E66+E32)/#REF!,"")</f>
        <v/>
      </c>
      <c r="F73" s="399" t="str">
        <f>IFERROR((F66+F32)/#REF!,"")</f>
        <v/>
      </c>
      <c r="G73" s="399" t="str">
        <f>IFERROR((G66+G32)/#REF!,"")</f>
        <v/>
      </c>
      <c r="H73" s="399" t="str">
        <f>IFERROR((H66+H32)/#REF!,"")</f>
        <v/>
      </c>
      <c r="I73" s="399" t="str">
        <f>IFERROR((I66+I32)/#REF!,"")</f>
        <v/>
      </c>
      <c r="J73" s="399" t="str">
        <f>IFERROR((J66+J32)/#REF!,"")</f>
        <v/>
      </c>
      <c r="K73" s="399" t="str">
        <f>IFERROR((K66+K32)/#REF!,"")</f>
        <v/>
      </c>
      <c r="L73" s="399" t="str">
        <f>IFERROR((L66+L32)/#REF!,"")</f>
        <v/>
      </c>
      <c r="M73" s="399" t="str">
        <f>IFERROR((M66+M32)/#REF!,"")</f>
        <v/>
      </c>
      <c r="N73" s="399" t="str">
        <f>IFERROR((N66+N32)/#REF!,"")</f>
        <v/>
      </c>
      <c r="O73" s="399" t="str">
        <f>IFERROR((O66+O32)/#REF!,"")</f>
        <v/>
      </c>
      <c r="P73" s="399" t="str">
        <f>IFERROR((P66+P32)/#REF!,"")</f>
        <v/>
      </c>
      <c r="Q73" s="399" t="str">
        <f>IFERROR((Q66+Q32)/#REF!,"")</f>
        <v/>
      </c>
      <c r="R73" s="399" t="str">
        <f>IFERROR((R66+R32)/#REF!,"")</f>
        <v/>
      </c>
      <c r="S73" s="399" t="str">
        <f>IFERROR((S66+S32)/#REF!,"")</f>
        <v/>
      </c>
      <c r="T73" s="399" t="str">
        <f>IFERROR((T66+T32)/#REF!,"")</f>
        <v/>
      </c>
      <c r="U73" s="399" t="str">
        <f>IFERROR((U66+U32)/#REF!,"")</f>
        <v/>
      </c>
      <c r="V73" s="399" t="str">
        <f>IFERROR((V66+V32)/#REF!,"")</f>
        <v/>
      </c>
      <c r="W73" s="399" t="str">
        <f>IFERROR((W66+W32)/#REF!,"")</f>
        <v/>
      </c>
      <c r="Z73" s="420"/>
    </row>
    <row r="74" spans="1:28" x14ac:dyDescent="0.3">
      <c r="A74" s="625"/>
      <c r="B74" s="396" t="s">
        <v>202</v>
      </c>
      <c r="C74" s="397"/>
      <c r="D74" s="398">
        <f>IFERROR(D66/D65,"")</f>
        <v>0</v>
      </c>
      <c r="E74" s="398">
        <f t="shared" ref="E74:W74" si="45">IFERROR(E66/E65,"")</f>
        <v>0</v>
      </c>
      <c r="F74" s="398">
        <f t="shared" si="45"/>
        <v>0</v>
      </c>
      <c r="G74" s="398">
        <f t="shared" si="45"/>
        <v>0</v>
      </c>
      <c r="H74" s="398">
        <f t="shared" si="45"/>
        <v>0</v>
      </c>
      <c r="I74" s="398">
        <f t="shared" si="45"/>
        <v>0</v>
      </c>
      <c r="J74" s="398">
        <f t="shared" si="45"/>
        <v>2.4112831819289609E-4</v>
      </c>
      <c r="K74" s="398">
        <f t="shared" si="45"/>
        <v>3.5745054338970952E-4</v>
      </c>
      <c r="L74" s="398">
        <f t="shared" si="45"/>
        <v>2.4831572781875208E-4</v>
      </c>
      <c r="M74" s="398">
        <f t="shared" si="45"/>
        <v>1.4328253015778267E-4</v>
      </c>
      <c r="N74" s="398">
        <f t="shared" si="45"/>
        <v>6.4433982694156474E-5</v>
      </c>
      <c r="O74" s="398">
        <f t="shared" si="45"/>
        <v>4.6685590179955502E-5</v>
      </c>
      <c r="P74" s="398">
        <f t="shared" si="45"/>
        <v>3.7748121989922706E-5</v>
      </c>
      <c r="Q74" s="398">
        <f t="shared" si="45"/>
        <v>4.0711060725587343E-5</v>
      </c>
      <c r="R74" s="398">
        <f t="shared" si="45"/>
        <v>4.9174698325331752E-5</v>
      </c>
      <c r="S74" s="398">
        <f t="shared" si="45"/>
        <v>6.9048297676556304E-5</v>
      </c>
      <c r="T74" s="398">
        <f t="shared" si="45"/>
        <v>5.5150023550765652E-5</v>
      </c>
      <c r="U74" s="398">
        <f t="shared" si="45"/>
        <v>1.2356882941242506E-4</v>
      </c>
      <c r="V74" s="398">
        <f t="shared" si="45"/>
        <v>1.0303247664709678E-4</v>
      </c>
      <c r="W74" s="398">
        <f t="shared" si="45"/>
        <v>8.0139855785616416E-5</v>
      </c>
      <c r="Z74" s="420"/>
    </row>
    <row r="75" spans="1:28" x14ac:dyDescent="0.3">
      <c r="A75" s="625"/>
      <c r="B75" s="396" t="s">
        <v>203</v>
      </c>
      <c r="C75" s="397"/>
      <c r="D75" s="399">
        <f>IFERROR((D20+D21+D22+D23+D24+D25+D26)/D18,"")</f>
        <v>0</v>
      </c>
      <c r="E75" s="399">
        <f t="shared" ref="E75:W75" si="46">IFERROR((E20+E21+E22+E23+E24+E25+E26)/E18,"")</f>
        <v>0</v>
      </c>
      <c r="F75" s="399">
        <f t="shared" si="46"/>
        <v>0</v>
      </c>
      <c r="G75" s="399">
        <f t="shared" si="46"/>
        <v>0</v>
      </c>
      <c r="H75" s="399">
        <f t="shared" si="46"/>
        <v>3.2297266107646299E-3</v>
      </c>
      <c r="I75" s="399">
        <f t="shared" si="46"/>
        <v>7.1021229726890298E-3</v>
      </c>
      <c r="J75" s="399">
        <f t="shared" si="46"/>
        <v>1.5713061958684202E-2</v>
      </c>
      <c r="K75" s="399">
        <f t="shared" si="46"/>
        <v>1.6179746451162186E-3</v>
      </c>
      <c r="L75" s="399">
        <f t="shared" si="46"/>
        <v>1.0173557862386635E-3</v>
      </c>
      <c r="M75" s="399">
        <f t="shared" si="46"/>
        <v>5.1331894478896572E-4</v>
      </c>
      <c r="N75" s="399">
        <f t="shared" si="46"/>
        <v>2.098175729821972E-4</v>
      </c>
      <c r="O75" s="399">
        <f t="shared" si="46"/>
        <v>1.4393771655681875E-4</v>
      </c>
      <c r="P75" s="399">
        <f t="shared" si="46"/>
        <v>1.6187088562548079E-4</v>
      </c>
      <c r="Q75" s="399">
        <f t="shared" si="46"/>
        <v>2.1135333978070204E-4</v>
      </c>
      <c r="R75" s="399">
        <f t="shared" si="46"/>
        <v>3.289721583103521E-4</v>
      </c>
      <c r="S75" s="399">
        <f t="shared" si="46"/>
        <v>3.1374982524777088E-4</v>
      </c>
      <c r="T75" s="399">
        <f t="shared" si="46"/>
        <v>1.0002291874740548E-3</v>
      </c>
      <c r="U75" s="399">
        <f t="shared" si="46"/>
        <v>9.6118724484638228E-4</v>
      </c>
      <c r="V75" s="399">
        <f t="shared" si="46"/>
        <v>6.8710074931790856E-4</v>
      </c>
      <c r="W75" s="399">
        <f t="shared" si="46"/>
        <v>9.5187901046670203E-4</v>
      </c>
      <c r="Z75" s="420"/>
    </row>
    <row r="76" spans="1:28" x14ac:dyDescent="0.3">
      <c r="A76" s="625"/>
      <c r="B76" s="396" t="s">
        <v>204</v>
      </c>
      <c r="C76" s="397"/>
      <c r="D76" s="399">
        <f t="shared" ref="D76:W76" si="47">IFERROR((D20+D21+D22+D23+D24+D25+D26)/D65,"")</f>
        <v>0</v>
      </c>
      <c r="E76" s="399">
        <f t="shared" si="47"/>
        <v>0</v>
      </c>
      <c r="F76" s="399">
        <f t="shared" si="47"/>
        <v>0</v>
      </c>
      <c r="G76" s="399">
        <f t="shared" si="47"/>
        <v>0</v>
      </c>
      <c r="H76" s="399">
        <f t="shared" si="47"/>
        <v>5.2103576439935663E-4</v>
      </c>
      <c r="I76" s="399">
        <f t="shared" si="47"/>
        <v>4.5264855718577158E-4</v>
      </c>
      <c r="J76" s="399">
        <f t="shared" si="47"/>
        <v>1.2938986383488787E-3</v>
      </c>
      <c r="K76" s="399">
        <f t="shared" si="47"/>
        <v>4.2462765834184091E-4</v>
      </c>
      <c r="L76" s="399">
        <f t="shared" si="47"/>
        <v>2.7688206330166312E-4</v>
      </c>
      <c r="M76" s="399">
        <f t="shared" si="47"/>
        <v>1.5713640733648667E-4</v>
      </c>
      <c r="N76" s="399">
        <f t="shared" si="47"/>
        <v>7.0869608815490225E-5</v>
      </c>
      <c r="O76" s="399">
        <f t="shared" si="47"/>
        <v>4.6685590179955502E-5</v>
      </c>
      <c r="P76" s="399">
        <f t="shared" si="47"/>
        <v>4.8908532183732222E-5</v>
      </c>
      <c r="Q76" s="399">
        <f t="shared" si="47"/>
        <v>5.5093939337915633E-5</v>
      </c>
      <c r="R76" s="399">
        <f t="shared" si="47"/>
        <v>8.182492405583861E-5</v>
      </c>
      <c r="S76" s="399">
        <f t="shared" si="47"/>
        <v>7.1248867062965757E-5</v>
      </c>
      <c r="T76" s="399">
        <f t="shared" si="47"/>
        <v>1.7681395454295724E-4</v>
      </c>
      <c r="U76" s="399">
        <f t="shared" si="47"/>
        <v>1.2559991866009843E-4</v>
      </c>
      <c r="V76" s="399">
        <f t="shared" si="47"/>
        <v>1.0303247664709678E-4</v>
      </c>
      <c r="W76" s="399">
        <f t="shared" si="47"/>
        <v>1.521793515420934E-4</v>
      </c>
    </row>
    <row r="77" spans="1:28" x14ac:dyDescent="0.3">
      <c r="A77" s="625"/>
      <c r="B77" s="396" t="s">
        <v>205</v>
      </c>
      <c r="C77" s="397"/>
      <c r="D77" s="398">
        <f t="shared" ref="D77:W77" si="48">D32/D17</f>
        <v>0</v>
      </c>
      <c r="E77" s="398">
        <f t="shared" si="48"/>
        <v>0</v>
      </c>
      <c r="F77" s="398">
        <f t="shared" si="48"/>
        <v>0</v>
      </c>
      <c r="G77" s="398">
        <f t="shared" si="48"/>
        <v>0</v>
      </c>
      <c r="H77" s="398">
        <f t="shared" si="48"/>
        <v>0</v>
      </c>
      <c r="I77" s="398">
        <f t="shared" si="48"/>
        <v>0</v>
      </c>
      <c r="J77" s="398">
        <f t="shared" si="48"/>
        <v>0</v>
      </c>
      <c r="K77" s="398">
        <f t="shared" si="48"/>
        <v>0</v>
      </c>
      <c r="L77" s="398">
        <f t="shared" si="48"/>
        <v>0</v>
      </c>
      <c r="M77" s="398">
        <f t="shared" si="48"/>
        <v>0</v>
      </c>
      <c r="N77" s="398">
        <f t="shared" si="48"/>
        <v>0</v>
      </c>
      <c r="O77" s="398">
        <f t="shared" si="48"/>
        <v>0</v>
      </c>
      <c r="P77" s="398">
        <f t="shared" si="48"/>
        <v>0</v>
      </c>
      <c r="Q77" s="398">
        <f t="shared" si="48"/>
        <v>0</v>
      </c>
      <c r="R77" s="398">
        <f t="shared" si="48"/>
        <v>0</v>
      </c>
      <c r="S77" s="398">
        <f t="shared" si="48"/>
        <v>0</v>
      </c>
      <c r="T77" s="398">
        <f t="shared" si="48"/>
        <v>0</v>
      </c>
      <c r="U77" s="398">
        <f t="shared" si="48"/>
        <v>0</v>
      </c>
      <c r="V77" s="398">
        <f t="shared" si="48"/>
        <v>0</v>
      </c>
      <c r="W77" s="398">
        <f t="shared" si="48"/>
        <v>0</v>
      </c>
    </row>
    <row r="78" spans="1:28" x14ac:dyDescent="0.3">
      <c r="A78" s="625"/>
      <c r="B78" s="627" t="s">
        <v>189</v>
      </c>
      <c r="C78" s="628"/>
      <c r="D78" s="421"/>
      <c r="E78" s="421"/>
      <c r="F78" s="421"/>
      <c r="G78" s="421"/>
      <c r="H78" s="421"/>
      <c r="I78" s="421"/>
      <c r="J78" s="421"/>
      <c r="K78" s="421"/>
      <c r="L78" s="421"/>
      <c r="M78" s="421"/>
      <c r="N78" s="421"/>
      <c r="O78" s="421"/>
      <c r="P78" s="421"/>
      <c r="Q78" s="421"/>
      <c r="R78" s="421"/>
      <c r="S78" s="421"/>
      <c r="T78" s="421"/>
      <c r="U78" s="421"/>
      <c r="V78" s="421"/>
      <c r="W78" s="421"/>
      <c r="Z78" s="331" t="s">
        <v>206</v>
      </c>
      <c r="AA78" s="331" t="s">
        <v>207</v>
      </c>
    </row>
    <row r="79" spans="1:28" x14ac:dyDescent="0.3">
      <c r="A79" s="625"/>
      <c r="B79" s="635" t="s">
        <v>100</v>
      </c>
      <c r="C79" s="636"/>
      <c r="D79" s="422"/>
      <c r="E79" s="422"/>
      <c r="F79" s="422"/>
      <c r="G79" s="422"/>
      <c r="H79" s="422"/>
      <c r="I79" s="422"/>
      <c r="J79" s="422"/>
      <c r="K79" s="422"/>
      <c r="L79" s="422"/>
      <c r="M79" s="422"/>
      <c r="N79" s="422"/>
      <c r="O79" s="422"/>
      <c r="P79" s="422"/>
      <c r="Q79" s="422"/>
      <c r="R79" s="422"/>
      <c r="S79" s="422"/>
      <c r="T79" s="422"/>
      <c r="U79" s="422"/>
      <c r="V79" s="422"/>
      <c r="W79" s="422"/>
      <c r="Z79" s="402"/>
      <c r="AA79" s="402"/>
      <c r="AB79" s="423"/>
    </row>
    <row r="80" spans="1:28" x14ac:dyDescent="0.3">
      <c r="A80" s="625"/>
      <c r="B80" s="637" t="s">
        <v>190</v>
      </c>
      <c r="C80" s="638"/>
      <c r="D80" s="424" t="str">
        <f>IFERROR(D20/C19,"")</f>
        <v/>
      </c>
      <c r="E80" s="424" t="str">
        <f t="shared" ref="E80:W86" si="49">IFERROR(E20/D19,"")</f>
        <v/>
      </c>
      <c r="F80" s="424" t="str">
        <f t="shared" si="49"/>
        <v/>
      </c>
      <c r="G80" s="424" t="str">
        <f t="shared" si="49"/>
        <v/>
      </c>
      <c r="H80" s="424">
        <f t="shared" si="49"/>
        <v>2.843250752489002E-2</v>
      </c>
      <c r="I80" s="424">
        <f t="shared" si="49"/>
        <v>7.3266032755070461E-3</v>
      </c>
      <c r="J80" s="424">
        <f t="shared" si="49"/>
        <v>6.0722754414758674E-3</v>
      </c>
      <c r="K80" s="424">
        <f t="shared" si="49"/>
        <v>9.9763736382821777E-4</v>
      </c>
      <c r="L80" s="424">
        <f t="shared" si="49"/>
        <v>1.8746032105909616E-3</v>
      </c>
      <c r="M80" s="424">
        <f t="shared" si="49"/>
        <v>1.4888935920972974E-3</v>
      </c>
      <c r="N80" s="424">
        <f t="shared" si="49"/>
        <v>7.0543692057227743E-3</v>
      </c>
      <c r="O80" s="424">
        <f t="shared" si="49"/>
        <v>0</v>
      </c>
      <c r="P80" s="424">
        <f t="shared" si="49"/>
        <v>1.6515504602450035E-3</v>
      </c>
      <c r="Q80" s="424">
        <f t="shared" si="49"/>
        <v>1.5144107533895134E-3</v>
      </c>
      <c r="R80" s="424">
        <f t="shared" si="49"/>
        <v>9.9330979339151844E-4</v>
      </c>
      <c r="S80" s="424">
        <f t="shared" si="49"/>
        <v>1.8374882992630867E-5</v>
      </c>
      <c r="T80" s="424">
        <f t="shared" si="49"/>
        <v>8.4805110673690301E-3</v>
      </c>
      <c r="U80" s="424">
        <f t="shared" si="49"/>
        <v>9.2876543839175191E-6</v>
      </c>
      <c r="V80" s="424">
        <f t="shared" si="49"/>
        <v>0</v>
      </c>
      <c r="W80" s="424">
        <f t="shared" si="49"/>
        <v>5.0350369623273546E-3</v>
      </c>
      <c r="Z80" s="402">
        <f>AVERAGE(H80:W80)</f>
        <v>4.434335699263197E-3</v>
      </c>
      <c r="AA80" s="402">
        <f>AVERAGE(H80:N80)</f>
        <v>7.6066985163017412E-3</v>
      </c>
      <c r="AB80" s="423"/>
    </row>
    <row r="81" spans="1:28" x14ac:dyDescent="0.3">
      <c r="A81" s="625"/>
      <c r="B81" s="637" t="s">
        <v>191</v>
      </c>
      <c r="C81" s="638"/>
      <c r="D81" s="424" t="str">
        <f t="shared" ref="D81:S86" si="50">IFERROR(D21/C20,"")</f>
        <v/>
      </c>
      <c r="E81" s="424" t="str">
        <f t="shared" si="50"/>
        <v/>
      </c>
      <c r="F81" s="424" t="str">
        <f t="shared" si="50"/>
        <v/>
      </c>
      <c r="G81" s="424" t="str">
        <f t="shared" si="50"/>
        <v/>
      </c>
      <c r="H81" s="424" t="str">
        <f t="shared" si="50"/>
        <v/>
      </c>
      <c r="I81" s="424">
        <f t="shared" si="50"/>
        <v>0</v>
      </c>
      <c r="J81" s="424">
        <f t="shared" si="50"/>
        <v>0.69480983346186487</v>
      </c>
      <c r="K81" s="424">
        <f t="shared" si="50"/>
        <v>0.63817954844016966</v>
      </c>
      <c r="L81" s="424">
        <f t="shared" si="50"/>
        <v>0.47501637554585152</v>
      </c>
      <c r="M81" s="424">
        <f t="shared" si="50"/>
        <v>1</v>
      </c>
      <c r="N81" s="424">
        <f t="shared" si="50"/>
        <v>1</v>
      </c>
      <c r="O81" s="424">
        <f t="shared" si="50"/>
        <v>0.57527065782901265</v>
      </c>
      <c r="P81" s="424" t="str">
        <f t="shared" si="50"/>
        <v/>
      </c>
      <c r="Q81" s="424">
        <f t="shared" si="50"/>
        <v>0.85163204747774479</v>
      </c>
      <c r="R81" s="424">
        <f t="shared" si="50"/>
        <v>0.9287876071842095</v>
      </c>
      <c r="S81" s="424">
        <f t="shared" si="50"/>
        <v>0.95567519066846118</v>
      </c>
      <c r="T81" s="424">
        <f t="shared" si="49"/>
        <v>1</v>
      </c>
      <c r="U81" s="424">
        <f t="shared" si="49"/>
        <v>0.72813563621757604</v>
      </c>
      <c r="V81" s="424">
        <f t="shared" si="49"/>
        <v>1</v>
      </c>
      <c r="W81" s="424" t="str">
        <f t="shared" si="49"/>
        <v/>
      </c>
      <c r="Z81" s="402">
        <f t="shared" ref="Z81:Z85" si="51">AVERAGE(H81:W81)</f>
        <v>0.75750053052499144</v>
      </c>
      <c r="AA81" s="402">
        <f t="shared" ref="AA81:AA85" si="52">AVERAGE(H81:N81)</f>
        <v>0.63466762624131434</v>
      </c>
      <c r="AB81" s="423"/>
    </row>
    <row r="82" spans="1:28" x14ac:dyDescent="0.3">
      <c r="A82" s="625"/>
      <c r="B82" s="637" t="s">
        <v>192</v>
      </c>
      <c r="C82" s="638"/>
      <c r="D82" s="424" t="str">
        <f t="shared" si="50"/>
        <v/>
      </c>
      <c r="E82" s="424" t="str">
        <f t="shared" si="49"/>
        <v/>
      </c>
      <c r="F82" s="424" t="str">
        <f t="shared" si="49"/>
        <v/>
      </c>
      <c r="G82" s="424" t="str">
        <f t="shared" si="49"/>
        <v/>
      </c>
      <c r="H82" s="424" t="str">
        <f t="shared" si="49"/>
        <v/>
      </c>
      <c r="I82" s="424" t="str">
        <f t="shared" si="49"/>
        <v/>
      </c>
      <c r="J82" s="424" t="str">
        <f t="shared" si="49"/>
        <v/>
      </c>
      <c r="K82" s="424">
        <f t="shared" si="49"/>
        <v>0.87146829746206333</v>
      </c>
      <c r="L82" s="424">
        <f t="shared" si="49"/>
        <v>0.71827212903071846</v>
      </c>
      <c r="M82" s="424">
        <f t="shared" si="49"/>
        <v>1</v>
      </c>
      <c r="N82" s="424">
        <f t="shared" si="49"/>
        <v>1</v>
      </c>
      <c r="O82" s="424">
        <f t="shared" si="49"/>
        <v>0</v>
      </c>
      <c r="P82" s="424">
        <f t="shared" si="49"/>
        <v>0</v>
      </c>
      <c r="Q82" s="424" t="str">
        <f t="shared" si="49"/>
        <v/>
      </c>
      <c r="R82" s="424">
        <f t="shared" si="49"/>
        <v>0.90243902439024393</v>
      </c>
      <c r="S82" s="424">
        <f t="shared" si="49"/>
        <v>0.55666763242947537</v>
      </c>
      <c r="T82" s="424">
        <f t="shared" si="49"/>
        <v>0.71129471411135103</v>
      </c>
      <c r="U82" s="424">
        <f t="shared" si="49"/>
        <v>1</v>
      </c>
      <c r="V82" s="424">
        <f t="shared" si="49"/>
        <v>0.92944865429840606</v>
      </c>
      <c r="W82" s="424">
        <f t="shared" si="49"/>
        <v>1</v>
      </c>
      <c r="Z82" s="402">
        <f t="shared" si="51"/>
        <v>0.72413253764352159</v>
      </c>
      <c r="AA82" s="402">
        <f t="shared" si="52"/>
        <v>0.89743510662319548</v>
      </c>
      <c r="AB82" s="423"/>
    </row>
    <row r="83" spans="1:28" x14ac:dyDescent="0.3">
      <c r="A83" s="625"/>
      <c r="B83" s="425" t="s">
        <v>193</v>
      </c>
      <c r="C83" s="426"/>
      <c r="D83" s="424" t="str">
        <f t="shared" si="50"/>
        <v/>
      </c>
      <c r="E83" s="424" t="str">
        <f t="shared" si="49"/>
        <v/>
      </c>
      <c r="F83" s="424" t="str">
        <f t="shared" si="49"/>
        <v/>
      </c>
      <c r="G83" s="424" t="str">
        <f t="shared" si="49"/>
        <v/>
      </c>
      <c r="H83" s="424" t="str">
        <f t="shared" si="49"/>
        <v/>
      </c>
      <c r="I83" s="424" t="str">
        <f t="shared" si="49"/>
        <v/>
      </c>
      <c r="J83" s="424" t="str">
        <f t="shared" si="49"/>
        <v/>
      </c>
      <c r="K83" s="424" t="str">
        <f t="shared" si="49"/>
        <v/>
      </c>
      <c r="L83" s="424">
        <f t="shared" si="49"/>
        <v>0.9742776847505078</v>
      </c>
      <c r="M83" s="424">
        <f t="shared" si="49"/>
        <v>0.63776847833549888</v>
      </c>
      <c r="N83" s="424">
        <f t="shared" si="49"/>
        <v>0.8621054204060995</v>
      </c>
      <c r="O83" s="424">
        <f t="shared" si="49"/>
        <v>0.9659308008213553</v>
      </c>
      <c r="P83" s="424" t="str">
        <f t="shared" si="49"/>
        <v/>
      </c>
      <c r="Q83" s="424" t="str">
        <f t="shared" si="49"/>
        <v/>
      </c>
      <c r="R83" s="424" t="str">
        <f t="shared" si="49"/>
        <v/>
      </c>
      <c r="S83" s="424">
        <f t="shared" si="49"/>
        <v>0.96138996138996136</v>
      </c>
      <c r="T83" s="424">
        <f t="shared" si="49"/>
        <v>0.86226535406916271</v>
      </c>
      <c r="U83" s="424">
        <f t="shared" si="49"/>
        <v>0.46673706441393875</v>
      </c>
      <c r="V83" s="424">
        <f t="shared" si="49"/>
        <v>1</v>
      </c>
      <c r="W83" s="424">
        <f t="shared" si="49"/>
        <v>0.91550307687501953</v>
      </c>
      <c r="Z83" s="402">
        <f t="shared" si="51"/>
        <v>0.8495530934512826</v>
      </c>
      <c r="AA83" s="402">
        <f t="shared" si="52"/>
        <v>0.82471719449736869</v>
      </c>
      <c r="AB83" s="423"/>
    </row>
    <row r="84" spans="1:28" x14ac:dyDescent="0.3">
      <c r="A84" s="625"/>
      <c r="B84" s="425" t="s">
        <v>208</v>
      </c>
      <c r="C84" s="426"/>
      <c r="D84" s="424" t="str">
        <f t="shared" si="50"/>
        <v/>
      </c>
      <c r="E84" s="424" t="str">
        <f t="shared" si="49"/>
        <v/>
      </c>
      <c r="F84" s="424" t="str">
        <f t="shared" si="49"/>
        <v/>
      </c>
      <c r="G84" s="424" t="str">
        <f t="shared" si="49"/>
        <v/>
      </c>
      <c r="H84" s="424" t="str">
        <f t="shared" si="49"/>
        <v/>
      </c>
      <c r="I84" s="424" t="str">
        <f t="shared" si="49"/>
        <v/>
      </c>
      <c r="J84" s="424" t="str">
        <f t="shared" si="49"/>
        <v/>
      </c>
      <c r="K84" s="424" t="str">
        <f t="shared" si="49"/>
        <v/>
      </c>
      <c r="L84" s="424" t="str">
        <f t="shared" si="49"/>
        <v/>
      </c>
      <c r="M84" s="424">
        <f t="shared" si="49"/>
        <v>1</v>
      </c>
      <c r="N84" s="424">
        <f t="shared" si="49"/>
        <v>0.74162047132215869</v>
      </c>
      <c r="O84" s="424">
        <f t="shared" si="49"/>
        <v>1</v>
      </c>
      <c r="P84" s="424">
        <f t="shared" si="49"/>
        <v>0.88819988933018401</v>
      </c>
      <c r="Q84" s="424" t="str">
        <f t="shared" si="49"/>
        <v/>
      </c>
      <c r="R84" s="424" t="str">
        <f t="shared" si="49"/>
        <v/>
      </c>
      <c r="S84" s="424" t="str">
        <f t="shared" si="49"/>
        <v/>
      </c>
      <c r="T84" s="424">
        <f t="shared" si="49"/>
        <v>0.97991967871485941</v>
      </c>
      <c r="U84" s="424">
        <f t="shared" si="49"/>
        <v>0.88712815792778832</v>
      </c>
      <c r="V84" s="424">
        <f t="shared" si="49"/>
        <v>0.97341628959276016</v>
      </c>
      <c r="W84" s="424">
        <f t="shared" si="49"/>
        <v>1</v>
      </c>
      <c r="Z84" s="402">
        <f t="shared" si="51"/>
        <v>0.93378556086096876</v>
      </c>
      <c r="AA84" s="402">
        <f t="shared" si="52"/>
        <v>0.8708102356610794</v>
      </c>
      <c r="AB84" s="423"/>
    </row>
    <row r="85" spans="1:28" x14ac:dyDescent="0.3">
      <c r="A85" s="625"/>
      <c r="B85" s="425" t="s">
        <v>209</v>
      </c>
      <c r="C85" s="426"/>
      <c r="D85" s="424" t="str">
        <f t="shared" si="50"/>
        <v/>
      </c>
      <c r="E85" s="424" t="str">
        <f t="shared" si="49"/>
        <v/>
      </c>
      <c r="F85" s="424" t="str">
        <f t="shared" si="49"/>
        <v/>
      </c>
      <c r="G85" s="424" t="str">
        <f t="shared" si="49"/>
        <v/>
      </c>
      <c r="H85" s="424" t="str">
        <f t="shared" si="49"/>
        <v/>
      </c>
      <c r="I85" s="424" t="str">
        <f t="shared" si="49"/>
        <v/>
      </c>
      <c r="J85" s="424" t="str">
        <f t="shared" si="49"/>
        <v/>
      </c>
      <c r="K85" s="424" t="str">
        <f t="shared" si="49"/>
        <v/>
      </c>
      <c r="L85" s="424" t="str">
        <f t="shared" si="49"/>
        <v/>
      </c>
      <c r="M85" s="424" t="str">
        <f t="shared" si="49"/>
        <v/>
      </c>
      <c r="N85" s="424">
        <f t="shared" si="49"/>
        <v>0.95580612500591089</v>
      </c>
      <c r="O85" s="424">
        <f t="shared" si="49"/>
        <v>0.8661284444342614</v>
      </c>
      <c r="P85" s="424">
        <f t="shared" si="49"/>
        <v>0.8344107806939205</v>
      </c>
      <c r="Q85" s="424">
        <f t="shared" si="49"/>
        <v>0.92438859537892926</v>
      </c>
      <c r="R85" s="424" t="str">
        <f t="shared" si="49"/>
        <v/>
      </c>
      <c r="S85" s="424" t="str">
        <f t="shared" si="49"/>
        <v/>
      </c>
      <c r="T85" s="424" t="str">
        <f t="shared" si="49"/>
        <v/>
      </c>
      <c r="U85" s="424">
        <f t="shared" si="49"/>
        <v>1</v>
      </c>
      <c r="V85" s="424">
        <f t="shared" si="49"/>
        <v>0.77239662628249761</v>
      </c>
      <c r="W85" s="424">
        <f t="shared" si="49"/>
        <v>0.77222545031958167</v>
      </c>
      <c r="Z85" s="402">
        <f t="shared" si="51"/>
        <v>0.87505086030215729</v>
      </c>
      <c r="AA85" s="402">
        <f t="shared" si="52"/>
        <v>0.95580612500591089</v>
      </c>
      <c r="AB85" s="423"/>
    </row>
    <row r="86" spans="1:28" x14ac:dyDescent="0.3">
      <c r="A86" s="625"/>
      <c r="B86" s="425" t="s">
        <v>210</v>
      </c>
      <c r="C86" s="427"/>
      <c r="D86" s="424" t="str">
        <f t="shared" si="50"/>
        <v/>
      </c>
      <c r="E86" s="424" t="str">
        <f t="shared" si="49"/>
        <v/>
      </c>
      <c r="F86" s="424" t="str">
        <f t="shared" si="49"/>
        <v/>
      </c>
      <c r="G86" s="424" t="str">
        <f t="shared" si="49"/>
        <v/>
      </c>
      <c r="H86" s="424" t="str">
        <f t="shared" si="49"/>
        <v/>
      </c>
      <c r="I86" s="424" t="str">
        <f t="shared" si="49"/>
        <v/>
      </c>
      <c r="J86" s="424" t="str">
        <f t="shared" si="49"/>
        <v/>
      </c>
      <c r="K86" s="424" t="str">
        <f t="shared" si="49"/>
        <v/>
      </c>
      <c r="L86" s="424" t="str">
        <f t="shared" si="49"/>
        <v/>
      </c>
      <c r="M86" s="424" t="str">
        <f t="shared" si="49"/>
        <v/>
      </c>
      <c r="N86" s="424" t="str">
        <f t="shared" si="49"/>
        <v/>
      </c>
      <c r="O86" s="424">
        <f t="shared" si="49"/>
        <v>0.52745500303547732</v>
      </c>
      <c r="P86" s="424">
        <f t="shared" si="49"/>
        <v>1.4177411223083536</v>
      </c>
      <c r="Q86" s="424">
        <f t="shared" si="49"/>
        <v>5.5890405750798724</v>
      </c>
      <c r="R86" s="424">
        <f t="shared" si="49"/>
        <v>5.048879292867964</v>
      </c>
      <c r="S86" s="424" t="str">
        <f t="shared" si="49"/>
        <v/>
      </c>
      <c r="T86" s="424" t="str">
        <f t="shared" si="49"/>
        <v/>
      </c>
      <c r="U86" s="424" t="str">
        <f t="shared" si="49"/>
        <v/>
      </c>
      <c r="V86" s="424">
        <f t="shared" si="49"/>
        <v>3.9928368852459015</v>
      </c>
      <c r="W86" s="424">
        <f t="shared" si="49"/>
        <v>7.2197853004098116</v>
      </c>
      <c r="Z86" s="402"/>
      <c r="AA86" s="402"/>
      <c r="AB86" s="423"/>
    </row>
    <row r="87" spans="1:28" x14ac:dyDescent="0.3">
      <c r="A87" s="625"/>
      <c r="B87" s="405" t="s">
        <v>194</v>
      </c>
      <c r="C87" s="406"/>
      <c r="D87" s="428"/>
      <c r="E87" s="428"/>
      <c r="F87" s="428"/>
      <c r="G87" s="428"/>
      <c r="H87" s="428"/>
      <c r="I87" s="428"/>
      <c r="J87" s="428"/>
      <c r="K87" s="428"/>
      <c r="L87" s="428"/>
      <c r="M87" s="428"/>
      <c r="N87" s="428"/>
      <c r="O87" s="428"/>
      <c r="P87" s="428"/>
      <c r="Q87" s="428"/>
      <c r="R87" s="428"/>
      <c r="S87" s="428"/>
      <c r="T87" s="428"/>
      <c r="U87" s="428"/>
      <c r="V87" s="428"/>
      <c r="W87" s="428"/>
      <c r="Z87" s="402"/>
      <c r="AA87" s="408"/>
    </row>
    <row r="88" spans="1:28" x14ac:dyDescent="0.3">
      <c r="A88" s="625"/>
      <c r="B88" s="631" t="s">
        <v>100</v>
      </c>
      <c r="C88" s="632"/>
      <c r="D88" s="429">
        <f>IFERROR(D19/D18,"")</f>
        <v>0</v>
      </c>
      <c r="E88" s="429">
        <f t="shared" ref="E88:W88" si="53">IFERROR(E19/E18,"")</f>
        <v>0</v>
      </c>
      <c r="F88" s="429">
        <f t="shared" si="53"/>
        <v>0</v>
      </c>
      <c r="G88" s="429">
        <f t="shared" si="53"/>
        <v>8.8228672238740466E-2</v>
      </c>
      <c r="H88" s="429">
        <f t="shared" si="53"/>
        <v>0.68844989198726403</v>
      </c>
      <c r="I88" s="429">
        <f t="shared" si="53"/>
        <v>3.5480366444436013</v>
      </c>
      <c r="J88" s="429">
        <f t="shared" si="53"/>
        <v>2.017706432790078</v>
      </c>
      <c r="K88" s="429">
        <f t="shared" si="53"/>
        <v>7.2595368185620221E-2</v>
      </c>
      <c r="L88" s="429">
        <f t="shared" si="53"/>
        <v>5.2546836136061682E-2</v>
      </c>
      <c r="M88" s="429">
        <f t="shared" si="53"/>
        <v>6.2979416663864821E-3</v>
      </c>
      <c r="N88" s="429">
        <f t="shared" si="53"/>
        <v>4.8634086200317027E-2</v>
      </c>
      <c r="O88" s="429">
        <f t="shared" si="53"/>
        <v>2.1648607056373684E-2</v>
      </c>
      <c r="P88" s="429">
        <f t="shared" si="53"/>
        <v>3.4641636848828185E-2</v>
      </c>
      <c r="Q88" s="429">
        <f t="shared" si="53"/>
        <v>0.1293417520185767</v>
      </c>
      <c r="R88" s="429">
        <f t="shared" si="53"/>
        <v>0.50638654489594204</v>
      </c>
      <c r="S88" s="429">
        <f t="shared" si="53"/>
        <v>6.8419542356338292E-2</v>
      </c>
      <c r="T88" s="429">
        <f t="shared" si="53"/>
        <v>1.3159196911979913</v>
      </c>
      <c r="U88" s="429">
        <f t="shared" si="53"/>
        <v>0.34601090839380028</v>
      </c>
      <c r="V88" s="429">
        <f t="shared" si="53"/>
        <v>0.11216029627770671</v>
      </c>
      <c r="W88" s="429">
        <f t="shared" si="53"/>
        <v>0.79512250756698921</v>
      </c>
      <c r="Z88" s="402"/>
      <c r="AA88" s="402"/>
    </row>
    <row r="89" spans="1:28" x14ac:dyDescent="0.3">
      <c r="A89" s="625"/>
      <c r="B89" s="635" t="s">
        <v>195</v>
      </c>
      <c r="C89" s="636"/>
      <c r="D89" s="430">
        <f>IFERROR(SUM(D20:D26)/D18,"")</f>
        <v>0</v>
      </c>
      <c r="E89" s="430">
        <f t="shared" ref="E89:W89" si="54">IFERROR(SUM(E20:E26)/E18,"")</f>
        <v>0</v>
      </c>
      <c r="F89" s="430">
        <f t="shared" si="54"/>
        <v>0</v>
      </c>
      <c r="G89" s="430">
        <f t="shared" si="54"/>
        <v>0</v>
      </c>
      <c r="H89" s="430">
        <f t="shared" si="54"/>
        <v>3.2297266107646299E-3</v>
      </c>
      <c r="I89" s="430">
        <f t="shared" si="54"/>
        <v>7.1021229726890298E-3</v>
      </c>
      <c r="J89" s="430">
        <f t="shared" si="54"/>
        <v>1.5713061958684202E-2</v>
      </c>
      <c r="K89" s="430">
        <f t="shared" si="54"/>
        <v>1.6179746451162186E-3</v>
      </c>
      <c r="L89" s="430">
        <f t="shared" si="54"/>
        <v>1.0173557862386635E-3</v>
      </c>
      <c r="M89" s="430">
        <f t="shared" si="54"/>
        <v>5.1331894478896572E-4</v>
      </c>
      <c r="N89" s="430">
        <f t="shared" si="54"/>
        <v>2.098175729821972E-4</v>
      </c>
      <c r="O89" s="430">
        <f t="shared" si="54"/>
        <v>1.4393771655681875E-4</v>
      </c>
      <c r="P89" s="430">
        <f t="shared" si="54"/>
        <v>1.6187088562548079E-4</v>
      </c>
      <c r="Q89" s="430">
        <f t="shared" si="54"/>
        <v>2.1135333978070204E-4</v>
      </c>
      <c r="R89" s="430">
        <f t="shared" si="54"/>
        <v>3.289721583103521E-4</v>
      </c>
      <c r="S89" s="430">
        <f t="shared" si="54"/>
        <v>3.1374982524777088E-4</v>
      </c>
      <c r="T89" s="430">
        <f t="shared" si="54"/>
        <v>1.0002291874740548E-3</v>
      </c>
      <c r="U89" s="430">
        <f t="shared" si="54"/>
        <v>9.6118724484638228E-4</v>
      </c>
      <c r="V89" s="430">
        <f t="shared" si="54"/>
        <v>6.8710074931790856E-4</v>
      </c>
      <c r="W89" s="430">
        <f t="shared" si="54"/>
        <v>9.5187901046670203E-4</v>
      </c>
      <c r="Z89" s="402"/>
      <c r="AA89" s="402"/>
    </row>
    <row r="90" spans="1:28" x14ac:dyDescent="0.3">
      <c r="A90" s="625"/>
      <c r="B90" s="637" t="s">
        <v>196</v>
      </c>
      <c r="C90" s="638"/>
      <c r="D90" s="430">
        <f>IFERROR(SUM(D21:D26)/D18,"")</f>
        <v>0</v>
      </c>
      <c r="E90" s="430">
        <f t="shared" ref="E90:W90" si="55">IFERROR(SUM(E21:E26)/E18,"")</f>
        <v>0</v>
      </c>
      <c r="F90" s="430">
        <f t="shared" si="55"/>
        <v>0</v>
      </c>
      <c r="G90" s="430">
        <f t="shared" si="55"/>
        <v>0</v>
      </c>
      <c r="H90" s="430">
        <f t="shared" si="55"/>
        <v>0</v>
      </c>
      <c r="I90" s="430">
        <f t="shared" si="55"/>
        <v>0</v>
      </c>
      <c r="J90" s="430">
        <f t="shared" si="55"/>
        <v>2.9282542630952903E-3</v>
      </c>
      <c r="K90" s="430">
        <f t="shared" si="55"/>
        <v>1.3620071719915498E-3</v>
      </c>
      <c r="L90" s="430">
        <f t="shared" si="55"/>
        <v>9.1239367223017642E-4</v>
      </c>
      <c r="M90" s="430">
        <f t="shared" si="55"/>
        <v>4.6806235699273322E-4</v>
      </c>
      <c r="N90" s="430">
        <f t="shared" si="55"/>
        <v>1.9076416664952475E-4</v>
      </c>
      <c r="O90" s="430">
        <f t="shared" si="55"/>
        <v>1.4393771655681875E-4</v>
      </c>
      <c r="P90" s="430">
        <f t="shared" si="55"/>
        <v>1.2493366012811702E-4</v>
      </c>
      <c r="Q90" s="430">
        <f t="shared" si="55"/>
        <v>1.5617722663818117E-4</v>
      </c>
      <c r="R90" s="430">
        <f t="shared" si="55"/>
        <v>1.9770390048031493E-4</v>
      </c>
      <c r="S90" s="430">
        <f t="shared" si="55"/>
        <v>3.0405944996332747E-4</v>
      </c>
      <c r="T90" s="430">
        <f t="shared" si="55"/>
        <v>3.1198138963605077E-4</v>
      </c>
      <c r="U90" s="430">
        <f t="shared" si="55"/>
        <v>9.456437867069585E-4</v>
      </c>
      <c r="V90" s="430">
        <f t="shared" si="55"/>
        <v>6.8710074931790856E-4</v>
      </c>
      <c r="W90" s="430">
        <f t="shared" si="55"/>
        <v>5.0127330581413649E-4</v>
      </c>
      <c r="Z90" s="402"/>
      <c r="AA90" s="402"/>
    </row>
    <row r="91" spans="1:28" x14ac:dyDescent="0.3">
      <c r="A91" s="625"/>
      <c r="B91" s="637" t="s">
        <v>211</v>
      </c>
      <c r="C91" s="638"/>
      <c r="D91" s="430">
        <f>IFERROR(SUM(D22:D26)/D18,"")</f>
        <v>0</v>
      </c>
      <c r="E91" s="430">
        <f t="shared" ref="E91:W91" si="56">IFERROR(SUM(E22:E26)/E18,"")</f>
        <v>0</v>
      </c>
      <c r="F91" s="430">
        <f t="shared" si="56"/>
        <v>0</v>
      </c>
      <c r="G91" s="430">
        <f t="shared" si="56"/>
        <v>0</v>
      </c>
      <c r="H91" s="430">
        <f t="shared" si="56"/>
        <v>0</v>
      </c>
      <c r="I91" s="430">
        <f t="shared" si="56"/>
        <v>0</v>
      </c>
      <c r="J91" s="430">
        <f t="shared" si="56"/>
        <v>0</v>
      </c>
      <c r="K91" s="430">
        <f t="shared" si="56"/>
        <v>3.24499829928834E-4</v>
      </c>
      <c r="L91" s="430">
        <f t="shared" si="56"/>
        <v>8.1861422615871248E-4</v>
      </c>
      <c r="M91" s="430">
        <f t="shared" si="56"/>
        <v>4.0734621854434413E-4</v>
      </c>
      <c r="N91" s="430">
        <f t="shared" si="56"/>
        <v>1.7135541440103005E-4</v>
      </c>
      <c r="O91" s="430">
        <f t="shared" si="56"/>
        <v>1.3306305450301828E-4</v>
      </c>
      <c r="P91" s="430">
        <f t="shared" si="56"/>
        <v>1.2493366012811702E-4</v>
      </c>
      <c r="Q91" s="430">
        <f t="shared" si="56"/>
        <v>1.2309267292290733E-4</v>
      </c>
      <c r="R91" s="430">
        <f t="shared" si="56"/>
        <v>1.453434010778284E-4</v>
      </c>
      <c r="S91" s="430">
        <f t="shared" si="56"/>
        <v>1.7341111179293867E-4</v>
      </c>
      <c r="T91" s="430">
        <f t="shared" si="56"/>
        <v>3.0048707087630986E-4</v>
      </c>
      <c r="U91" s="430">
        <f t="shared" si="56"/>
        <v>3.0830649064008769E-4</v>
      </c>
      <c r="V91" s="430">
        <f t="shared" si="56"/>
        <v>6.7514861187624258E-4</v>
      </c>
      <c r="W91" s="430">
        <f t="shared" si="56"/>
        <v>5.0127330581413649E-4</v>
      </c>
      <c r="Z91" s="402"/>
      <c r="AA91" s="402"/>
    </row>
    <row r="92" spans="1:28" x14ac:dyDescent="0.3">
      <c r="A92" s="625"/>
      <c r="B92" s="637" t="s">
        <v>197</v>
      </c>
      <c r="C92" s="638"/>
      <c r="D92" s="430">
        <f>IFERROR(SUM(D22:D26)/D18,"")</f>
        <v>0</v>
      </c>
      <c r="E92" s="430">
        <f t="shared" ref="E92:W92" si="57">IFERROR(SUM(E22:E26)/E18,"")</f>
        <v>0</v>
      </c>
      <c r="F92" s="430">
        <f t="shared" si="57"/>
        <v>0</v>
      </c>
      <c r="G92" s="430">
        <f t="shared" si="57"/>
        <v>0</v>
      </c>
      <c r="H92" s="430">
        <f t="shared" si="57"/>
        <v>0</v>
      </c>
      <c r="I92" s="430">
        <f t="shared" si="57"/>
        <v>0</v>
      </c>
      <c r="J92" s="430">
        <f t="shared" si="57"/>
        <v>0</v>
      </c>
      <c r="K92" s="430">
        <f t="shared" si="57"/>
        <v>3.24499829928834E-4</v>
      </c>
      <c r="L92" s="430">
        <f t="shared" si="57"/>
        <v>8.1861422615871248E-4</v>
      </c>
      <c r="M92" s="430">
        <f t="shared" si="57"/>
        <v>4.0734621854434413E-4</v>
      </c>
      <c r="N92" s="430">
        <f t="shared" si="57"/>
        <v>1.7135541440103005E-4</v>
      </c>
      <c r="O92" s="430">
        <f t="shared" si="57"/>
        <v>1.3306305450301828E-4</v>
      </c>
      <c r="P92" s="430">
        <f t="shared" si="57"/>
        <v>1.2493366012811702E-4</v>
      </c>
      <c r="Q92" s="430">
        <f t="shared" si="57"/>
        <v>1.2309267292290733E-4</v>
      </c>
      <c r="R92" s="430">
        <f t="shared" si="57"/>
        <v>1.453434010778284E-4</v>
      </c>
      <c r="S92" s="430">
        <f t="shared" si="57"/>
        <v>1.7341111179293867E-4</v>
      </c>
      <c r="T92" s="430">
        <f t="shared" si="57"/>
        <v>3.0048707087630986E-4</v>
      </c>
      <c r="U92" s="430">
        <f t="shared" si="57"/>
        <v>3.0830649064008769E-4</v>
      </c>
      <c r="V92" s="430">
        <f t="shared" si="57"/>
        <v>6.7514861187624258E-4</v>
      </c>
      <c r="W92" s="430">
        <f t="shared" si="57"/>
        <v>5.0127330581413649E-4</v>
      </c>
      <c r="Z92" s="402"/>
      <c r="AA92" s="402"/>
    </row>
    <row r="93" spans="1:28" x14ac:dyDescent="0.3">
      <c r="A93" s="625"/>
      <c r="B93" s="637" t="s">
        <v>198</v>
      </c>
      <c r="C93" s="638"/>
      <c r="D93" s="430">
        <f>IFERROR(SUM(D24:D26)/D18,"")</f>
        <v>0</v>
      </c>
      <c r="E93" s="430">
        <f t="shared" ref="E93:W93" si="58">IFERROR(SUM(E24:E26)/E18,"")</f>
        <v>0</v>
      </c>
      <c r="F93" s="430">
        <f t="shared" si="58"/>
        <v>0</v>
      </c>
      <c r="G93" s="430">
        <f t="shared" si="58"/>
        <v>0</v>
      </c>
      <c r="H93" s="430">
        <f t="shared" si="58"/>
        <v>0</v>
      </c>
      <c r="I93" s="430">
        <f t="shared" si="58"/>
        <v>0</v>
      </c>
      <c r="J93" s="430">
        <f t="shared" si="58"/>
        <v>0</v>
      </c>
      <c r="K93" s="430">
        <f t="shared" si="58"/>
        <v>0</v>
      </c>
      <c r="L93" s="430">
        <f t="shared" si="58"/>
        <v>0</v>
      </c>
      <c r="M93" s="430">
        <f t="shared" si="58"/>
        <v>1.4105325183476548E-4</v>
      </c>
      <c r="N93" s="430">
        <f t="shared" si="58"/>
        <v>1.2526016248722556E-4</v>
      </c>
      <c r="O93" s="430">
        <f t="shared" si="58"/>
        <v>1.0810924333324856E-4</v>
      </c>
      <c r="P93" s="430">
        <f t="shared" si="58"/>
        <v>1.2493366012811702E-4</v>
      </c>
      <c r="Q93" s="430">
        <f t="shared" si="58"/>
        <v>1.2309267292290733E-4</v>
      </c>
      <c r="R93" s="430">
        <f t="shared" si="58"/>
        <v>1.1483781222365197E-4</v>
      </c>
      <c r="S93" s="430">
        <f t="shared" si="58"/>
        <v>1.1251279469240397E-4</v>
      </c>
      <c r="T93" s="430">
        <f t="shared" si="58"/>
        <v>1.5921118468794604E-4</v>
      </c>
      <c r="U93" s="430">
        <f t="shared" si="58"/>
        <v>2.2825768122205543E-4</v>
      </c>
      <c r="V93" s="430">
        <f t="shared" si="58"/>
        <v>2.084034160441381E-4</v>
      </c>
      <c r="W93" s="430">
        <f t="shared" si="58"/>
        <v>1.589947634628604E-4</v>
      </c>
      <c r="Z93" s="402"/>
      <c r="AA93" s="402"/>
    </row>
    <row r="94" spans="1:28" ht="14.5" thickBot="1" x14ac:dyDescent="0.35">
      <c r="A94" s="626"/>
      <c r="B94" s="639" t="s">
        <v>212</v>
      </c>
      <c r="C94" s="640"/>
      <c r="D94" s="431">
        <f>IFERROR(D26/D18,"")</f>
        <v>0</v>
      </c>
      <c r="E94" s="431">
        <f t="shared" ref="E94:W94" si="59">IFERROR(E26/E18,"")</f>
        <v>0</v>
      </c>
      <c r="F94" s="431">
        <f t="shared" si="59"/>
        <v>0</v>
      </c>
      <c r="G94" s="431">
        <f t="shared" si="59"/>
        <v>0</v>
      </c>
      <c r="H94" s="431">
        <f t="shared" si="59"/>
        <v>0</v>
      </c>
      <c r="I94" s="431">
        <f t="shared" si="59"/>
        <v>0</v>
      </c>
      <c r="J94" s="431">
        <f t="shared" si="59"/>
        <v>0</v>
      </c>
      <c r="K94" s="431">
        <f t="shared" si="59"/>
        <v>0</v>
      </c>
      <c r="L94" s="431">
        <f t="shared" si="59"/>
        <v>0</v>
      </c>
      <c r="M94" s="431">
        <f t="shared" si="59"/>
        <v>0</v>
      </c>
      <c r="N94" s="431">
        <f t="shared" si="59"/>
        <v>0</v>
      </c>
      <c r="O94" s="431">
        <f t="shared" si="59"/>
        <v>3.0256943562212863E-5</v>
      </c>
      <c r="P94" s="431">
        <f t="shared" si="59"/>
        <v>8.4882714206133787E-5</v>
      </c>
      <c r="Q94" s="431">
        <f t="shared" si="59"/>
        <v>1.008312122082274E-4</v>
      </c>
      <c r="R94" s="431">
        <f t="shared" si="59"/>
        <v>1.1483781222365197E-4</v>
      </c>
      <c r="S94" s="431">
        <f t="shared" si="59"/>
        <v>1.1251279469240397E-4</v>
      </c>
      <c r="T94" s="431">
        <f t="shared" si="59"/>
        <v>1.2370974446798685E-4</v>
      </c>
      <c r="U94" s="431">
        <f t="shared" si="59"/>
        <v>1.4807960204383033E-4</v>
      </c>
      <c r="V94" s="431">
        <f t="shared" si="59"/>
        <v>1.386237642529216E-4</v>
      </c>
      <c r="W94" s="431">
        <f t="shared" si="59"/>
        <v>1.1984867038779073E-4</v>
      </c>
      <c r="Z94" s="402"/>
      <c r="AA94" s="402"/>
    </row>
    <row r="95" spans="1:28" x14ac:dyDescent="0.3">
      <c r="S95"/>
      <c r="T95"/>
    </row>
    <row r="97" spans="2:3" x14ac:dyDescent="0.3">
      <c r="B97"/>
      <c r="C97"/>
    </row>
    <row r="98" spans="2:3" x14ac:dyDescent="0.3">
      <c r="B98"/>
      <c r="C98"/>
    </row>
    <row r="99" spans="2:3" x14ac:dyDescent="0.3">
      <c r="B99"/>
      <c r="C99"/>
    </row>
    <row r="100" spans="2:3" x14ac:dyDescent="0.3">
      <c r="B100"/>
      <c r="C100"/>
    </row>
    <row r="101" spans="2:3" x14ac:dyDescent="0.3">
      <c r="B101"/>
      <c r="C101"/>
    </row>
    <row r="102" spans="2:3" x14ac:dyDescent="0.3">
      <c r="B102"/>
      <c r="C102"/>
    </row>
    <row r="103" spans="2:3" x14ac:dyDescent="0.3">
      <c r="B103"/>
      <c r="C103"/>
    </row>
    <row r="104" spans="2:3" x14ac:dyDescent="0.3">
      <c r="B104"/>
      <c r="C104"/>
    </row>
    <row r="105" spans="2:3" x14ac:dyDescent="0.3">
      <c r="B105"/>
      <c r="C105"/>
    </row>
    <row r="106" spans="2:3" x14ac:dyDescent="0.3">
      <c r="B106"/>
      <c r="C106"/>
    </row>
    <row r="107" spans="2:3" x14ac:dyDescent="0.3">
      <c r="B107"/>
      <c r="C107"/>
    </row>
  </sheetData>
  <mergeCells count="25">
    <mergeCell ref="B90:C90"/>
    <mergeCell ref="B91:C91"/>
    <mergeCell ref="B92:C92"/>
    <mergeCell ref="B93:C93"/>
    <mergeCell ref="B94:C94"/>
    <mergeCell ref="B63:C63"/>
    <mergeCell ref="B64:C64"/>
    <mergeCell ref="A65:A94"/>
    <mergeCell ref="B78:C78"/>
    <mergeCell ref="B79:C79"/>
    <mergeCell ref="B80:C80"/>
    <mergeCell ref="B81:C81"/>
    <mergeCell ref="B82:C82"/>
    <mergeCell ref="B88:C88"/>
    <mergeCell ref="B89:C89"/>
    <mergeCell ref="A39:C39"/>
    <mergeCell ref="A40:A64"/>
    <mergeCell ref="B53:C53"/>
    <mergeCell ref="B54:C54"/>
    <mergeCell ref="B55:C55"/>
    <mergeCell ref="B56:C56"/>
    <mergeCell ref="B57:C57"/>
    <mergeCell ref="B60:C60"/>
    <mergeCell ref="B61:C61"/>
    <mergeCell ref="B62:C6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3"/>
  <sheetViews>
    <sheetView showGridLines="0" zoomScale="50" zoomScaleNormal="50" workbookViewId="0">
      <selection activeCell="H5" sqref="H5"/>
    </sheetView>
  </sheetViews>
  <sheetFormatPr defaultColWidth="9.08203125" defaultRowHeight="15" x14ac:dyDescent="0.3"/>
  <cols>
    <col min="1" max="1" width="37.83203125" style="432" bestFit="1" customWidth="1"/>
    <col min="2" max="2" width="9.83203125" style="432" bestFit="1" customWidth="1"/>
    <col min="3" max="3" width="16.25" style="432" customWidth="1"/>
    <col min="4" max="4" width="6.33203125" style="432" customWidth="1"/>
    <col min="5" max="5" width="23.83203125" style="432" bestFit="1" customWidth="1"/>
    <col min="6" max="6" width="10" style="432" customWidth="1"/>
    <col min="7" max="7" width="11.25" style="432" bestFit="1" customWidth="1"/>
    <col min="8" max="8" width="11" style="432" bestFit="1" customWidth="1"/>
    <col min="9" max="10" width="12.08203125" style="432" bestFit="1" customWidth="1"/>
    <col min="11" max="11" width="13.83203125" style="432" customWidth="1"/>
    <col min="12" max="12" width="10.75" style="432" bestFit="1" customWidth="1"/>
    <col min="13" max="13" width="10.33203125" style="432" customWidth="1"/>
    <col min="14" max="14" width="4.58203125" style="432" bestFit="1" customWidth="1"/>
    <col min="15" max="15" width="25.75" style="432" bestFit="1" customWidth="1"/>
    <col min="16" max="17" width="11.25" style="432" bestFit="1" customWidth="1"/>
    <col min="18" max="18" width="9.83203125" style="432" bestFit="1" customWidth="1"/>
    <col min="19" max="20" width="10.83203125" style="432" bestFit="1" customWidth="1"/>
    <col min="21" max="21" width="12.08203125" style="432" bestFit="1" customWidth="1"/>
    <col min="22" max="22" width="9.83203125" style="432" bestFit="1" customWidth="1"/>
    <col min="23" max="16384" width="9.08203125" style="432"/>
  </cols>
  <sheetData>
    <row r="1" spans="1:22" ht="15.5" thickBot="1" x14ac:dyDescent="0.35">
      <c r="D1" s="644" t="s">
        <v>213</v>
      </c>
      <c r="E1" s="645"/>
      <c r="F1" s="645"/>
      <c r="G1" s="645"/>
      <c r="H1" s="645"/>
      <c r="I1" s="645"/>
      <c r="J1" s="645"/>
      <c r="K1" s="646"/>
      <c r="N1" s="647" t="s">
        <v>207</v>
      </c>
      <c r="O1" s="647"/>
      <c r="P1" s="647"/>
      <c r="Q1" s="647"/>
      <c r="R1" s="647"/>
      <c r="S1" s="647"/>
      <c r="T1" s="647"/>
      <c r="U1" s="647"/>
    </row>
    <row r="2" spans="1:22" ht="15" customHeight="1" thickBot="1" x14ac:dyDescent="0.35">
      <c r="A2" s="648" t="s">
        <v>214</v>
      </c>
      <c r="B2" s="649"/>
      <c r="D2" s="650" t="s">
        <v>215</v>
      </c>
      <c r="E2" s="433" t="s">
        <v>216</v>
      </c>
      <c r="F2" s="434" t="s">
        <v>217</v>
      </c>
      <c r="G2" s="435" t="s">
        <v>91</v>
      </c>
      <c r="H2" s="435" t="s">
        <v>92</v>
      </c>
      <c r="I2" s="435" t="s">
        <v>218</v>
      </c>
      <c r="J2" s="435" t="s">
        <v>219</v>
      </c>
      <c r="K2" s="436" t="s">
        <v>220</v>
      </c>
      <c r="N2" s="641" t="s">
        <v>215</v>
      </c>
      <c r="O2" s="433" t="s">
        <v>216</v>
      </c>
      <c r="P2" s="434" t="str">
        <f t="shared" ref="P2:U2" si="0">F2</f>
        <v>Repay</v>
      </c>
      <c r="Q2" s="434" t="str">
        <f t="shared" si="0"/>
        <v>0 DPD</v>
      </c>
      <c r="R2" s="434" t="str">
        <f t="shared" si="0"/>
        <v>1-30 DPD</v>
      </c>
      <c r="S2" s="434" t="str">
        <f t="shared" si="0"/>
        <v>31-90 DPD</v>
      </c>
      <c r="T2" s="434" t="str">
        <f t="shared" si="0"/>
        <v>91-120 DPD</v>
      </c>
      <c r="U2" s="434" t="str">
        <f t="shared" si="0"/>
        <v>120-180 DPD</v>
      </c>
    </row>
    <row r="3" spans="1:22" s="444" customFormat="1" x14ac:dyDescent="0.3">
      <c r="A3" s="437" t="s">
        <v>217</v>
      </c>
      <c r="B3" s="438">
        <v>0</v>
      </c>
      <c r="C3" s="439"/>
      <c r="D3" s="651"/>
      <c r="E3" s="440" t="s">
        <v>217</v>
      </c>
      <c r="F3" s="441">
        <v>1</v>
      </c>
      <c r="G3" s="442">
        <v>0</v>
      </c>
      <c r="H3" s="442">
        <v>0</v>
      </c>
      <c r="I3" s="442">
        <v>0</v>
      </c>
      <c r="J3" s="442">
        <v>0</v>
      </c>
      <c r="K3" s="443">
        <v>0</v>
      </c>
      <c r="N3" s="642"/>
      <c r="O3" s="445" t="str">
        <f t="shared" ref="O3:O8" si="1">E3</f>
        <v>Repay</v>
      </c>
      <c r="P3" s="446">
        <v>1</v>
      </c>
      <c r="Q3" s="447">
        <v>0</v>
      </c>
      <c r="R3" s="447">
        <v>0</v>
      </c>
      <c r="S3" s="447">
        <v>0</v>
      </c>
      <c r="T3" s="447">
        <v>0</v>
      </c>
      <c r="U3" s="448">
        <v>0</v>
      </c>
      <c r="V3" s="432"/>
    </row>
    <row r="4" spans="1:22" x14ac:dyDescent="0.3">
      <c r="A4" s="449" t="s">
        <v>91</v>
      </c>
      <c r="B4" s="450">
        <v>1</v>
      </c>
      <c r="C4" s="439"/>
      <c r="D4" s="651"/>
      <c r="E4" s="451" t="s">
        <v>91</v>
      </c>
      <c r="F4" s="452">
        <f>B13</f>
        <v>0.05</v>
      </c>
      <c r="G4" s="447">
        <f>1-H4-F4+B11</f>
        <v>0.9395</v>
      </c>
      <c r="H4" s="453">
        <f>2.1%/2</f>
        <v>1.0500000000000001E-2</v>
      </c>
      <c r="I4" s="447">
        <v>0</v>
      </c>
      <c r="J4" s="447">
        <v>0</v>
      </c>
      <c r="K4" s="448">
        <v>0</v>
      </c>
      <c r="N4" s="642"/>
      <c r="O4" s="445" t="str">
        <f t="shared" si="1"/>
        <v>0 DPD</v>
      </c>
      <c r="P4" s="452">
        <f>B13</f>
        <v>0.05</v>
      </c>
      <c r="Q4" s="447">
        <f>1-R4-P4+B11</f>
        <v>0.94239330148369826</v>
      </c>
      <c r="R4" s="453">
        <f>XZQJ!AA80</f>
        <v>7.6066985163017412E-3</v>
      </c>
      <c r="S4" s="447">
        <v>0</v>
      </c>
      <c r="T4" s="447">
        <v>0</v>
      </c>
      <c r="U4" s="448">
        <v>0</v>
      </c>
    </row>
    <row r="5" spans="1:22" x14ac:dyDescent="0.3">
      <c r="A5" s="454" t="s">
        <v>92</v>
      </c>
      <c r="B5" s="450">
        <v>0</v>
      </c>
      <c r="C5" s="439"/>
      <c r="D5" s="651"/>
      <c r="E5" s="451" t="s">
        <v>92</v>
      </c>
      <c r="F5" s="447">
        <v>0</v>
      </c>
      <c r="G5" s="447">
        <f>(1-$I$5)/3</f>
        <v>0.19333333333333336</v>
      </c>
      <c r="H5" s="447">
        <f>(1-$I$5)*2/3</f>
        <v>0.38666666666666671</v>
      </c>
      <c r="I5" s="453">
        <v>0.42</v>
      </c>
      <c r="J5" s="447">
        <v>0</v>
      </c>
      <c r="K5" s="448">
        <v>0</v>
      </c>
      <c r="N5" s="642"/>
      <c r="O5" s="445" t="str">
        <f t="shared" si="1"/>
        <v>1-30 DPD</v>
      </c>
      <c r="P5" s="447">
        <v>0</v>
      </c>
      <c r="Q5" s="447">
        <f>(1-$S$5)/3</f>
        <v>0.12177745791956189</v>
      </c>
      <c r="R5" s="447">
        <f>(1-$S$5)*2/3</f>
        <v>0.24355491583912378</v>
      </c>
      <c r="S5" s="453">
        <f>XZQJ!AA81</f>
        <v>0.63466762624131434</v>
      </c>
      <c r="T5" s="447">
        <v>0</v>
      </c>
      <c r="U5" s="448">
        <v>0</v>
      </c>
    </row>
    <row r="6" spans="1:22" x14ac:dyDescent="0.3">
      <c r="A6" s="454" t="s">
        <v>93</v>
      </c>
      <c r="B6" s="450">
        <v>0</v>
      </c>
      <c r="C6" s="439"/>
      <c r="D6" s="651"/>
      <c r="E6" s="451" t="s">
        <v>218</v>
      </c>
      <c r="F6" s="447">
        <v>0</v>
      </c>
      <c r="G6" s="447">
        <v>0</v>
      </c>
      <c r="H6" s="447">
        <f>(1-$J$6)/3</f>
        <v>6.8333333333333315E-2</v>
      </c>
      <c r="I6" s="447">
        <f>(1-$J$6)*2/3</f>
        <v>0.13666666666666663</v>
      </c>
      <c r="J6" s="453">
        <v>0.79500000000000004</v>
      </c>
      <c r="K6" s="448">
        <v>0</v>
      </c>
      <c r="N6" s="642"/>
      <c r="O6" s="445" t="str">
        <f t="shared" si="1"/>
        <v>31-90 DPD</v>
      </c>
      <c r="P6" s="447">
        <v>0</v>
      </c>
      <c r="Q6" s="447">
        <f>G6</f>
        <v>0</v>
      </c>
      <c r="R6" s="447">
        <f>(1-$T$6)/3</f>
        <v>3.4188297792268174E-2</v>
      </c>
      <c r="S6" s="447">
        <f>(1-$T$6)*2/3</f>
        <v>6.8376595584536348E-2</v>
      </c>
      <c r="T6" s="453">
        <f>XZQJ!AA82</f>
        <v>0.89743510662319548</v>
      </c>
      <c r="U6" s="448">
        <f>K6</f>
        <v>0</v>
      </c>
    </row>
    <row r="7" spans="1:22" x14ac:dyDescent="0.3">
      <c r="A7" s="454" t="s">
        <v>94</v>
      </c>
      <c r="B7" s="450">
        <v>0</v>
      </c>
      <c r="C7" s="439"/>
      <c r="D7" s="651"/>
      <c r="E7" s="451" t="s">
        <v>219</v>
      </c>
      <c r="F7" s="447">
        <v>0</v>
      </c>
      <c r="G7" s="455">
        <v>0</v>
      </c>
      <c r="H7" s="455">
        <v>0</v>
      </c>
      <c r="I7" s="455">
        <f>(1-$K$7)/3</f>
        <v>5.0148968849572463E-2</v>
      </c>
      <c r="J7" s="455">
        <f>(1-$K$7)*2/3</f>
        <v>0.10029793769914493</v>
      </c>
      <c r="K7" s="456">
        <f>XZQJ!Z83</f>
        <v>0.8495530934512826</v>
      </c>
      <c r="N7" s="642"/>
      <c r="O7" s="445" t="str">
        <f t="shared" si="1"/>
        <v>91-120 DPD</v>
      </c>
      <c r="P7" s="447">
        <v>0</v>
      </c>
      <c r="Q7" s="455">
        <f>G7</f>
        <v>0</v>
      </c>
      <c r="R7" s="455">
        <f>H7</f>
        <v>0</v>
      </c>
      <c r="S7" s="455">
        <f>I7</f>
        <v>5.0148968849572463E-2</v>
      </c>
      <c r="T7" s="455">
        <f>J7</f>
        <v>0.10029793769914493</v>
      </c>
      <c r="U7" s="456">
        <f>K7</f>
        <v>0.8495530934512826</v>
      </c>
    </row>
    <row r="8" spans="1:22" x14ac:dyDescent="0.3">
      <c r="A8" s="457" t="s">
        <v>221</v>
      </c>
      <c r="B8" s="458">
        <v>0</v>
      </c>
      <c r="C8" s="439"/>
      <c r="D8" s="651"/>
      <c r="E8" s="451" t="s">
        <v>220</v>
      </c>
      <c r="F8" s="447">
        <v>0</v>
      </c>
      <c r="G8" s="447">
        <v>0</v>
      </c>
      <c r="H8" s="447">
        <v>0</v>
      </c>
      <c r="I8" s="447">
        <v>0</v>
      </c>
      <c r="J8" s="447">
        <v>0</v>
      </c>
      <c r="K8" s="448">
        <v>1</v>
      </c>
      <c r="N8" s="642"/>
      <c r="O8" s="445" t="str">
        <f t="shared" si="1"/>
        <v>120-180 DPD</v>
      </c>
      <c r="P8" s="447">
        <v>0</v>
      </c>
      <c r="Q8" s="447">
        <v>0</v>
      </c>
      <c r="R8" s="447">
        <v>0</v>
      </c>
      <c r="S8" s="447">
        <v>0</v>
      </c>
      <c r="T8" s="447">
        <v>0</v>
      </c>
      <c r="U8" s="448">
        <v>1</v>
      </c>
    </row>
    <row r="9" spans="1:22" x14ac:dyDescent="0.3">
      <c r="D9" s="651"/>
      <c r="E9" s="459"/>
      <c r="F9" s="460"/>
      <c r="G9" s="460"/>
      <c r="H9" s="460"/>
      <c r="I9" s="460"/>
      <c r="J9" s="460"/>
      <c r="K9" s="461"/>
      <c r="N9" s="642"/>
      <c r="O9" s="459"/>
      <c r="P9" s="460"/>
      <c r="Q9" s="460"/>
      <c r="R9" s="460"/>
      <c r="S9" s="460"/>
      <c r="T9" s="460"/>
      <c r="U9" s="461"/>
    </row>
    <row r="10" spans="1:22" x14ac:dyDescent="0.3">
      <c r="D10" s="651"/>
      <c r="E10" s="462" t="s">
        <v>222</v>
      </c>
      <c r="F10" s="463" t="str">
        <f t="shared" ref="F10:K10" si="2">F2</f>
        <v>Repay</v>
      </c>
      <c r="G10" s="463" t="str">
        <f t="shared" si="2"/>
        <v>0 DPD</v>
      </c>
      <c r="H10" s="463" t="str">
        <f t="shared" si="2"/>
        <v>1-30 DPD</v>
      </c>
      <c r="I10" s="463" t="str">
        <f t="shared" si="2"/>
        <v>31-90 DPD</v>
      </c>
      <c r="J10" s="463" t="str">
        <f t="shared" si="2"/>
        <v>91-120 DPD</v>
      </c>
      <c r="K10" s="463" t="str">
        <f t="shared" si="2"/>
        <v>120-180 DPD</v>
      </c>
      <c r="N10" s="642"/>
      <c r="O10" s="462" t="s">
        <v>222</v>
      </c>
      <c r="P10" s="463" t="str">
        <f>Prediction_XZQJ!P2</f>
        <v>Repay</v>
      </c>
      <c r="Q10" s="464" t="str">
        <f>Prediction_XZQJ!Q2</f>
        <v>0 DPD</v>
      </c>
      <c r="R10" s="464" t="str">
        <f>Prediction_XZQJ!R2</f>
        <v>1-30 DPD</v>
      </c>
      <c r="S10" s="464" t="str">
        <f>Prediction_XZQJ!S2</f>
        <v>31-90 DPD</v>
      </c>
      <c r="T10" s="464" t="str">
        <f>Prediction_XZQJ!T2</f>
        <v>91-120 DPD</v>
      </c>
      <c r="U10" s="465" t="str">
        <f>Prediction_XZQJ!U2</f>
        <v>120-180 DPD</v>
      </c>
    </row>
    <row r="11" spans="1:22" x14ac:dyDescent="0.3">
      <c r="A11" s="466" t="s">
        <v>223</v>
      </c>
      <c r="B11" s="467"/>
      <c r="D11" s="651"/>
      <c r="E11" s="445" t="str">
        <f t="shared" ref="E11:E16" si="3">E3</f>
        <v>Repay</v>
      </c>
      <c r="F11" s="447">
        <f t="array" ref="F11:K16">MMULT(F3:K8,MMULT(F3:K8,MMULT(F3:K8,MMULT(F3:K8,MMULT(F3:K8,MMULT(F3:K8,MMULT(F3:K8,MMULT(F3:K8,MMULT(F3:K8,MMULT(F3:K8,MMULT(F3:K8,F3:K8)))))))))))</f>
        <v>1</v>
      </c>
      <c r="G11" s="447">
        <v>0</v>
      </c>
      <c r="H11" s="447">
        <v>0</v>
      </c>
      <c r="I11" s="447">
        <v>0</v>
      </c>
      <c r="J11" s="447">
        <v>0</v>
      </c>
      <c r="K11" s="468">
        <v>0</v>
      </c>
      <c r="L11" s="472"/>
      <c r="M11" s="472"/>
      <c r="N11" s="642"/>
      <c r="O11" s="445" t="str">
        <f>Prediction_XZQJ!O3</f>
        <v>Repay</v>
      </c>
      <c r="P11" s="447">
        <f t="array" ref="P11:U16">MMULT(P3:U8,MMULT(P3:U8,MMULT(P3:U8,MMULT(P3:U8,MMULT(P3:U8,MMULT(P3:U8,MMULT(P3:U8,MMULT(P3:U8,MMULT(P3:U8,MMULT(P3:U8,MMULT(P3:U8,P3:U8)))))))))))</f>
        <v>1</v>
      </c>
      <c r="Q11" s="447">
        <v>0</v>
      </c>
      <c r="R11" s="447">
        <v>0</v>
      </c>
      <c r="S11" s="447">
        <v>0</v>
      </c>
      <c r="T11" s="447">
        <v>0</v>
      </c>
      <c r="U11" s="468">
        <v>0</v>
      </c>
    </row>
    <row r="12" spans="1:22" x14ac:dyDescent="0.3">
      <c r="A12" s="466" t="s">
        <v>224</v>
      </c>
      <c r="B12" s="473">
        <v>0.1</v>
      </c>
      <c r="D12" s="651"/>
      <c r="E12" s="445" t="str">
        <f t="shared" si="3"/>
        <v>0 DPD</v>
      </c>
      <c r="F12" s="447">
        <v>0.44161288122412951</v>
      </c>
      <c r="G12" s="447">
        <v>0.4931560514775985</v>
      </c>
      <c r="H12" s="447">
        <v>9.9747819666226485E-3</v>
      </c>
      <c r="I12" s="447">
        <v>5.512836704107538E-3</v>
      </c>
      <c r="J12" s="447">
        <v>5.1925923545769852E-3</v>
      </c>
      <c r="K12" s="468">
        <v>4.4550856272964942E-2</v>
      </c>
      <c r="L12" s="472"/>
      <c r="M12" s="472"/>
      <c r="N12" s="642"/>
      <c r="O12" s="445" t="str">
        <f>Prediction_XZQJ!O4</f>
        <v>0 DPD</v>
      </c>
      <c r="P12" s="447">
        <v>0.44440218531803488</v>
      </c>
      <c r="Q12" s="447">
        <v>0.49827359455996728</v>
      </c>
      <c r="R12" s="447">
        <v>5.6249366897125454E-3</v>
      </c>
      <c r="S12" s="447">
        <v>4.3426614876100229E-3</v>
      </c>
      <c r="T12" s="447">
        <v>4.6200281568980301E-3</v>
      </c>
      <c r="U12" s="468">
        <v>4.2736593787777402E-2</v>
      </c>
    </row>
    <row r="13" spans="1:22" x14ac:dyDescent="0.3">
      <c r="A13" s="474" t="s">
        <v>225</v>
      </c>
      <c r="B13" s="473">
        <v>0.05</v>
      </c>
      <c r="D13" s="651"/>
      <c r="E13" s="445" t="str">
        <f t="shared" si="3"/>
        <v>1-30 DPD</v>
      </c>
      <c r="F13" s="447">
        <v>0.13098875123235762</v>
      </c>
      <c r="G13" s="447">
        <v>0.18366265208384558</v>
      </c>
      <c r="H13" s="447">
        <v>3.8530556902456299E-3</v>
      </c>
      <c r="I13" s="447">
        <v>2.2783343751160384E-3</v>
      </c>
      <c r="J13" s="447">
        <v>2.3877111539842332E-3</v>
      </c>
      <c r="K13" s="469">
        <v>0.67682949546445093</v>
      </c>
      <c r="L13" s="472"/>
      <c r="M13" s="472"/>
      <c r="N13" s="642"/>
      <c r="O13" s="451" t="str">
        <f>Prediction_XZQJ!O5</f>
        <v>1-30 DPD</v>
      </c>
      <c r="P13" s="447">
        <v>6.7601264398480965E-2</v>
      </c>
      <c r="Q13" s="447">
        <v>9.0050958318340299E-2</v>
      </c>
      <c r="R13" s="447">
        <v>1.0206189968979364E-3</v>
      </c>
      <c r="S13" s="447">
        <v>8.0142212719909174E-4</v>
      </c>
      <c r="T13" s="447">
        <v>8.8771543519820264E-4</v>
      </c>
      <c r="U13" s="469">
        <v>0.8396380207238836</v>
      </c>
    </row>
    <row r="14" spans="1:22" x14ac:dyDescent="0.3">
      <c r="D14" s="651"/>
      <c r="E14" s="445" t="str">
        <f t="shared" si="3"/>
        <v>31-90 DPD</v>
      </c>
      <c r="F14" s="447">
        <v>9.8676420397775556E-3</v>
      </c>
      <c r="G14" s="447">
        <v>1.6514897559042233E-2</v>
      </c>
      <c r="H14" s="447">
        <v>3.7068138642760951E-4</v>
      </c>
      <c r="I14" s="447">
        <v>2.4434750542768707E-4</v>
      </c>
      <c r="J14" s="447">
        <v>2.9430674132776419E-4</v>
      </c>
      <c r="K14" s="468">
        <v>0.97270812476799706</v>
      </c>
      <c r="L14" s="472"/>
      <c r="M14" s="472"/>
      <c r="N14" s="642"/>
      <c r="O14" s="451" t="str">
        <f>Prediction_XZQJ!O6</f>
        <v>31-90 DPD</v>
      </c>
      <c r="P14" s="447">
        <v>2.3965672241503702E-3</v>
      </c>
      <c r="Q14" s="447">
        <v>3.7450516327792909E-3</v>
      </c>
      <c r="R14" s="447">
        <v>4.31710350569824E-5</v>
      </c>
      <c r="S14" s="447">
        <v>3.6305288293302349E-5</v>
      </c>
      <c r="T14" s="447">
        <v>4.6382761302780911E-5</v>
      </c>
      <c r="U14" s="468">
        <v>0.99373252205841722</v>
      </c>
    </row>
    <row r="15" spans="1:22" x14ac:dyDescent="0.3">
      <c r="D15" s="651"/>
      <c r="E15" s="445" t="str">
        <f t="shared" si="3"/>
        <v>91-120 DPD</v>
      </c>
      <c r="F15" s="447">
        <v>4.9548575020834222E-4</v>
      </c>
      <c r="G15" s="447">
        <v>9.8125043936809261E-4</v>
      </c>
      <c r="H15" s="447">
        <v>2.4505297711890845E-5</v>
      </c>
      <c r="I15" s="447">
        <v>1.8565005790019146E-5</v>
      </c>
      <c r="J15" s="447">
        <v>2.5650871091100321E-5</v>
      </c>
      <c r="K15" s="468">
        <v>0.99845454263583056</v>
      </c>
      <c r="L15" s="472"/>
      <c r="M15" s="472"/>
      <c r="N15" s="642"/>
      <c r="O15" s="451" t="str">
        <f>Prediction_XZQJ!O7</f>
        <v>91-120 DPD</v>
      </c>
      <c r="P15" s="447">
        <v>1.2121047942132561E-4</v>
      </c>
      <c r="Q15" s="447">
        <v>2.2264113523962496E-4</v>
      </c>
      <c r="R15" s="447">
        <v>2.6721686002523608E-6</v>
      </c>
      <c r="S15" s="447">
        <v>2.591883953016503E-6</v>
      </c>
      <c r="T15" s="447">
        <v>4.1370797526218501E-6</v>
      </c>
      <c r="U15" s="468">
        <v>0.99964674725303315</v>
      </c>
    </row>
    <row r="16" spans="1:22" ht="15.75" customHeight="1" thickBot="1" x14ac:dyDescent="0.35">
      <c r="A16" s="432" t="s">
        <v>226</v>
      </c>
      <c r="D16" s="651"/>
      <c r="E16" s="445" t="str">
        <f t="shared" si="3"/>
        <v>120-180 DPD</v>
      </c>
      <c r="F16" s="470">
        <v>0</v>
      </c>
      <c r="G16" s="470">
        <v>0</v>
      </c>
      <c r="H16" s="470">
        <v>0</v>
      </c>
      <c r="I16" s="470">
        <v>0</v>
      </c>
      <c r="J16" s="470">
        <v>0</v>
      </c>
      <c r="K16" s="471">
        <v>1</v>
      </c>
      <c r="L16" s="472"/>
      <c r="M16" s="472"/>
      <c r="N16" s="642"/>
      <c r="O16" s="475" t="str">
        <f>Prediction_XZQJ!O8</f>
        <v>120-180 DPD</v>
      </c>
      <c r="P16" s="470">
        <v>0</v>
      </c>
      <c r="Q16" s="470">
        <v>0</v>
      </c>
      <c r="R16" s="470">
        <v>0</v>
      </c>
      <c r="S16" s="470">
        <v>0</v>
      </c>
      <c r="T16" s="470">
        <v>0</v>
      </c>
      <c r="U16" s="471">
        <v>1</v>
      </c>
    </row>
    <row r="17" spans="1:21" ht="15.75" customHeight="1" thickBot="1" x14ac:dyDescent="0.35">
      <c r="A17" s="432" t="s">
        <v>87</v>
      </c>
      <c r="B17" s="476">
        <f>XZQJ!Z72</f>
        <v>2.9514178582604352E-4</v>
      </c>
      <c r="D17" s="643"/>
      <c r="E17" s="477" t="s">
        <v>85</v>
      </c>
      <c r="F17" s="478"/>
      <c r="G17" s="478">
        <f>K12</f>
        <v>4.4550856272964942E-2</v>
      </c>
      <c r="H17" s="478">
        <f>K13</f>
        <v>0.67682949546445093</v>
      </c>
      <c r="I17" s="478">
        <f>K14</f>
        <v>0.97270812476799706</v>
      </c>
      <c r="J17" s="478">
        <f>K15</f>
        <v>0.99845454263583056</v>
      </c>
      <c r="K17" s="479">
        <f>K16</f>
        <v>1</v>
      </c>
      <c r="L17" s="472"/>
      <c r="M17" s="472"/>
      <c r="N17" s="643"/>
      <c r="O17" s="477" t="s">
        <v>85</v>
      </c>
      <c r="P17" s="478"/>
      <c r="Q17" s="478">
        <f>U12</f>
        <v>4.2736593787777402E-2</v>
      </c>
      <c r="R17" s="478">
        <f>U13</f>
        <v>0.8396380207238836</v>
      </c>
      <c r="S17" s="478">
        <f>U14</f>
        <v>0.99373252205841722</v>
      </c>
      <c r="T17" s="478">
        <f>U15</f>
        <v>0.99964674725303315</v>
      </c>
      <c r="U17" s="479">
        <f>U16</f>
        <v>1</v>
      </c>
    </row>
    <row r="18" spans="1:21" ht="15.75" customHeight="1" x14ac:dyDescent="0.3">
      <c r="A18" s="444" t="s">
        <v>96</v>
      </c>
      <c r="B18" s="439">
        <f>XZQJ!AA72</f>
        <v>1.0021589188302013E-3</v>
      </c>
      <c r="C18" s="439"/>
      <c r="D18" s="641" t="s">
        <v>227</v>
      </c>
      <c r="E18" s="433" t="s">
        <v>216</v>
      </c>
      <c r="F18" s="434" t="str">
        <f t="shared" ref="F18:K18" si="4">F2</f>
        <v>Repay</v>
      </c>
      <c r="G18" s="434" t="str">
        <f t="shared" si="4"/>
        <v>0 DPD</v>
      </c>
      <c r="H18" s="434" t="str">
        <f t="shared" si="4"/>
        <v>1-30 DPD</v>
      </c>
      <c r="I18" s="434" t="str">
        <f t="shared" si="4"/>
        <v>31-90 DPD</v>
      </c>
      <c r="J18" s="434" t="str">
        <f t="shared" si="4"/>
        <v>91-120 DPD</v>
      </c>
      <c r="K18" s="434" t="str">
        <f t="shared" si="4"/>
        <v>120-180 DPD</v>
      </c>
      <c r="L18" s="472"/>
      <c r="M18" s="472"/>
      <c r="N18" s="641"/>
      <c r="O18" s="433" t="s">
        <v>216</v>
      </c>
      <c r="P18" s="434" t="str">
        <f>Prediction_XZQJ!P2</f>
        <v>Repay</v>
      </c>
      <c r="Q18" s="435" t="str">
        <f>Prediction_XZQJ!Q2</f>
        <v>0 DPD</v>
      </c>
      <c r="R18" s="435" t="str">
        <f>Prediction_XZQJ!R2</f>
        <v>1-30 DPD</v>
      </c>
      <c r="S18" s="435" t="str">
        <f>Prediction_XZQJ!S2</f>
        <v>31-90 DPD</v>
      </c>
      <c r="T18" s="435" t="str">
        <f>Prediction_XZQJ!T2</f>
        <v>91-120 DPD</v>
      </c>
      <c r="U18" s="436" t="str">
        <f>Prediction_XZQJ!U2</f>
        <v>120-180 DPD</v>
      </c>
    </row>
    <row r="19" spans="1:21" ht="15.75" customHeight="1" x14ac:dyDescent="0.3">
      <c r="A19" s="444"/>
      <c r="B19" s="439"/>
      <c r="C19" s="439"/>
      <c r="D19" s="642"/>
      <c r="E19" s="445" t="str">
        <f t="shared" ref="E19:E24" si="5">E3</f>
        <v>Repay</v>
      </c>
      <c r="F19" s="446">
        <v>1</v>
      </c>
      <c r="G19" s="447">
        <v>0</v>
      </c>
      <c r="H19" s="447">
        <v>0</v>
      </c>
      <c r="I19" s="447">
        <v>0</v>
      </c>
      <c r="J19" s="447">
        <v>0</v>
      </c>
      <c r="K19" s="448">
        <v>0</v>
      </c>
      <c r="L19" s="472"/>
      <c r="M19" s="472"/>
      <c r="N19" s="642"/>
      <c r="O19" s="445" t="str">
        <f>Prediction_XZQJ!O3</f>
        <v>Repay</v>
      </c>
      <c r="P19" s="446">
        <v>1</v>
      </c>
      <c r="Q19" s="447">
        <v>0</v>
      </c>
      <c r="R19" s="447">
        <v>0</v>
      </c>
      <c r="S19" s="447">
        <v>0</v>
      </c>
      <c r="T19" s="447">
        <v>0</v>
      </c>
      <c r="U19" s="448">
        <v>0</v>
      </c>
    </row>
    <row r="20" spans="1:21" ht="15.75" customHeight="1" x14ac:dyDescent="0.3">
      <c r="A20" s="444" t="s">
        <v>126</v>
      </c>
      <c r="B20" s="439" t="s">
        <v>87</v>
      </c>
      <c r="C20" s="439"/>
      <c r="D20" s="642"/>
      <c r="E20" s="445" t="str">
        <f t="shared" si="5"/>
        <v>0 DPD</v>
      </c>
      <c r="F20" s="480">
        <f>B13</f>
        <v>0.05</v>
      </c>
      <c r="G20" s="455">
        <f>1-H20-F20+B12</f>
        <v>1.0395000000000001</v>
      </c>
      <c r="H20" s="481">
        <f>H4</f>
        <v>1.0500000000000001E-2</v>
      </c>
      <c r="I20" s="447">
        <v>0</v>
      </c>
      <c r="J20" s="447">
        <v>0</v>
      </c>
      <c r="K20" s="448">
        <v>0</v>
      </c>
      <c r="L20" s="472"/>
      <c r="M20" s="472"/>
      <c r="N20" s="642"/>
      <c r="O20" s="445" t="str">
        <f>Prediction_XZQJ!O4</f>
        <v>0 DPD</v>
      </c>
      <c r="P20" s="480">
        <f>B13</f>
        <v>0.05</v>
      </c>
      <c r="Q20" s="455">
        <f>1-R20-P20+B12</f>
        <v>1.0423933014836984</v>
      </c>
      <c r="R20" s="481">
        <f>R4</f>
        <v>7.6066985163017412E-3</v>
      </c>
      <c r="S20" s="447">
        <v>0</v>
      </c>
      <c r="T20" s="447">
        <v>0</v>
      </c>
      <c r="U20" s="448">
        <v>0</v>
      </c>
    </row>
    <row r="21" spans="1:21" ht="15.75" customHeight="1" x14ac:dyDescent="0.3">
      <c r="A21" s="444" t="s">
        <v>85</v>
      </c>
      <c r="B21" s="439">
        <v>-3.8569751968197301</v>
      </c>
      <c r="C21" s="439"/>
      <c r="D21" s="642"/>
      <c r="E21" s="445" t="str">
        <f t="shared" si="5"/>
        <v>1-30 DPD</v>
      </c>
      <c r="F21" s="447">
        <v>0</v>
      </c>
      <c r="G21" s="447">
        <f>(1-$I$5)/3</f>
        <v>0.19333333333333336</v>
      </c>
      <c r="H21" s="447">
        <f>(1-$I$5)*2/3</f>
        <v>0.38666666666666671</v>
      </c>
      <c r="I21" s="481">
        <f>I5</f>
        <v>0.42</v>
      </c>
      <c r="J21" s="447">
        <v>0</v>
      </c>
      <c r="K21" s="448">
        <v>0</v>
      </c>
      <c r="L21" s="472"/>
      <c r="M21" s="472"/>
      <c r="N21" s="642"/>
      <c r="O21" s="451" t="str">
        <f>Prediction_XZQJ!O5</f>
        <v>1-30 DPD</v>
      </c>
      <c r="P21" s="447">
        <v>0</v>
      </c>
      <c r="Q21" s="447">
        <f>(1-$S$5)/3</f>
        <v>0.12177745791956189</v>
      </c>
      <c r="R21" s="447">
        <f>(1-$S$5)*2/3</f>
        <v>0.24355491583912378</v>
      </c>
      <c r="S21" s="481">
        <f>S5</f>
        <v>0.63466762624131434</v>
      </c>
      <c r="T21" s="447">
        <v>0</v>
      </c>
      <c r="U21" s="448">
        <v>0</v>
      </c>
    </row>
    <row r="22" spans="1:21" ht="15.75" customHeight="1" x14ac:dyDescent="0.3">
      <c r="A22" s="444" t="s">
        <v>226</v>
      </c>
      <c r="B22" s="439">
        <v>0.65565661346478898</v>
      </c>
      <c r="C22" s="439"/>
      <c r="D22" s="642"/>
      <c r="E22" s="445" t="str">
        <f t="shared" si="5"/>
        <v>31-90 DPD</v>
      </c>
      <c r="F22" s="447">
        <v>0</v>
      </c>
      <c r="G22" s="447">
        <v>0</v>
      </c>
      <c r="H22" s="447">
        <f>(1-$J$22)/3</f>
        <v>6.8333333333333315E-2</v>
      </c>
      <c r="I22" s="447">
        <f>(1-$J$22)*2/3</f>
        <v>0.13666666666666663</v>
      </c>
      <c r="J22" s="481">
        <f>J6</f>
        <v>0.79500000000000004</v>
      </c>
      <c r="K22" s="448">
        <v>0</v>
      </c>
      <c r="L22" s="472"/>
      <c r="M22" s="472"/>
      <c r="N22" s="642"/>
      <c r="O22" s="451" t="str">
        <f>Prediction_XZQJ!O6</f>
        <v>31-90 DPD</v>
      </c>
      <c r="P22" s="447">
        <v>0</v>
      </c>
      <c r="Q22" s="447">
        <f t="shared" ref="Q22:T23" si="6">G22</f>
        <v>0</v>
      </c>
      <c r="R22" s="447">
        <f>(1-$T$22)/3</f>
        <v>3.4188297792268174E-2</v>
      </c>
      <c r="S22" s="447">
        <f>(1-$T$22)*2/3</f>
        <v>6.8376595584536348E-2</v>
      </c>
      <c r="T22" s="481">
        <f>T6</f>
        <v>0.89743510662319548</v>
      </c>
      <c r="U22" s="448">
        <f>K22</f>
        <v>0</v>
      </c>
    </row>
    <row r="23" spans="1:21" ht="15.75" customHeight="1" x14ac:dyDescent="0.3">
      <c r="A23" s="444"/>
      <c r="B23" s="439" t="s">
        <v>96</v>
      </c>
      <c r="C23" s="439"/>
      <c r="D23" s="642"/>
      <c r="E23" s="445" t="str">
        <f t="shared" si="5"/>
        <v>91-120 DPD</v>
      </c>
      <c r="F23" s="447">
        <v>0</v>
      </c>
      <c r="G23" s="455">
        <v>0</v>
      </c>
      <c r="H23" s="455">
        <v>0</v>
      </c>
      <c r="I23" s="455">
        <f>(1-$K$7)/3</f>
        <v>5.0148968849572463E-2</v>
      </c>
      <c r="J23" s="455">
        <f>(1-$K$7)*2/3</f>
        <v>0.10029793769914493</v>
      </c>
      <c r="K23" s="456">
        <v>0.8</v>
      </c>
      <c r="L23" s="472"/>
      <c r="M23" s="472"/>
      <c r="N23" s="642"/>
      <c r="O23" s="451" t="str">
        <f>Prediction_XZQJ!O7</f>
        <v>91-120 DPD</v>
      </c>
      <c r="P23" s="447">
        <v>0</v>
      </c>
      <c r="Q23" s="455">
        <f t="shared" si="6"/>
        <v>0</v>
      </c>
      <c r="R23" s="455">
        <f t="shared" si="6"/>
        <v>0</v>
      </c>
      <c r="S23" s="455">
        <f t="shared" si="6"/>
        <v>5.0148968849572463E-2</v>
      </c>
      <c r="T23" s="455">
        <f t="shared" si="6"/>
        <v>0.10029793769914493</v>
      </c>
      <c r="U23" s="456">
        <f>K23</f>
        <v>0.8</v>
      </c>
    </row>
    <row r="24" spans="1:21" ht="15.75" customHeight="1" x14ac:dyDescent="0.3">
      <c r="A24" s="444" t="s">
        <v>85</v>
      </c>
      <c r="B24" s="482">
        <v>-3.2723849861887269</v>
      </c>
      <c r="C24" s="439"/>
      <c r="D24" s="642"/>
      <c r="E24" s="445" t="str">
        <f t="shared" si="5"/>
        <v>120-180 DPD</v>
      </c>
      <c r="F24" s="447">
        <v>0</v>
      </c>
      <c r="G24" s="447">
        <v>0</v>
      </c>
      <c r="H24" s="447">
        <v>0</v>
      </c>
      <c r="I24" s="447">
        <v>0</v>
      </c>
      <c r="J24" s="447">
        <v>0</v>
      </c>
      <c r="K24" s="448">
        <v>1</v>
      </c>
      <c r="L24" s="472"/>
      <c r="M24" s="472"/>
      <c r="N24" s="642"/>
      <c r="O24" s="451" t="str">
        <f>Prediction_XZQJ!O8</f>
        <v>120-180 DPD</v>
      </c>
      <c r="P24" s="447">
        <v>0</v>
      </c>
      <c r="Q24" s="447">
        <v>0</v>
      </c>
      <c r="R24" s="447">
        <v>0</v>
      </c>
      <c r="S24" s="447">
        <v>0</v>
      </c>
      <c r="T24" s="447">
        <v>0</v>
      </c>
      <c r="U24" s="448">
        <v>1</v>
      </c>
    </row>
    <row r="25" spans="1:21" ht="15.75" customHeight="1" x14ac:dyDescent="0.3">
      <c r="A25" s="444" t="s">
        <v>226</v>
      </c>
      <c r="B25" s="482">
        <v>0.50161299807634085</v>
      </c>
      <c r="C25" s="439"/>
      <c r="D25" s="642"/>
      <c r="E25" s="483"/>
      <c r="F25" s="484"/>
      <c r="G25" s="484"/>
      <c r="H25" s="484"/>
      <c r="I25" s="484"/>
      <c r="J25" s="484"/>
      <c r="K25" s="469"/>
      <c r="L25" s="472"/>
      <c r="M25" s="472"/>
      <c r="N25" s="642"/>
      <c r="O25" s="483"/>
      <c r="P25" s="484"/>
      <c r="Q25" s="484"/>
      <c r="R25" s="484"/>
      <c r="S25" s="484"/>
      <c r="T25" s="484"/>
      <c r="U25" s="469"/>
    </row>
    <row r="26" spans="1:21" x14ac:dyDescent="0.3">
      <c r="A26" s="444"/>
      <c r="B26" s="439"/>
      <c r="C26" s="439"/>
      <c r="D26" s="642"/>
      <c r="E26" s="459"/>
      <c r="F26" s="460"/>
      <c r="G26" s="460"/>
      <c r="H26" s="460"/>
      <c r="I26" s="460"/>
      <c r="J26" s="460"/>
      <c r="K26" s="461"/>
      <c r="L26" s="472"/>
      <c r="M26" s="472"/>
      <c r="N26" s="642"/>
      <c r="O26" s="459" t="s">
        <v>228</v>
      </c>
      <c r="P26" s="460"/>
      <c r="Q26" s="460"/>
      <c r="R26" s="460"/>
      <c r="S26" s="460"/>
      <c r="T26" s="460"/>
      <c r="U26" s="461"/>
    </row>
    <row r="27" spans="1:21" x14ac:dyDescent="0.3">
      <c r="A27" s="444"/>
      <c r="B27" s="439"/>
      <c r="C27" s="439"/>
      <c r="D27" s="642"/>
      <c r="E27" s="462" t="s">
        <v>222</v>
      </c>
      <c r="F27" s="463" t="str">
        <f>Prediction_XZQJ!F18</f>
        <v>Repay</v>
      </c>
      <c r="G27" s="464" t="str">
        <f>Prediction_XZQJ!G18</f>
        <v>0 DPD</v>
      </c>
      <c r="H27" s="464" t="str">
        <f>Prediction_XZQJ!H18</f>
        <v>1-30 DPD</v>
      </c>
      <c r="I27" s="464" t="str">
        <f>Prediction_XZQJ!I18</f>
        <v>31-90 DPD</v>
      </c>
      <c r="J27" s="464" t="str">
        <f>Prediction_XZQJ!J18</f>
        <v>91-120 DPD</v>
      </c>
      <c r="K27" s="485" t="str">
        <f>Prediction_XZQJ!K18</f>
        <v>120-180 DPD</v>
      </c>
      <c r="L27" s="472"/>
      <c r="M27" s="472"/>
      <c r="N27" s="642"/>
      <c r="O27" s="462" t="s">
        <v>222</v>
      </c>
      <c r="P27" s="463" t="str">
        <f>Prediction_XZQJ!P2</f>
        <v>Repay</v>
      </c>
      <c r="Q27" s="464" t="str">
        <f>Prediction_XZQJ!Q2</f>
        <v>0 DPD</v>
      </c>
      <c r="R27" s="464" t="str">
        <f>Prediction_XZQJ!R2</f>
        <v>1-30 DPD</v>
      </c>
      <c r="S27" s="464" t="str">
        <f>Prediction_XZQJ!S2</f>
        <v>31-90 DPD</v>
      </c>
      <c r="T27" s="464" t="str">
        <f>Prediction_XZQJ!T2</f>
        <v>91-120 DPD</v>
      </c>
      <c r="U27" s="485" t="str">
        <f>Prediction_XZQJ!U2</f>
        <v>120-180 DPD</v>
      </c>
    </row>
    <row r="28" spans="1:21" x14ac:dyDescent="0.3">
      <c r="A28" s="444"/>
      <c r="B28" s="439"/>
      <c r="C28" s="439"/>
      <c r="D28" s="642"/>
      <c r="E28" s="445" t="str">
        <f>Prediction_XZQJ!E19</f>
        <v>Repay</v>
      </c>
      <c r="F28" s="484">
        <f t="array" ref="F28:K33">MMULT(F19:K24,MMULT(F19:K24,MMULT(F19:K24,MMULT(F19:K24,MMULT(F19:K24,MMULT(F19:K24,MMULT(F19:K24,MMULT(F19:K24,MMULT(F19:K24,MMULT(F19:K24,MMULT(F19:K24,F19:K24)))))))))))</f>
        <v>1</v>
      </c>
      <c r="G28" s="484">
        <v>0</v>
      </c>
      <c r="H28" s="484">
        <v>0</v>
      </c>
      <c r="I28" s="484">
        <v>0</v>
      </c>
      <c r="J28" s="484">
        <v>0</v>
      </c>
      <c r="K28" s="486">
        <v>0</v>
      </c>
      <c r="L28" s="472"/>
      <c r="M28" s="472"/>
      <c r="N28" s="642"/>
      <c r="O28" s="445" t="str">
        <f>Prediction_XZQJ!O3</f>
        <v>Repay</v>
      </c>
      <c r="P28" s="484">
        <f t="array" ref="P28:U33">MMULT(P19:U24,MMULT(P19:U24,MMULT(P19:U24,MMULT(P19:U24,MMULT(P19:U24,MMULT(P19:U24,MMULT(P19:U24,MMULT(P19:U24,MMULT(P19:U24,MMULT(P19:U24,MMULT(P19:U24,P19:U24)))))))))))</f>
        <v>1</v>
      </c>
      <c r="Q28" s="484">
        <v>0</v>
      </c>
      <c r="R28" s="484">
        <v>0</v>
      </c>
      <c r="S28" s="484">
        <v>0</v>
      </c>
      <c r="T28" s="484">
        <v>0</v>
      </c>
      <c r="U28" s="486">
        <v>0</v>
      </c>
    </row>
    <row r="29" spans="1:21" x14ac:dyDescent="0.3">
      <c r="A29" s="444"/>
      <c r="B29" s="439"/>
      <c r="C29" s="439"/>
      <c r="D29" s="642"/>
      <c r="E29" s="445" t="str">
        <f>Prediction_XZQJ!E20</f>
        <v>0 DPD</v>
      </c>
      <c r="F29" s="484">
        <v>0.75965895995994137</v>
      </c>
      <c r="G29" s="484">
        <v>1.6438072114258089</v>
      </c>
      <c r="H29" s="484">
        <v>2.770786205265361E-2</v>
      </c>
      <c r="I29" s="484">
        <v>1.3469315685228005E-2</v>
      </c>
      <c r="J29" s="484">
        <v>1.1356750619884929E-2</v>
      </c>
      <c r="K29" s="486">
        <v>5.9624591484108334E-2</v>
      </c>
      <c r="L29" s="472"/>
      <c r="M29" s="472"/>
      <c r="N29" s="642"/>
      <c r="O29" s="445" t="str">
        <f>Prediction_XZQJ!O4</f>
        <v>0 DPD</v>
      </c>
      <c r="P29" s="484">
        <v>0.76583683099693467</v>
      </c>
      <c r="Q29" s="484">
        <v>1.6659233641319653</v>
      </c>
      <c r="R29" s="484">
        <v>1.631668844982416E-2</v>
      </c>
      <c r="S29" s="484">
        <v>1.1165009197141511E-2</v>
      </c>
      <c r="T29" s="484">
        <v>1.0621854328205119E-2</v>
      </c>
      <c r="U29" s="486">
        <v>5.820463993716915E-2</v>
      </c>
    </row>
    <row r="30" spans="1:21" x14ac:dyDescent="0.3">
      <c r="D30" s="642"/>
      <c r="E30" s="451" t="str">
        <f>Prediction_XZQJ!E21</f>
        <v>1-30 DPD</v>
      </c>
      <c r="F30" s="484">
        <v>0.20798396694025992</v>
      </c>
      <c r="G30" s="484">
        <v>0.51017650763616162</v>
      </c>
      <c r="H30" s="484">
        <v>8.7393347702425152E-3</v>
      </c>
      <c r="I30" s="484">
        <v>4.4080207019176892E-3</v>
      </c>
      <c r="J30" s="484">
        <v>3.9830825260786769E-3</v>
      </c>
      <c r="K30" s="486">
        <v>0.64097420307482444</v>
      </c>
      <c r="L30" s="472"/>
      <c r="M30" s="472"/>
      <c r="N30" s="642"/>
      <c r="O30" s="451" t="str">
        <f>Prediction_XZQJ!O5</f>
        <v>1-30 DPD</v>
      </c>
      <c r="P30" s="484">
        <v>0.10909023685462242</v>
      </c>
      <c r="Q30" s="484">
        <v>0.26121777231301579</v>
      </c>
      <c r="R30" s="484">
        <v>2.5625284261667999E-3</v>
      </c>
      <c r="S30" s="484">
        <v>1.767322424622378E-3</v>
      </c>
      <c r="T30" s="484">
        <v>1.7184198717357289E-3</v>
      </c>
      <c r="U30" s="486">
        <v>0.79272191490629296</v>
      </c>
    </row>
    <row r="31" spans="1:21" x14ac:dyDescent="0.3">
      <c r="D31" s="642"/>
      <c r="E31" s="451" t="str">
        <f>Prediction_XZQJ!E22</f>
        <v>31-90 DPD</v>
      </c>
      <c r="F31" s="484">
        <v>1.4773633760901975E-2</v>
      </c>
      <c r="G31" s="484">
        <v>4.0350255353328535E-2</v>
      </c>
      <c r="H31" s="484">
        <v>7.1717797134375082E-4</v>
      </c>
      <c r="I31" s="484">
        <v>3.9094097715225808E-4</v>
      </c>
      <c r="J31" s="484">
        <v>4.0025648685931842E-4</v>
      </c>
      <c r="K31" s="486">
        <v>0.9161664036980024</v>
      </c>
      <c r="L31" s="472"/>
      <c r="M31" s="472"/>
      <c r="N31" s="642"/>
      <c r="O31" s="451" t="str">
        <f>Prediction_XZQJ!O6</f>
        <v>31-90 DPD</v>
      </c>
      <c r="P31" s="484">
        <v>3.6554559557975957E-3</v>
      </c>
      <c r="Q31" s="484">
        <v>9.6285506118881543E-3</v>
      </c>
      <c r="R31" s="484">
        <v>9.5202185915450543E-5</v>
      </c>
      <c r="S31" s="484">
        <v>6.8205474597252558E-5</v>
      </c>
      <c r="T31" s="484">
        <v>7.3076253112125785E-5</v>
      </c>
      <c r="U31" s="486">
        <v>0.93582419188709443</v>
      </c>
    </row>
    <row r="32" spans="1:21" x14ac:dyDescent="0.3">
      <c r="D32" s="642"/>
      <c r="E32" s="451" t="str">
        <f>Prediction_XZQJ!E23</f>
        <v>91-120 DPD</v>
      </c>
      <c r="F32" s="484">
        <v>7.0420818489816948E-4</v>
      </c>
      <c r="G32" s="484">
        <v>2.1460988605688028E-3</v>
      </c>
      <c r="H32" s="484">
        <v>4.087873985499366E-5</v>
      </c>
      <c r="I32" s="484">
        <v>2.5248364894776429E-5</v>
      </c>
      <c r="J32" s="484">
        <v>3.0269121005354399E-5</v>
      </c>
      <c r="K32" s="486">
        <v>0.94022301447209622</v>
      </c>
      <c r="L32" s="472"/>
      <c r="M32" s="472"/>
      <c r="N32" s="642"/>
      <c r="O32" s="451" t="str">
        <f>Prediction_XZQJ!O7</f>
        <v>91-120 DPD</v>
      </c>
      <c r="P32" s="484">
        <v>1.7530665766176973E-4</v>
      </c>
      <c r="Q32" s="484">
        <v>5.118717084982708E-4</v>
      </c>
      <c r="R32" s="484">
        <v>5.1727247733128097E-6</v>
      </c>
      <c r="S32" s="484">
        <v>4.0835250525831726E-6</v>
      </c>
      <c r="T32" s="484">
        <v>5.3405857438524199E-6</v>
      </c>
      <c r="U32" s="486">
        <v>0.94134089635533147</v>
      </c>
    </row>
    <row r="33" spans="3:22" x14ac:dyDescent="0.3">
      <c r="D33" s="642"/>
      <c r="E33" s="451" t="str">
        <f>Prediction_XZQJ!E24</f>
        <v>120-180 DPD</v>
      </c>
      <c r="F33" s="484">
        <v>0</v>
      </c>
      <c r="G33" s="484">
        <v>0</v>
      </c>
      <c r="H33" s="484">
        <v>0</v>
      </c>
      <c r="I33" s="484">
        <v>0</v>
      </c>
      <c r="J33" s="484">
        <v>0</v>
      </c>
      <c r="K33" s="486">
        <v>1</v>
      </c>
      <c r="L33" s="472"/>
      <c r="M33" s="472"/>
      <c r="N33" s="642"/>
      <c r="O33" s="451" t="str">
        <f>Prediction_XZQJ!O8</f>
        <v>120-180 DPD</v>
      </c>
      <c r="P33" s="484">
        <v>0</v>
      </c>
      <c r="Q33" s="484">
        <v>0</v>
      </c>
      <c r="R33" s="484">
        <v>0</v>
      </c>
      <c r="S33" s="484">
        <v>0</v>
      </c>
      <c r="T33" s="484">
        <v>0</v>
      </c>
      <c r="U33" s="486">
        <v>1</v>
      </c>
    </row>
    <row r="34" spans="3:22" x14ac:dyDescent="0.3">
      <c r="D34" s="642"/>
      <c r="E34" s="487"/>
      <c r="F34" s="488"/>
      <c r="G34" s="488"/>
      <c r="H34" s="488"/>
      <c r="I34" s="488"/>
      <c r="J34" s="488"/>
      <c r="K34" s="489"/>
      <c r="L34" s="472"/>
      <c r="M34" s="472"/>
      <c r="N34" s="642"/>
      <c r="O34" s="487"/>
      <c r="P34" s="488"/>
      <c r="Q34" s="488"/>
      <c r="R34" s="488"/>
      <c r="S34" s="488"/>
      <c r="T34" s="488"/>
      <c r="U34" s="489"/>
    </row>
    <row r="35" spans="3:22" x14ac:dyDescent="0.3">
      <c r="D35" s="642"/>
      <c r="E35" s="490"/>
      <c r="F35" s="460"/>
      <c r="G35" s="460"/>
      <c r="H35" s="464" t="str">
        <f>Prediction_XZQJ!H27</f>
        <v>1-30 DPD</v>
      </c>
      <c r="I35" s="464" t="str">
        <f>Prediction_XZQJ!I27</f>
        <v>31-90 DPD</v>
      </c>
      <c r="J35" s="464" t="str">
        <f>Prediction_XZQJ!J27</f>
        <v>91-120 DPD</v>
      </c>
      <c r="K35" s="465" t="str">
        <f>Prediction_XZQJ!K27</f>
        <v>120-180 DPD</v>
      </c>
      <c r="N35" s="642"/>
      <c r="O35" s="490"/>
      <c r="P35" s="460"/>
      <c r="Q35" s="460"/>
      <c r="R35" s="491" t="str">
        <f>H35</f>
        <v>1-30 DPD</v>
      </c>
      <c r="S35" s="491" t="str">
        <f>I35</f>
        <v>31-90 DPD</v>
      </c>
      <c r="T35" s="491" t="str">
        <f>J35</f>
        <v>91-120 DPD</v>
      </c>
      <c r="U35" s="491" t="str">
        <f>K35</f>
        <v>120-180 DPD</v>
      </c>
    </row>
    <row r="36" spans="3:22" x14ac:dyDescent="0.3">
      <c r="D36" s="642"/>
      <c r="E36" s="492" t="s">
        <v>229</v>
      </c>
      <c r="F36" s="446">
        <f>B3</f>
        <v>0</v>
      </c>
      <c r="G36" s="446">
        <f>B4</f>
        <v>1</v>
      </c>
      <c r="H36" s="446">
        <f>$B$5</f>
        <v>0</v>
      </c>
      <c r="I36" s="446">
        <f>$B$6</f>
        <v>0</v>
      </c>
      <c r="J36" s="446">
        <f>$B$7</f>
        <v>0</v>
      </c>
      <c r="K36" s="493">
        <f>$B$8</f>
        <v>0</v>
      </c>
      <c r="N36" s="642"/>
      <c r="O36" s="492" t="s">
        <v>229</v>
      </c>
      <c r="P36" s="446">
        <f t="shared" ref="P36:U36" si="7">F36</f>
        <v>0</v>
      </c>
      <c r="Q36" s="446">
        <f t="shared" si="7"/>
        <v>1</v>
      </c>
      <c r="R36" s="446">
        <f t="shared" si="7"/>
        <v>0</v>
      </c>
      <c r="S36" s="446">
        <f t="shared" si="7"/>
        <v>0</v>
      </c>
      <c r="T36" s="446">
        <f t="shared" si="7"/>
        <v>0</v>
      </c>
      <c r="U36" s="493">
        <f t="shared" si="7"/>
        <v>0</v>
      </c>
    </row>
    <row r="37" spans="3:22" ht="15.5" thickBot="1" x14ac:dyDescent="0.35">
      <c r="D37" s="642"/>
      <c r="E37" s="492" t="s">
        <v>230</v>
      </c>
      <c r="F37" s="446">
        <f t="array" ref="F37:K37">MMULT(TRANSPOSE($B$3:$B$8),F28:K33)</f>
        <v>0.75965895995994137</v>
      </c>
      <c r="G37" s="446">
        <v>1.6438072114258089</v>
      </c>
      <c r="H37" s="446">
        <v>2.770786205265361E-2</v>
      </c>
      <c r="I37" s="446">
        <v>1.3469315685228005E-2</v>
      </c>
      <c r="J37" s="446">
        <v>1.1356750619884929E-2</v>
      </c>
      <c r="K37" s="493">
        <v>5.9624591484108334E-2</v>
      </c>
      <c r="N37" s="642"/>
      <c r="O37" s="492" t="s">
        <v>230</v>
      </c>
      <c r="P37" s="446">
        <f t="array" ref="P37:U37">MMULT(TRANSPOSE($B$3:$B$8),P28:U33)</f>
        <v>0.76583683099693467</v>
      </c>
      <c r="Q37" s="446">
        <v>1.6659233641319653</v>
      </c>
      <c r="R37" s="446">
        <v>1.631668844982416E-2</v>
      </c>
      <c r="S37" s="446">
        <v>1.1165009197141511E-2</v>
      </c>
      <c r="T37" s="446">
        <v>1.0621854328205119E-2</v>
      </c>
      <c r="U37" s="493">
        <v>5.820463993716915E-2</v>
      </c>
    </row>
    <row r="38" spans="3:22" ht="15.5" thickBot="1" x14ac:dyDescent="0.35">
      <c r="C38" s="476"/>
      <c r="D38" s="643"/>
      <c r="E38" s="494" t="s">
        <v>231</v>
      </c>
      <c r="F38" s="478"/>
      <c r="G38" s="478">
        <f>G37/SUM($G$37:$K$37)</f>
        <v>0.93612715906425803</v>
      </c>
      <c r="H38" s="478">
        <f>H37/SUM($G$37:$K$37)</f>
        <v>1.5779272658499141E-2</v>
      </c>
      <c r="I38" s="478">
        <f>I37/SUM($G$37:$K$37)</f>
        <v>7.6706028172338582E-3</v>
      </c>
      <c r="J38" s="478">
        <f>J37/SUM($G$37:$K$37)</f>
        <v>6.4675240624919002E-3</v>
      </c>
      <c r="K38" s="479">
        <f>K37/SUM($G$37:$K$37)</f>
        <v>3.3955441397517237E-2</v>
      </c>
      <c r="N38" s="643"/>
      <c r="O38" s="494" t="s">
        <v>228</v>
      </c>
      <c r="P38" s="478"/>
      <c r="Q38" s="478">
        <f>Q37/SUM($Q$37:$U$37)</f>
        <v>0.94534873037427392</v>
      </c>
      <c r="R38" s="478">
        <f>R37/SUM($Q$37:$U$37)</f>
        <v>9.2591058160656006E-3</v>
      </c>
      <c r="S38" s="478">
        <f>S37/SUM($Q$37:$U$37)</f>
        <v>6.3357219764034259E-3</v>
      </c>
      <c r="T38" s="478">
        <f>T37/SUM($Q$37:$U$37)</f>
        <v>6.0275020565674561E-3</v>
      </c>
      <c r="U38" s="479">
        <f>U37/SUM($Q$37:$U$37)</f>
        <v>3.3028939776689477E-2</v>
      </c>
    </row>
    <row r="39" spans="3:22" ht="15" customHeight="1" x14ac:dyDescent="0.3">
      <c r="D39" s="641" t="s">
        <v>95</v>
      </c>
      <c r="G39" s="472"/>
      <c r="H39" s="472"/>
      <c r="I39" s="472"/>
      <c r="J39" s="472"/>
      <c r="K39" s="472"/>
      <c r="N39" s="641" t="s">
        <v>95</v>
      </c>
    </row>
    <row r="40" spans="3:22" x14ac:dyDescent="0.3">
      <c r="D40" s="642"/>
      <c r="E40" s="495" t="s">
        <v>85</v>
      </c>
      <c r="F40" s="476">
        <f>K11</f>
        <v>0</v>
      </c>
      <c r="G40" s="476">
        <f>K12</f>
        <v>4.4550856272964942E-2</v>
      </c>
      <c r="H40" s="476">
        <f>K13</f>
        <v>0.67682949546445093</v>
      </c>
      <c r="I40" s="476">
        <f>K14</f>
        <v>0.97270812476799706</v>
      </c>
      <c r="J40" s="476">
        <f>K15</f>
        <v>0.99845454263583056</v>
      </c>
      <c r="K40" s="476">
        <f>K16</f>
        <v>1</v>
      </c>
      <c r="L40" s="472"/>
      <c r="M40" s="472"/>
      <c r="N40" s="642"/>
      <c r="O40" s="495" t="s">
        <v>85</v>
      </c>
      <c r="P40" s="476">
        <f t="shared" ref="P40:U40" si="8">P17</f>
        <v>0</v>
      </c>
      <c r="Q40" s="476">
        <f t="shared" si="8"/>
        <v>4.2736593787777402E-2</v>
      </c>
      <c r="R40" s="476">
        <f t="shared" si="8"/>
        <v>0.8396380207238836</v>
      </c>
      <c r="S40" s="476">
        <f t="shared" si="8"/>
        <v>0.99373252205841722</v>
      </c>
      <c r="T40" s="476">
        <f t="shared" si="8"/>
        <v>0.99964674725303315</v>
      </c>
      <c r="U40" s="476">
        <f t="shared" si="8"/>
        <v>1</v>
      </c>
    </row>
    <row r="41" spans="3:22" x14ac:dyDescent="0.3">
      <c r="D41" s="642"/>
      <c r="E41" s="495" t="s">
        <v>84</v>
      </c>
      <c r="F41" s="496">
        <v>1.03</v>
      </c>
      <c r="G41" s="496">
        <v>1.03</v>
      </c>
      <c r="H41" s="496">
        <v>1.03</v>
      </c>
      <c r="I41" s="496">
        <v>1.03</v>
      </c>
      <c r="J41" s="496">
        <v>1.03</v>
      </c>
      <c r="K41" s="496">
        <v>1.03</v>
      </c>
      <c r="L41" s="497">
        <f>SUMPRODUCT(F41:K41,F38:K38)</f>
        <v>1.0300000000000002</v>
      </c>
      <c r="M41" s="472"/>
      <c r="N41" s="642"/>
      <c r="O41" s="495" t="s">
        <v>84</v>
      </c>
      <c r="P41" s="496">
        <v>1.03</v>
      </c>
      <c r="Q41" s="496">
        <v>1.03</v>
      </c>
      <c r="R41" s="496">
        <v>1.03</v>
      </c>
      <c r="S41" s="496">
        <v>1.03</v>
      </c>
      <c r="T41" s="496">
        <v>1.03</v>
      </c>
      <c r="U41" s="496">
        <v>1.03</v>
      </c>
    </row>
    <row r="42" spans="3:22" x14ac:dyDescent="0.3">
      <c r="D42" s="642"/>
      <c r="E42" s="495" t="s">
        <v>83</v>
      </c>
      <c r="F42" s="496">
        <v>0.85</v>
      </c>
      <c r="G42" s="496">
        <v>0.85</v>
      </c>
      <c r="H42" s="496">
        <v>0.85</v>
      </c>
      <c r="I42" s="496">
        <v>0.85</v>
      </c>
      <c r="J42" s="496">
        <v>0.85</v>
      </c>
      <c r="K42" s="496">
        <v>0.85</v>
      </c>
      <c r="L42" s="497">
        <f>SUMPRODUCT(F42:K42,F38:K38)</f>
        <v>0.8500000000000002</v>
      </c>
      <c r="M42" s="472"/>
      <c r="N42" s="642"/>
      <c r="O42" s="495" t="s">
        <v>83</v>
      </c>
      <c r="P42" s="496">
        <v>0.7</v>
      </c>
      <c r="Q42" s="496">
        <v>0.7</v>
      </c>
      <c r="R42" s="496">
        <v>0.7</v>
      </c>
      <c r="S42" s="496">
        <v>0.7</v>
      </c>
      <c r="T42" s="496">
        <v>0.7</v>
      </c>
      <c r="U42" s="496">
        <v>0.7</v>
      </c>
      <c r="V42" s="439">
        <f>SUMPRODUCT(P42:U42,P38:U38)</f>
        <v>0.7</v>
      </c>
    </row>
    <row r="43" spans="3:22" x14ac:dyDescent="0.3">
      <c r="D43" s="642"/>
      <c r="N43" s="642"/>
      <c r="O43" s="495"/>
    </row>
    <row r="44" spans="3:22" x14ac:dyDescent="0.3">
      <c r="D44" s="642"/>
      <c r="E44" s="495" t="s">
        <v>232</v>
      </c>
      <c r="F44" s="476">
        <f t="shared" ref="F44:K44" si="9">F36*F40*F41*F42</f>
        <v>0</v>
      </c>
      <c r="G44" s="476">
        <f t="shared" si="9"/>
        <v>3.9004274666980809E-2</v>
      </c>
      <c r="H44" s="476">
        <f t="shared" si="9"/>
        <v>0</v>
      </c>
      <c r="I44" s="476">
        <f t="shared" si="9"/>
        <v>0</v>
      </c>
      <c r="J44" s="476">
        <f t="shared" si="9"/>
        <v>0</v>
      </c>
      <c r="K44" s="476">
        <f t="shared" si="9"/>
        <v>0</v>
      </c>
      <c r="L44" s="498">
        <f>SUM(F44:K44)</f>
        <v>3.9004274666980809E-2</v>
      </c>
      <c r="M44" s="498"/>
      <c r="N44" s="642"/>
      <c r="O44" s="495" t="s">
        <v>95</v>
      </c>
      <c r="P44" s="476">
        <f t="shared" ref="P44:U44" si="10">P36*P40*P41*P42</f>
        <v>0</v>
      </c>
      <c r="Q44" s="476">
        <f t="shared" si="10"/>
        <v>3.0813084120987506E-2</v>
      </c>
      <c r="R44" s="476">
        <f t="shared" si="10"/>
        <v>0</v>
      </c>
      <c r="S44" s="476">
        <f t="shared" si="10"/>
        <v>0</v>
      </c>
      <c r="T44" s="476">
        <f t="shared" si="10"/>
        <v>0</v>
      </c>
      <c r="U44" s="476">
        <f t="shared" si="10"/>
        <v>0</v>
      </c>
      <c r="V44" s="498">
        <f>SUM(P44:U44)</f>
        <v>3.0813084120987506E-2</v>
      </c>
    </row>
    <row r="45" spans="3:22" x14ac:dyDescent="0.3">
      <c r="D45" s="642"/>
      <c r="N45" s="642"/>
      <c r="O45" s="495"/>
    </row>
    <row r="46" spans="3:22" x14ac:dyDescent="0.3">
      <c r="D46" s="642"/>
      <c r="E46" s="495" t="s">
        <v>233</v>
      </c>
      <c r="F46" s="499">
        <v>0.03</v>
      </c>
      <c r="G46" s="499">
        <f t="shared" ref="G46:L46" si="11">$F$46</f>
        <v>0.03</v>
      </c>
      <c r="H46" s="499">
        <f t="shared" si="11"/>
        <v>0.03</v>
      </c>
      <c r="I46" s="499">
        <f t="shared" si="11"/>
        <v>0.03</v>
      </c>
      <c r="J46" s="499">
        <f t="shared" si="11"/>
        <v>0.03</v>
      </c>
      <c r="K46" s="499">
        <f t="shared" si="11"/>
        <v>0.03</v>
      </c>
      <c r="L46" s="499">
        <f t="shared" si="11"/>
        <v>0.03</v>
      </c>
      <c r="M46" s="499"/>
      <c r="N46" s="642"/>
      <c r="O46" s="495" t="s">
        <v>233</v>
      </c>
      <c r="P46" s="499">
        <f t="shared" ref="P46:V46" si="12">$F$46</f>
        <v>0.03</v>
      </c>
      <c r="Q46" s="499">
        <f t="shared" si="12"/>
        <v>0.03</v>
      </c>
      <c r="R46" s="499">
        <f t="shared" si="12"/>
        <v>0.03</v>
      </c>
      <c r="S46" s="499">
        <f t="shared" si="12"/>
        <v>0.03</v>
      </c>
      <c r="T46" s="499">
        <f t="shared" si="12"/>
        <v>0.03</v>
      </c>
      <c r="U46" s="499">
        <f t="shared" si="12"/>
        <v>0.03</v>
      </c>
      <c r="V46" s="499">
        <f t="shared" si="12"/>
        <v>0.03</v>
      </c>
    </row>
    <row r="47" spans="3:22" x14ac:dyDescent="0.3">
      <c r="D47" s="642"/>
      <c r="E47" s="495" t="s">
        <v>234</v>
      </c>
      <c r="F47" s="439">
        <v>0</v>
      </c>
      <c r="G47" s="439">
        <v>0</v>
      </c>
      <c r="H47" s="499">
        <v>0.02</v>
      </c>
      <c r="I47" s="499">
        <v>0.02</v>
      </c>
      <c r="J47" s="499">
        <v>0.02</v>
      </c>
      <c r="K47" s="499">
        <v>0.25</v>
      </c>
      <c r="L47" s="476"/>
      <c r="M47" s="476"/>
      <c r="N47" s="642"/>
      <c r="O47" s="495" t="s">
        <v>234</v>
      </c>
      <c r="P47" s="439">
        <v>0</v>
      </c>
      <c r="Q47" s="439">
        <v>0</v>
      </c>
      <c r="R47" s="499">
        <v>0.02</v>
      </c>
      <c r="S47" s="499">
        <v>0.02</v>
      </c>
      <c r="T47" s="499">
        <v>0.02</v>
      </c>
      <c r="U47" s="499">
        <v>0.25</v>
      </c>
      <c r="V47" s="476"/>
    </row>
    <row r="48" spans="3:22" x14ac:dyDescent="0.3">
      <c r="D48" s="642"/>
      <c r="F48" s="472">
        <f t="shared" ref="F48:K48" si="13">F38*F47</f>
        <v>0</v>
      </c>
      <c r="G48" s="472">
        <f t="shared" si="13"/>
        <v>0</v>
      </c>
      <c r="H48" s="472">
        <f t="shared" si="13"/>
        <v>3.1558545316998283E-4</v>
      </c>
      <c r="I48" s="472">
        <f t="shared" si="13"/>
        <v>1.5341205634467718E-4</v>
      </c>
      <c r="J48" s="472">
        <f t="shared" si="13"/>
        <v>1.2935048124983799E-4</v>
      </c>
      <c r="K48" s="472">
        <f t="shared" si="13"/>
        <v>8.4888603493793093E-3</v>
      </c>
      <c r="L48" s="476">
        <f>SUM(F48:K48)</f>
        <v>9.0872083401438066E-3</v>
      </c>
      <c r="M48" s="476"/>
      <c r="N48" s="642"/>
      <c r="O48" s="495"/>
      <c r="P48" s="472">
        <f t="shared" ref="P48:U48" si="14">P38*P47</f>
        <v>0</v>
      </c>
      <c r="Q48" s="472">
        <f t="shared" si="14"/>
        <v>0</v>
      </c>
      <c r="R48" s="472">
        <f t="shared" si="14"/>
        <v>1.8518211632131203E-4</v>
      </c>
      <c r="S48" s="472">
        <f t="shared" si="14"/>
        <v>1.2671443952806853E-4</v>
      </c>
      <c r="T48" s="472">
        <f t="shared" si="14"/>
        <v>1.2055004113134913E-4</v>
      </c>
      <c r="U48" s="472">
        <f t="shared" si="14"/>
        <v>8.2572349441723692E-3</v>
      </c>
      <c r="V48" s="476">
        <f>SUM(P48:U48)</f>
        <v>8.6896815411530992E-3</v>
      </c>
    </row>
    <row r="49" spans="4:22" x14ac:dyDescent="0.3">
      <c r="D49" s="642"/>
      <c r="E49" s="495" t="s">
        <v>235</v>
      </c>
      <c r="L49" s="498">
        <f>ROUND(L46+L48,3)</f>
        <v>3.9E-2</v>
      </c>
      <c r="M49" s="498"/>
      <c r="N49" s="642"/>
      <c r="O49" s="495"/>
      <c r="V49" s="498">
        <f>ROUND(V46+V48,3)</f>
        <v>3.9E-2</v>
      </c>
    </row>
    <row r="50" spans="4:22" ht="15.5" thickBot="1" x14ac:dyDescent="0.35">
      <c r="D50" s="643"/>
      <c r="L50" s="439">
        <f>L44/L49</f>
        <v>1.0001096068456619</v>
      </c>
      <c r="M50" s="439"/>
      <c r="N50" s="643"/>
      <c r="V50" s="439">
        <f>V44/V49</f>
        <v>0.79007908002532068</v>
      </c>
    </row>
    <row r="51" spans="4:22" x14ac:dyDescent="0.3">
      <c r="I51" s="500" t="s">
        <v>95</v>
      </c>
      <c r="J51" s="500" t="s">
        <v>236</v>
      </c>
    </row>
    <row r="52" spans="4:22" x14ac:dyDescent="0.3">
      <c r="G52" s="500" t="s">
        <v>237</v>
      </c>
      <c r="H52" s="500" t="s">
        <v>95</v>
      </c>
      <c r="I52" s="501" t="s">
        <v>238</v>
      </c>
      <c r="J52" s="502" t="s">
        <v>235</v>
      </c>
      <c r="K52" s="503" t="s">
        <v>239</v>
      </c>
    </row>
    <row r="53" spans="4:22" x14ac:dyDescent="0.3">
      <c r="G53" s="472">
        <v>0.01</v>
      </c>
      <c r="H53" s="472">
        <f>$I$40*G53*1.03*0.75</f>
        <v>7.5141702638327774E-3</v>
      </c>
      <c r="I53" s="472">
        <f t="shared" ref="I53:I62" si="15">(1-G53)*$G$40*$G$41*$G$42+G53*$H$40*$H$41*$H$42</f>
        <v>4.4539874153102267E-2</v>
      </c>
      <c r="J53" s="472">
        <v>0.04</v>
      </c>
      <c r="K53" s="472">
        <f>I53/J53</f>
        <v>1.1134968538275567</v>
      </c>
      <c r="O53" s="504"/>
    </row>
    <row r="54" spans="4:22" x14ac:dyDescent="0.3">
      <c r="G54" s="472">
        <v>1.4999999999999999E-2</v>
      </c>
      <c r="H54" s="472">
        <f t="shared" ref="H54:H62" si="16">$H$40*G54*1.03*0.75</f>
        <v>7.8427617786943245E-3</v>
      </c>
      <c r="I54" s="472">
        <f t="shared" si="15"/>
        <v>4.7307673896162993E-2</v>
      </c>
      <c r="J54" s="472">
        <v>0.04</v>
      </c>
      <c r="K54" s="472">
        <f t="shared" ref="K54:K62" si="17">I54/J54</f>
        <v>1.1826918474040748</v>
      </c>
    </row>
    <row r="55" spans="4:22" x14ac:dyDescent="0.3">
      <c r="G55" s="472">
        <v>0.02</v>
      </c>
      <c r="H55" s="472">
        <f t="shared" si="16"/>
        <v>1.0457015704925767E-2</v>
      </c>
      <c r="I55" s="472">
        <f t="shared" si="15"/>
        <v>5.0075473639223725E-2</v>
      </c>
      <c r="J55" s="472">
        <v>0.04</v>
      </c>
      <c r="K55" s="472">
        <f t="shared" si="17"/>
        <v>1.251886840980593</v>
      </c>
    </row>
    <row r="56" spans="4:22" x14ac:dyDescent="0.3">
      <c r="E56" s="505" t="s">
        <v>240</v>
      </c>
      <c r="F56" s="505"/>
      <c r="G56" s="506">
        <v>2.5000000000000001E-2</v>
      </c>
      <c r="H56" s="506">
        <f t="shared" si="16"/>
        <v>1.3071269631157208E-2</v>
      </c>
      <c r="I56" s="506">
        <f t="shared" si="15"/>
        <v>5.2843273382284457E-2</v>
      </c>
      <c r="J56" s="506">
        <v>0.04</v>
      </c>
      <c r="K56" s="506">
        <f t="shared" si="17"/>
        <v>1.3210818345571114</v>
      </c>
    </row>
    <row r="57" spans="4:22" x14ac:dyDescent="0.3">
      <c r="F57" s="507"/>
      <c r="G57" s="508">
        <v>0.03</v>
      </c>
      <c r="H57" s="508">
        <f t="shared" si="16"/>
        <v>1.5685523557388649E-2</v>
      </c>
      <c r="I57" s="508">
        <f t="shared" si="15"/>
        <v>5.561107312534519E-2</v>
      </c>
      <c r="J57" s="472">
        <v>0.04</v>
      </c>
      <c r="K57" s="508">
        <f t="shared" si="17"/>
        <v>1.3902768281336297</v>
      </c>
    </row>
    <row r="58" spans="4:22" x14ac:dyDescent="0.3">
      <c r="G58" s="508">
        <v>3.5000000000000003E-2</v>
      </c>
      <c r="H58" s="508">
        <f t="shared" si="16"/>
        <v>1.8299777483620095E-2</v>
      </c>
      <c r="I58" s="508">
        <f t="shared" si="15"/>
        <v>5.8378872868405915E-2</v>
      </c>
      <c r="J58" s="472">
        <v>0.04</v>
      </c>
      <c r="K58" s="508">
        <f t="shared" si="17"/>
        <v>1.4594718217101479</v>
      </c>
    </row>
    <row r="59" spans="4:22" x14ac:dyDescent="0.3">
      <c r="E59" s="509" t="s">
        <v>241</v>
      </c>
      <c r="F59" s="509"/>
      <c r="G59" s="510">
        <v>0.04</v>
      </c>
      <c r="H59" s="510">
        <f t="shared" si="16"/>
        <v>2.0914031409851534E-2</v>
      </c>
      <c r="I59" s="510">
        <f t="shared" si="15"/>
        <v>6.114667261146664E-2</v>
      </c>
      <c r="J59" s="510">
        <v>0.04</v>
      </c>
      <c r="K59" s="510">
        <f t="shared" si="17"/>
        <v>1.528666815286666</v>
      </c>
      <c r="P59" s="511"/>
    </row>
    <row r="60" spans="4:22" x14ac:dyDescent="0.3">
      <c r="G60" s="472">
        <v>4.4999999999999998E-2</v>
      </c>
      <c r="H60" s="472">
        <f t="shared" si="16"/>
        <v>2.3528285336082973E-2</v>
      </c>
      <c r="I60" s="472">
        <f t="shared" si="15"/>
        <v>6.391447235452738E-2</v>
      </c>
      <c r="J60" s="472">
        <v>0.04</v>
      </c>
      <c r="K60" s="472">
        <f t="shared" si="17"/>
        <v>1.5978618088631844</v>
      </c>
      <c r="P60" s="511"/>
    </row>
    <row r="61" spans="4:22" x14ac:dyDescent="0.3">
      <c r="F61" s="507"/>
      <c r="G61" s="508">
        <v>0.05</v>
      </c>
      <c r="H61" s="508">
        <f t="shared" si="16"/>
        <v>2.6142539262314416E-2</v>
      </c>
      <c r="I61" s="508">
        <f t="shared" si="15"/>
        <v>6.6682272097588091E-2</v>
      </c>
      <c r="J61" s="472">
        <v>0.04</v>
      </c>
      <c r="K61" s="508">
        <f t="shared" si="17"/>
        <v>1.6670568024397023</v>
      </c>
    </row>
    <row r="62" spans="4:22" x14ac:dyDescent="0.3">
      <c r="G62" s="472">
        <v>5.5E-2</v>
      </c>
      <c r="H62" s="472">
        <f t="shared" si="16"/>
        <v>2.8756793188545859E-2</v>
      </c>
      <c r="I62" s="472">
        <f t="shared" si="15"/>
        <v>6.945007184064883E-2</v>
      </c>
      <c r="J62" s="472">
        <v>0.04</v>
      </c>
      <c r="K62" s="472">
        <f t="shared" si="17"/>
        <v>1.7362517960162207</v>
      </c>
    </row>
    <row r="63" spans="4:22" x14ac:dyDescent="0.3">
      <c r="G63" s="472"/>
      <c r="H63" s="472"/>
      <c r="I63" s="472"/>
      <c r="J63" s="472"/>
      <c r="K63" s="472"/>
    </row>
  </sheetData>
  <mergeCells count="9">
    <mergeCell ref="D39:D50"/>
    <mergeCell ref="N39:N50"/>
    <mergeCell ref="D1:K1"/>
    <mergeCell ref="N1:U1"/>
    <mergeCell ref="A2:B2"/>
    <mergeCell ref="D2:D17"/>
    <mergeCell ref="N2:N17"/>
    <mergeCell ref="D18:D38"/>
    <mergeCell ref="N18:N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="65" zoomScaleNormal="65" workbookViewId="0">
      <selection activeCell="I2" sqref="I2"/>
    </sheetView>
  </sheetViews>
  <sheetFormatPr defaultRowHeight="14" x14ac:dyDescent="0.3"/>
  <cols>
    <col min="1" max="1" width="8.6640625" style="542"/>
    <col min="2" max="2" width="10.83203125" style="542" bestFit="1" customWidth="1"/>
    <col min="3" max="3" width="13.25" style="542" bestFit="1" customWidth="1"/>
    <col min="4" max="5" width="14.33203125" style="548" customWidth="1"/>
    <col min="6" max="6" width="22.9140625" style="542" bestFit="1" customWidth="1"/>
    <col min="7" max="7" width="7.58203125" style="542" customWidth="1"/>
    <col min="8" max="8" width="7.33203125" style="542" customWidth="1"/>
    <col min="9" max="10" width="8.6640625" style="542" customWidth="1"/>
    <col min="11" max="11" width="9.33203125" style="542" bestFit="1" customWidth="1"/>
    <col min="12" max="12" width="4.5" style="542" bestFit="1" customWidth="1"/>
    <col min="13" max="13" width="7.08203125" style="542" customWidth="1"/>
    <col min="14" max="16384" width="8.6640625" style="542"/>
  </cols>
  <sheetData>
    <row r="1" spans="1:13" s="537" customFormat="1" ht="25.5" customHeight="1" x14ac:dyDescent="0.3">
      <c r="D1" s="538" t="s">
        <v>251</v>
      </c>
      <c r="E1" s="538" t="s">
        <v>252</v>
      </c>
      <c r="F1" s="539" t="s">
        <v>14</v>
      </c>
      <c r="G1" s="540"/>
      <c r="K1" s="537" t="s">
        <v>85</v>
      </c>
      <c r="L1" s="537" t="s">
        <v>83</v>
      </c>
      <c r="M1" s="537" t="s">
        <v>95</v>
      </c>
    </row>
    <row r="2" spans="1:13" x14ac:dyDescent="0.3">
      <c r="A2" s="559"/>
      <c r="B2" s="559"/>
      <c r="C2" s="564" t="s">
        <v>267</v>
      </c>
      <c r="D2" s="549" t="s">
        <v>266</v>
      </c>
      <c r="E2" s="560"/>
      <c r="F2" s="546"/>
      <c r="G2" s="552">
        <f>$C$4</f>
        <v>0.4</v>
      </c>
      <c r="H2" s="545">
        <f>D3</f>
        <v>0.97499999999999998</v>
      </c>
      <c r="I2" s="557">
        <v>0.01</v>
      </c>
      <c r="J2" s="557">
        <v>0.01</v>
      </c>
      <c r="K2" s="543">
        <f>J2*I2*H2*G2</f>
        <v>3.8999999999999999E-5</v>
      </c>
      <c r="L2" s="544">
        <v>0</v>
      </c>
      <c r="M2" s="545">
        <f t="shared" ref="M2:M9" si="0">L2*K2</f>
        <v>0</v>
      </c>
    </row>
    <row r="3" spans="1:13" x14ac:dyDescent="0.3">
      <c r="A3" s="559"/>
      <c r="B3" s="559"/>
      <c r="C3" s="565"/>
      <c r="D3" s="550">
        <v>0.97499999999999998</v>
      </c>
      <c r="E3" s="560"/>
      <c r="F3" s="546"/>
      <c r="G3" s="552"/>
      <c r="H3" s="545"/>
      <c r="K3" s="543"/>
      <c r="L3" s="544"/>
      <c r="M3" s="545"/>
    </row>
    <row r="4" spans="1:13" ht="14" customHeight="1" x14ac:dyDescent="0.3">
      <c r="A4" s="559"/>
      <c r="B4" s="559"/>
      <c r="C4" s="551">
        <v>0.4</v>
      </c>
      <c r="D4" s="555" t="s">
        <v>269</v>
      </c>
      <c r="E4" s="560"/>
      <c r="F4" s="546" t="s">
        <v>253</v>
      </c>
      <c r="G4" s="552">
        <f t="shared" ref="G4:G5" si="1">$C$4</f>
        <v>0.4</v>
      </c>
      <c r="H4" s="545">
        <f>D5</f>
        <v>2.5000000000000001E-2</v>
      </c>
      <c r="I4" s="557">
        <v>0.01</v>
      </c>
      <c r="J4" s="557">
        <v>0.99</v>
      </c>
      <c r="K4" s="543">
        <f t="shared" ref="K4:K9" si="2">J4*I4*H4*G4</f>
        <v>9.9000000000000021E-5</v>
      </c>
      <c r="L4" s="544">
        <v>0</v>
      </c>
      <c r="M4" s="545">
        <f t="shared" si="0"/>
        <v>0</v>
      </c>
    </row>
    <row r="5" spans="1:13" x14ac:dyDescent="0.3">
      <c r="A5" s="559"/>
      <c r="B5" s="559"/>
      <c r="D5" s="556">
        <v>2.5000000000000001E-2</v>
      </c>
      <c r="E5" s="560"/>
      <c r="F5" s="546" t="s">
        <v>254</v>
      </c>
      <c r="G5" s="552">
        <f t="shared" si="1"/>
        <v>0.4</v>
      </c>
      <c r="H5" s="545">
        <f>D5</f>
        <v>2.5000000000000001E-2</v>
      </c>
      <c r="I5" s="557">
        <v>0.01</v>
      </c>
      <c r="J5" s="557">
        <v>0.01</v>
      </c>
      <c r="K5" s="558">
        <f t="shared" si="2"/>
        <v>1.0000000000000002E-6</v>
      </c>
      <c r="L5" s="544">
        <v>0</v>
      </c>
      <c r="M5" s="545">
        <f t="shared" si="0"/>
        <v>0</v>
      </c>
    </row>
    <row r="6" spans="1:13" ht="14" customHeight="1" x14ac:dyDescent="0.3">
      <c r="A6" s="559"/>
      <c r="B6" s="559"/>
      <c r="C6" s="562" t="s">
        <v>268</v>
      </c>
      <c r="D6" s="560"/>
      <c r="E6" s="560" t="s">
        <v>255</v>
      </c>
      <c r="F6" s="546"/>
      <c r="G6" s="554">
        <f>$C$9</f>
        <v>0.6</v>
      </c>
      <c r="H6" s="557">
        <v>0.01</v>
      </c>
      <c r="I6" s="557">
        <v>0.99</v>
      </c>
      <c r="J6" s="557">
        <v>0.01</v>
      </c>
      <c r="K6" s="543">
        <f t="shared" si="2"/>
        <v>5.94E-5</v>
      </c>
      <c r="L6" s="544">
        <v>0</v>
      </c>
      <c r="M6" s="545">
        <f t="shared" si="0"/>
        <v>0</v>
      </c>
    </row>
    <row r="7" spans="1:13" x14ac:dyDescent="0.3">
      <c r="A7" s="559"/>
      <c r="B7" s="559"/>
      <c r="C7" s="563"/>
      <c r="D7" s="560"/>
      <c r="E7" s="560"/>
      <c r="F7" s="546"/>
      <c r="G7" s="554">
        <f>$C$9</f>
        <v>0.6</v>
      </c>
      <c r="H7" s="557">
        <v>0.01</v>
      </c>
      <c r="I7" s="557">
        <v>0.99</v>
      </c>
      <c r="J7" s="557">
        <v>0.01</v>
      </c>
      <c r="K7" s="543">
        <f t="shared" si="2"/>
        <v>5.94E-5</v>
      </c>
      <c r="L7" s="544">
        <v>0</v>
      </c>
      <c r="M7" s="545">
        <f t="shared" si="0"/>
        <v>0</v>
      </c>
    </row>
    <row r="8" spans="1:13" x14ac:dyDescent="0.3">
      <c r="A8" s="559"/>
      <c r="B8" s="559"/>
      <c r="C8" s="563"/>
      <c r="D8" s="560"/>
      <c r="E8" s="560" t="s">
        <v>256</v>
      </c>
      <c r="F8" s="546" t="s">
        <v>253</v>
      </c>
      <c r="G8" s="554">
        <f>$C$9</f>
        <v>0.6</v>
      </c>
      <c r="H8" s="557">
        <v>0.01</v>
      </c>
      <c r="I8" s="557">
        <v>0.01</v>
      </c>
      <c r="J8" s="557">
        <v>0.99</v>
      </c>
      <c r="K8" s="543">
        <f t="shared" si="2"/>
        <v>5.94E-5</v>
      </c>
      <c r="L8" s="544">
        <v>0</v>
      </c>
      <c r="M8" s="545">
        <f t="shared" si="0"/>
        <v>0</v>
      </c>
    </row>
    <row r="9" spans="1:13" x14ac:dyDescent="0.3">
      <c r="A9" s="559"/>
      <c r="B9" s="559"/>
      <c r="C9" s="553">
        <v>0.6</v>
      </c>
      <c r="D9" s="560"/>
      <c r="E9" s="560"/>
      <c r="F9" s="546" t="s">
        <v>254</v>
      </c>
      <c r="G9" s="554">
        <f>$C$9</f>
        <v>0.6</v>
      </c>
      <c r="H9" s="557">
        <v>0.01</v>
      </c>
      <c r="I9" s="557">
        <v>0.01</v>
      </c>
      <c r="J9" s="557">
        <v>0.01</v>
      </c>
      <c r="K9" s="543">
        <f t="shared" si="2"/>
        <v>6.0000000000000008E-7</v>
      </c>
      <c r="L9" s="544">
        <v>0</v>
      </c>
      <c r="M9" s="545">
        <f t="shared" si="0"/>
        <v>0</v>
      </c>
    </row>
    <row r="10" spans="1:13" ht="14" customHeight="1" x14ac:dyDescent="0.3">
      <c r="A10" s="559"/>
      <c r="B10" s="559"/>
      <c r="C10" s="561" t="s">
        <v>257</v>
      </c>
      <c r="D10" s="566" t="s">
        <v>258</v>
      </c>
      <c r="E10" s="560"/>
      <c r="F10" s="541"/>
      <c r="K10" s="569" t="s">
        <v>259</v>
      </c>
    </row>
    <row r="11" spans="1:13" x14ac:dyDescent="0.3">
      <c r="A11" s="559"/>
      <c r="B11" s="559"/>
      <c r="C11" s="561"/>
      <c r="D11" s="567"/>
      <c r="E11" s="560"/>
      <c r="F11" s="546" t="s">
        <v>260</v>
      </c>
      <c r="K11" s="569"/>
    </row>
    <row r="12" spans="1:13" x14ac:dyDescent="0.3">
      <c r="A12" s="559"/>
      <c r="B12" s="559"/>
      <c r="C12" s="561"/>
      <c r="D12" s="568"/>
      <c r="E12" s="560"/>
      <c r="F12" s="546" t="s">
        <v>261</v>
      </c>
      <c r="K12" s="569"/>
    </row>
    <row r="13" spans="1:13" ht="14" customHeight="1" x14ac:dyDescent="0.3">
      <c r="A13" s="559"/>
      <c r="B13" s="559"/>
      <c r="C13" s="561"/>
      <c r="D13" s="566" t="s">
        <v>262</v>
      </c>
      <c r="E13" s="560"/>
      <c r="F13" s="541"/>
      <c r="K13" s="569"/>
    </row>
    <row r="14" spans="1:13" x14ac:dyDescent="0.3">
      <c r="A14" s="559"/>
      <c r="B14" s="559"/>
      <c r="C14" s="561"/>
      <c r="D14" s="567"/>
      <c r="E14" s="560"/>
      <c r="F14" s="546" t="s">
        <v>260</v>
      </c>
      <c r="K14" s="569"/>
    </row>
    <row r="15" spans="1:13" x14ac:dyDescent="0.3">
      <c r="A15" s="559"/>
      <c r="B15" s="559"/>
      <c r="C15" s="561"/>
      <c r="D15" s="568"/>
      <c r="E15" s="560"/>
      <c r="F15" s="546" t="s">
        <v>261</v>
      </c>
      <c r="K15" s="569"/>
    </row>
    <row r="16" spans="1:13" ht="14" customHeight="1" x14ac:dyDescent="0.3">
      <c r="A16" s="559"/>
      <c r="B16" s="559" t="s">
        <v>263</v>
      </c>
      <c r="C16" s="561"/>
      <c r="D16" s="560" t="s">
        <v>258</v>
      </c>
      <c r="E16" s="560" t="s">
        <v>258</v>
      </c>
      <c r="F16" s="541"/>
      <c r="K16" s="569"/>
    </row>
    <row r="17" spans="1:11" x14ac:dyDescent="0.3">
      <c r="A17" s="559"/>
      <c r="B17" s="559"/>
      <c r="C17" s="561"/>
      <c r="D17" s="560"/>
      <c r="E17" s="560"/>
      <c r="F17" s="546" t="s">
        <v>260</v>
      </c>
      <c r="K17" s="569"/>
    </row>
    <row r="18" spans="1:11" x14ac:dyDescent="0.3">
      <c r="A18" s="559"/>
      <c r="B18" s="559"/>
      <c r="C18" s="561"/>
      <c r="D18" s="560"/>
      <c r="E18" s="560"/>
      <c r="F18" s="546" t="s">
        <v>261</v>
      </c>
      <c r="K18" s="569"/>
    </row>
    <row r="19" spans="1:11" x14ac:dyDescent="0.3">
      <c r="A19" s="559"/>
      <c r="B19" s="559"/>
      <c r="C19" s="561"/>
      <c r="D19" s="560"/>
      <c r="E19" s="560" t="s">
        <v>262</v>
      </c>
      <c r="F19" s="541"/>
      <c r="K19" s="569"/>
    </row>
    <row r="20" spans="1:11" x14ac:dyDescent="0.3">
      <c r="A20" s="559"/>
      <c r="B20" s="559"/>
      <c r="C20" s="561"/>
      <c r="D20" s="560"/>
      <c r="E20" s="560"/>
      <c r="F20" s="546" t="s">
        <v>260</v>
      </c>
      <c r="K20" s="569"/>
    </row>
    <row r="21" spans="1:11" x14ac:dyDescent="0.3">
      <c r="A21" s="559"/>
      <c r="B21" s="559"/>
      <c r="C21" s="561"/>
      <c r="D21" s="560"/>
      <c r="E21" s="560"/>
      <c r="F21" s="546" t="s">
        <v>261</v>
      </c>
      <c r="K21" s="569"/>
    </row>
    <row r="22" spans="1:11" ht="14" customHeight="1" x14ac:dyDescent="0.3">
      <c r="A22" s="559"/>
      <c r="B22" s="559"/>
      <c r="C22" s="561"/>
      <c r="D22" s="560" t="s">
        <v>264</v>
      </c>
      <c r="E22" s="560" t="s">
        <v>258</v>
      </c>
      <c r="F22" s="541"/>
      <c r="K22" s="569"/>
    </row>
    <row r="23" spans="1:11" x14ac:dyDescent="0.3">
      <c r="A23" s="559"/>
      <c r="B23" s="559"/>
      <c r="C23" s="561"/>
      <c r="D23" s="560"/>
      <c r="E23" s="560"/>
      <c r="F23" s="546" t="s">
        <v>260</v>
      </c>
      <c r="K23" s="569"/>
    </row>
    <row r="24" spans="1:11" x14ac:dyDescent="0.3">
      <c r="A24" s="559"/>
      <c r="B24" s="559"/>
      <c r="C24" s="561"/>
      <c r="D24" s="560"/>
      <c r="E24" s="560"/>
      <c r="F24" s="546" t="s">
        <v>261</v>
      </c>
      <c r="K24" s="569"/>
    </row>
    <row r="25" spans="1:11" ht="14" customHeight="1" x14ac:dyDescent="0.3">
      <c r="A25" s="559"/>
      <c r="B25" s="559"/>
      <c r="C25" s="561"/>
      <c r="D25" s="560"/>
      <c r="E25" s="560" t="s">
        <v>262</v>
      </c>
      <c r="F25" s="541"/>
      <c r="K25" s="569"/>
    </row>
    <row r="26" spans="1:11" x14ac:dyDescent="0.3">
      <c r="A26" s="559"/>
      <c r="B26" s="559"/>
      <c r="C26" s="561"/>
      <c r="D26" s="560"/>
      <c r="E26" s="560"/>
      <c r="F26" s="546" t="s">
        <v>260</v>
      </c>
      <c r="K26" s="569"/>
    </row>
    <row r="27" spans="1:11" x14ac:dyDescent="0.3">
      <c r="A27" s="559"/>
      <c r="B27" s="559"/>
      <c r="C27" s="561"/>
      <c r="D27" s="560"/>
      <c r="E27" s="560"/>
      <c r="F27" s="546" t="s">
        <v>261</v>
      </c>
      <c r="K27" s="569"/>
    </row>
    <row r="28" spans="1:11" ht="14" customHeight="1" x14ac:dyDescent="0.3">
      <c r="A28" s="559"/>
      <c r="B28" s="559" t="s">
        <v>265</v>
      </c>
      <c r="C28" s="561"/>
      <c r="D28" s="560"/>
      <c r="E28" s="560" t="s">
        <v>258</v>
      </c>
      <c r="F28" s="541"/>
      <c r="K28" s="569"/>
    </row>
    <row r="29" spans="1:11" x14ac:dyDescent="0.3">
      <c r="A29" s="559"/>
      <c r="B29" s="559"/>
      <c r="C29" s="561"/>
      <c r="D29" s="560"/>
      <c r="E29" s="560"/>
      <c r="F29" s="546" t="s">
        <v>260</v>
      </c>
      <c r="K29" s="569"/>
    </row>
    <row r="30" spans="1:11" x14ac:dyDescent="0.3">
      <c r="A30" s="559"/>
      <c r="B30" s="559"/>
      <c r="C30" s="561"/>
      <c r="D30" s="560"/>
      <c r="E30" s="560"/>
      <c r="F30" s="546" t="s">
        <v>261</v>
      </c>
      <c r="K30" s="569"/>
    </row>
    <row r="31" spans="1:11" ht="14" customHeight="1" x14ac:dyDescent="0.3">
      <c r="A31" s="559"/>
      <c r="B31" s="559"/>
      <c r="C31" s="561"/>
      <c r="D31" s="560"/>
      <c r="E31" s="560" t="s">
        <v>262</v>
      </c>
      <c r="F31" s="541"/>
      <c r="K31" s="569"/>
    </row>
    <row r="32" spans="1:11" x14ac:dyDescent="0.3">
      <c r="A32" s="559"/>
      <c r="B32" s="559"/>
      <c r="C32" s="561"/>
      <c r="D32" s="560"/>
      <c r="E32" s="560"/>
      <c r="F32" s="546" t="s">
        <v>260</v>
      </c>
      <c r="K32" s="569"/>
    </row>
    <row r="33" spans="1:11" ht="14.5" thickBot="1" x14ac:dyDescent="0.35">
      <c r="A33" s="559"/>
      <c r="B33" s="559"/>
      <c r="C33" s="561"/>
      <c r="D33" s="570"/>
      <c r="E33" s="570"/>
      <c r="F33" s="547" t="s">
        <v>261</v>
      </c>
      <c r="K33" s="569"/>
    </row>
  </sheetData>
  <mergeCells count="28">
    <mergeCell ref="E10:E12"/>
    <mergeCell ref="K10:K33"/>
    <mergeCell ref="D13:D15"/>
    <mergeCell ref="E13:E15"/>
    <mergeCell ref="B16:C27"/>
    <mergeCell ref="E28:E30"/>
    <mergeCell ref="D31:D33"/>
    <mergeCell ref="E31:E33"/>
    <mergeCell ref="E19:E21"/>
    <mergeCell ref="D22:D27"/>
    <mergeCell ref="E22:E24"/>
    <mergeCell ref="E25:E27"/>
    <mergeCell ref="A2:A33"/>
    <mergeCell ref="B2:B15"/>
    <mergeCell ref="E2:E3"/>
    <mergeCell ref="D16:D21"/>
    <mergeCell ref="E16:E18"/>
    <mergeCell ref="B28:C33"/>
    <mergeCell ref="D28:D30"/>
    <mergeCell ref="C6:C8"/>
    <mergeCell ref="C2:C3"/>
    <mergeCell ref="E4:E5"/>
    <mergeCell ref="D6:D7"/>
    <mergeCell ref="E6:E7"/>
    <mergeCell ref="D8:D9"/>
    <mergeCell ref="E8:E9"/>
    <mergeCell ref="C10:C15"/>
    <mergeCell ref="D10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showGridLines="0" zoomScale="78" zoomScaleNormal="78" workbookViewId="0">
      <pane xSplit="1" ySplit="4" topLeftCell="B8" activePane="bottomRight" state="frozen"/>
      <selection activeCell="H14" sqref="H14:H15"/>
      <selection pane="topRight" activeCell="H14" sqref="H14:H15"/>
      <selection pane="bottomLeft" activeCell="H14" sqref="H14:H15"/>
      <selection pane="bottomRight" activeCell="A21" sqref="A21:B23"/>
    </sheetView>
  </sheetViews>
  <sheetFormatPr defaultColWidth="8.58203125" defaultRowHeight="12.5" x14ac:dyDescent="0.25"/>
  <cols>
    <col min="1" max="1" width="30.83203125" style="1" customWidth="1"/>
    <col min="2" max="2" width="22.4140625" style="1" customWidth="1"/>
    <col min="3" max="3" width="25.33203125" style="1" customWidth="1"/>
    <col min="4" max="16384" width="8.58203125" style="1"/>
  </cols>
  <sheetData>
    <row r="2" spans="1:3" s="4" customFormat="1" x14ac:dyDescent="0.25">
      <c r="A2" s="2" t="str">
        <f>'Output&amp;Input'!B3</f>
        <v>Platform</v>
      </c>
      <c r="B2" s="3" t="str">
        <f>'Output&amp;Input'!D3</f>
        <v>Lixiangxue</v>
      </c>
      <c r="C2" s="3" t="str">
        <f>'Output&amp;Input'!E3</f>
        <v>Lixiangxue</v>
      </c>
    </row>
    <row r="3" spans="1:3" s="4" customFormat="1" x14ac:dyDescent="0.25">
      <c r="A3" s="5" t="str">
        <f>'Output&amp;Input'!B4</f>
        <v>Loan Channel</v>
      </c>
      <c r="B3" s="6" t="str">
        <f>'Output&amp;Input'!D4</f>
        <v>OffCN</v>
      </c>
      <c r="C3" s="6" t="str">
        <f>'Output&amp;Input'!E4</f>
        <v>OffCN</v>
      </c>
    </row>
    <row r="4" spans="1:3" s="9" customFormat="1" x14ac:dyDescent="0.3">
      <c r="A4" s="7" t="str">
        <f>'Output&amp;Input'!B5</f>
        <v>Guarantor</v>
      </c>
      <c r="B4" s="8" t="str">
        <f>'Output&amp;Input'!D5</f>
        <v>Da Qin</v>
      </c>
      <c r="C4" s="8" t="str">
        <f>'Output&amp;Input'!E5</f>
        <v>OffCN</v>
      </c>
    </row>
    <row r="5" spans="1:3" s="12" customFormat="1" x14ac:dyDescent="0.25">
      <c r="A5" s="5" t="s">
        <v>0</v>
      </c>
      <c r="B5" s="11"/>
      <c r="C5" s="11"/>
    </row>
    <row r="6" spans="1:3" x14ac:dyDescent="0.25">
      <c r="A6" s="13"/>
      <c r="B6" s="14"/>
      <c r="C6" s="14"/>
    </row>
    <row r="7" spans="1:3" s="4" customFormat="1" x14ac:dyDescent="0.25">
      <c r="A7" s="15" t="s">
        <v>2</v>
      </c>
      <c r="B7" s="10" t="s">
        <v>1</v>
      </c>
      <c r="C7" s="10" t="s">
        <v>1</v>
      </c>
    </row>
    <row r="8" spans="1:3" s="18" customFormat="1" ht="33.65" customHeight="1" x14ac:dyDescent="0.3">
      <c r="A8" s="16" t="s">
        <v>3</v>
      </c>
      <c r="B8" s="17"/>
      <c r="C8" s="17"/>
    </row>
    <row r="9" spans="1:3" s="18" customFormat="1" ht="34.5" customHeight="1" x14ac:dyDescent="0.3">
      <c r="A9" s="16" t="s">
        <v>4</v>
      </c>
      <c r="B9" s="17"/>
      <c r="C9" s="17"/>
    </row>
    <row r="10" spans="1:3" s="4" customFormat="1" x14ac:dyDescent="0.25">
      <c r="A10" s="15" t="s">
        <v>5</v>
      </c>
      <c r="B10" s="19" t="str">
        <f t="shared" ref="B10:C10" si="0">IF(OR(B11&gt;B12,B11=B12),"PASS","FAIL")</f>
        <v>FAIL</v>
      </c>
      <c r="C10" s="19" t="str">
        <f t="shared" si="0"/>
        <v>FAIL</v>
      </c>
    </row>
    <row r="11" spans="1:3" s="21" customFormat="1" ht="14" x14ac:dyDescent="0.3">
      <c r="A11" s="526" t="s">
        <v>245</v>
      </c>
      <c r="B11" s="20">
        <f>'Output&amp;Input'!D175</f>
        <v>6.0000000000000001E-3</v>
      </c>
      <c r="C11" s="20">
        <f>'Output&amp;Input'!E175</f>
        <v>6.0000000000000001E-3</v>
      </c>
    </row>
    <row r="12" spans="1:3" s="21" customFormat="1" ht="14" x14ac:dyDescent="0.3">
      <c r="A12" s="526" t="s">
        <v>244</v>
      </c>
      <c r="B12" s="22">
        <f>'Output&amp;Input'!D92</f>
        <v>2.184364195034625E-2</v>
      </c>
      <c r="C12" s="22">
        <f>'Output&amp;Input'!E92</f>
        <v>2.7304552437932811E-2</v>
      </c>
    </row>
    <row r="13" spans="1:3" s="4" customFormat="1" ht="14" x14ac:dyDescent="0.3">
      <c r="A13" s="523" t="s">
        <v>119</v>
      </c>
      <c r="B13" s="24" t="str">
        <f t="shared" ref="B13:C13" si="1">IF(OR(B14&gt;B15,B14=B15),"PASS","FAIL")</f>
        <v>PASS</v>
      </c>
      <c r="C13" s="24" t="str">
        <f t="shared" si="1"/>
        <v>PASS</v>
      </c>
    </row>
    <row r="14" spans="1:3" s="21" customFormat="1" ht="14" x14ac:dyDescent="0.3">
      <c r="A14" s="526" t="s">
        <v>117</v>
      </c>
      <c r="B14" s="25">
        <f>'Output&amp;Input'!D161</f>
        <v>0.18</v>
      </c>
      <c r="C14" s="25">
        <f>'Output&amp;Input'!E161</f>
        <v>0.43</v>
      </c>
    </row>
    <row r="15" spans="1:3" s="21" customFormat="1" ht="14" x14ac:dyDescent="0.3">
      <c r="A15" s="526" t="s">
        <v>246</v>
      </c>
      <c r="B15" s="25">
        <f>'Output&amp;Input'!D88+2%</f>
        <v>4.7304552437932815E-2</v>
      </c>
      <c r="C15" s="25">
        <f>'Output&amp;Input'!E88+2%</f>
        <v>4.7304552437932815E-2</v>
      </c>
    </row>
    <row r="16" spans="1:3" s="4" customFormat="1" ht="14" x14ac:dyDescent="0.3">
      <c r="A16" s="523" t="s">
        <v>120</v>
      </c>
      <c r="B16" s="26" t="str">
        <f t="shared" ref="B16:C16" si="2">IF(B18&gt;0,"PASS","FAIL")</f>
        <v>PASS</v>
      </c>
      <c r="C16" s="26" t="str">
        <f t="shared" si="2"/>
        <v>PASS</v>
      </c>
    </row>
    <row r="17" spans="1:3" s="4" customFormat="1" ht="14" x14ac:dyDescent="0.3">
      <c r="A17" s="526" t="s">
        <v>247</v>
      </c>
      <c r="B17" s="25">
        <f>'Output&amp;Input'!D164</f>
        <v>3.7999999999999999E-2</v>
      </c>
      <c r="C17" s="25">
        <f>'Output&amp;Input'!E164</f>
        <v>3.7999999999999999E-2</v>
      </c>
    </row>
    <row r="18" spans="1:3" s="21" customFormat="1" ht="14" x14ac:dyDescent="0.3">
      <c r="A18" s="526" t="s">
        <v>248</v>
      </c>
      <c r="B18" s="25">
        <f>'Output&amp;Input'!D165</f>
        <v>2.184364195034625E-2</v>
      </c>
      <c r="C18" s="25">
        <f>'Output&amp;Input'!E165</f>
        <v>2.7304552437932811E-2</v>
      </c>
    </row>
    <row r="19" spans="1:3" x14ac:dyDescent="0.25">
      <c r="A19" s="535" t="s">
        <v>6</v>
      </c>
      <c r="B19" s="27"/>
      <c r="C19" s="27"/>
    </row>
    <row r="21" spans="1:3" ht="14" x14ac:dyDescent="0.3">
      <c r="A21" s="4" t="str">
        <f>'Output&amp;Input'!A167</f>
        <v>Max loss limit</v>
      </c>
      <c r="B21" s="24" t="str">
        <f t="shared" ref="B21:C21" si="3">IF(OR(B22&gt;B23,B22=B23),"PASS","FAIL")</f>
        <v>PASS</v>
      </c>
      <c r="C21" s="24" t="str">
        <f t="shared" si="3"/>
        <v>FAIL</v>
      </c>
    </row>
    <row r="22" spans="1:3" x14ac:dyDescent="0.25">
      <c r="A22" s="1" t="str">
        <f>'Output&amp;Input'!A168</f>
        <v>%Margin/Max loss</v>
      </c>
      <c r="B22" s="536">
        <f>'Output&amp;Input'!D168</f>
        <v>0.03</v>
      </c>
      <c r="C22" s="536">
        <f>'Output&amp;Input'!E168</f>
        <v>0</v>
      </c>
    </row>
    <row r="23" spans="1:3" x14ac:dyDescent="0.25">
      <c r="A23" s="1" t="str">
        <f>'Output&amp;Input'!A169</f>
        <v>%ECL</v>
      </c>
      <c r="B23" s="536">
        <f>'Output&amp;Input'!D169</f>
        <v>2.184364195034625E-2</v>
      </c>
      <c r="C23" s="536">
        <f>'Output&amp;Input'!E169</f>
        <v>2.7304552437932811E-2</v>
      </c>
    </row>
  </sheetData>
  <conditionalFormatting sqref="B10">
    <cfRule type="expression" dxfId="3" priority="4">
      <formula>$B$10="FAIL"</formula>
    </cfRule>
  </conditionalFormatting>
  <conditionalFormatting sqref="C10">
    <cfRule type="expression" dxfId="2" priority="3">
      <formula>$C$10="FAIL"</formula>
    </cfRule>
  </conditionalFormatting>
  <conditionalFormatting sqref="C21">
    <cfRule type="expression" dxfId="1" priority="2">
      <formula>$C$21="FAIL"</formula>
    </cfRule>
  </conditionalFormatting>
  <conditionalFormatting sqref="B21">
    <cfRule type="expression" dxfId="0" priority="1">
      <formula>$B$21="FAIL"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showGridLines="0" tabSelected="1" zoomScale="64" zoomScaleNormal="64" workbookViewId="0">
      <pane xSplit="3" ySplit="6" topLeftCell="D139" activePane="bottomRight" state="frozen"/>
      <selection activeCell="H14" sqref="H14:H15"/>
      <selection pane="topRight" activeCell="H14" sqref="H14:H15"/>
      <selection pane="bottomLeft" activeCell="H14" sqref="H14:H15"/>
      <selection pane="bottomRight" activeCell="I146" sqref="I146:J150"/>
    </sheetView>
  </sheetViews>
  <sheetFormatPr defaultColWidth="9.08203125" defaultRowHeight="12.5" outlineLevelRow="1" x14ac:dyDescent="0.25"/>
  <cols>
    <col min="1" max="1" width="20.5" style="31" customWidth="1"/>
    <col min="2" max="2" width="13.58203125" style="31" customWidth="1"/>
    <col min="3" max="3" width="16.6640625" style="31" customWidth="1"/>
    <col min="4" max="4" width="18.6640625" style="28" bestFit="1" customWidth="1"/>
    <col min="5" max="5" width="16" style="28" bestFit="1" customWidth="1"/>
    <col min="6" max="6" width="18.6640625" style="28" bestFit="1" customWidth="1"/>
    <col min="7" max="7" width="9.08203125" style="28"/>
    <col min="8" max="8" width="10.5" style="28" bestFit="1" customWidth="1"/>
    <col min="9" max="9" width="13.1640625" style="28" bestFit="1" customWidth="1"/>
    <col min="10" max="10" width="10.25" style="28" customWidth="1"/>
    <col min="11" max="16384" width="9.08203125" style="28"/>
  </cols>
  <sheetData>
    <row r="1" spans="1:14" ht="15.75" customHeight="1" x14ac:dyDescent="0.25">
      <c r="A1" s="571" t="s">
        <v>7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</row>
    <row r="3" spans="1:14" ht="14" outlineLevel="1" x14ac:dyDescent="0.25">
      <c r="A3" s="29" t="s">
        <v>7</v>
      </c>
      <c r="B3" s="30" t="s">
        <v>8</v>
      </c>
      <c r="D3" s="32" t="s">
        <v>243</v>
      </c>
      <c r="E3" s="32" t="s">
        <v>243</v>
      </c>
      <c r="F3" s="41" t="s">
        <v>271</v>
      </c>
    </row>
    <row r="4" spans="1:14" ht="14" outlineLevel="1" x14ac:dyDescent="0.25">
      <c r="A4" s="33" t="s">
        <v>10</v>
      </c>
      <c r="B4" s="30" t="s">
        <v>11</v>
      </c>
      <c r="D4" s="32" t="s">
        <v>9</v>
      </c>
      <c r="E4" s="32" t="s">
        <v>9</v>
      </c>
    </row>
    <row r="5" spans="1:14" ht="14" outlineLevel="1" x14ac:dyDescent="0.3">
      <c r="A5" s="34"/>
      <c r="B5" s="30" t="s">
        <v>13</v>
      </c>
      <c r="D5" s="32" t="s">
        <v>14</v>
      </c>
      <c r="E5" s="32" t="s">
        <v>9</v>
      </c>
      <c r="F5" s="28" t="s">
        <v>272</v>
      </c>
    </row>
    <row r="6" spans="1:14" ht="14" hidden="1" outlineLevel="1" x14ac:dyDescent="0.3">
      <c r="A6" s="34"/>
      <c r="B6" s="30"/>
    </row>
    <row r="7" spans="1:14" outlineLevel="1" x14ac:dyDescent="0.25">
      <c r="B7" s="35" t="s">
        <v>15</v>
      </c>
      <c r="D7" s="36">
        <v>500</v>
      </c>
      <c r="E7" s="36">
        <v>500</v>
      </c>
    </row>
    <row r="8" spans="1:14" outlineLevel="1" x14ac:dyDescent="0.25">
      <c r="B8" s="35" t="s">
        <v>16</v>
      </c>
      <c r="D8" s="37">
        <v>0.03</v>
      </c>
      <c r="E8" s="37"/>
    </row>
    <row r="9" spans="1:14" outlineLevel="1" x14ac:dyDescent="0.25">
      <c r="B9" s="35" t="s">
        <v>17</v>
      </c>
      <c r="D9" s="38">
        <f>D10+D11+D12+D13+D14</f>
        <v>7.8E-2</v>
      </c>
      <c r="E9" s="38">
        <f>E10+E11+E12+E13+E14</f>
        <v>7.8E-2</v>
      </c>
      <c r="F9" s="653">
        <v>0.12</v>
      </c>
    </row>
    <row r="10" spans="1:14" outlineLevel="1" x14ac:dyDescent="0.25">
      <c r="B10" s="572" t="s">
        <v>18</v>
      </c>
      <c r="C10" s="573"/>
      <c r="D10" s="39">
        <v>7.1999999999999995E-2</v>
      </c>
      <c r="E10" s="39">
        <v>7.1999999999999995E-2</v>
      </c>
      <c r="F10" s="653">
        <v>0.08</v>
      </c>
    </row>
    <row r="11" spans="1:14" outlineLevel="1" x14ac:dyDescent="0.25">
      <c r="B11" s="572" t="s">
        <v>19</v>
      </c>
      <c r="C11" s="573"/>
      <c r="D11" s="39">
        <v>6.0000000000000001E-3</v>
      </c>
      <c r="E11" s="39">
        <v>6.0000000000000001E-3</v>
      </c>
      <c r="F11" s="653">
        <f>F9-F10</f>
        <v>3.9999999999999994E-2</v>
      </c>
    </row>
    <row r="12" spans="1:14" outlineLevel="1" x14ac:dyDescent="0.25">
      <c r="B12" s="572" t="s">
        <v>20</v>
      </c>
      <c r="C12" s="573"/>
      <c r="D12" s="39"/>
      <c r="E12" s="39"/>
    </row>
    <row r="13" spans="1:14" outlineLevel="1" x14ac:dyDescent="0.25">
      <c r="B13" s="572" t="s">
        <v>21</v>
      </c>
      <c r="C13" s="573"/>
      <c r="D13" s="40"/>
      <c r="E13" s="40"/>
    </row>
    <row r="14" spans="1:14" outlineLevel="1" x14ac:dyDescent="0.25">
      <c r="B14" s="572" t="s">
        <v>22</v>
      </c>
      <c r="C14" s="573"/>
      <c r="D14" s="37"/>
      <c r="E14" s="37"/>
    </row>
    <row r="15" spans="1:14" outlineLevel="1" x14ac:dyDescent="0.25">
      <c r="D15" s="41"/>
      <c r="E15" s="41"/>
    </row>
    <row r="16" spans="1:14" outlineLevel="1" x14ac:dyDescent="0.25">
      <c r="B16" s="35" t="s">
        <v>23</v>
      </c>
      <c r="D16" s="39">
        <v>0.03</v>
      </c>
      <c r="E16" s="39">
        <v>0.03</v>
      </c>
      <c r="F16" s="653">
        <v>0.03</v>
      </c>
    </row>
    <row r="17" spans="1:6" outlineLevel="1" x14ac:dyDescent="0.25">
      <c r="B17" s="35" t="s">
        <v>24</v>
      </c>
      <c r="D17" s="42">
        <v>0.01</v>
      </c>
      <c r="E17" s="42">
        <v>0.01</v>
      </c>
      <c r="F17" s="653">
        <v>0.01</v>
      </c>
    </row>
    <row r="18" spans="1:6" outlineLevel="1" x14ac:dyDescent="0.25">
      <c r="B18" s="35" t="s">
        <v>25</v>
      </c>
      <c r="D18" s="39"/>
      <c r="E18" s="39"/>
    </row>
    <row r="19" spans="1:6" customFormat="1" ht="14" outlineLevel="1" x14ac:dyDescent="0.3">
      <c r="A19" s="34"/>
      <c r="B19" s="34"/>
      <c r="C19" s="34"/>
    </row>
    <row r="20" spans="1:6" customFormat="1" ht="14" outlineLevel="1" x14ac:dyDescent="0.3">
      <c r="A20" s="44" t="s">
        <v>26</v>
      </c>
      <c r="B20" s="576" t="s">
        <v>8</v>
      </c>
      <c r="C20" s="577"/>
      <c r="D20" s="45" t="str">
        <f t="shared" ref="D20:E20" si="0">D3</f>
        <v>Lixiangxue</v>
      </c>
      <c r="E20" s="45" t="str">
        <f t="shared" si="0"/>
        <v>Lixiangxue</v>
      </c>
    </row>
    <row r="21" spans="1:6" customFormat="1" ht="14" outlineLevel="1" x14ac:dyDescent="0.3">
      <c r="A21" s="34"/>
      <c r="B21" s="578" t="s">
        <v>27</v>
      </c>
      <c r="C21" s="579"/>
      <c r="D21" s="47" t="str">
        <f t="shared" ref="D21:E21" si="1">D5</f>
        <v>Da Qin</v>
      </c>
      <c r="E21" s="47" t="str">
        <f t="shared" si="1"/>
        <v>OffCN</v>
      </c>
    </row>
    <row r="22" spans="1:6" customFormat="1" ht="14" outlineLevel="1" x14ac:dyDescent="0.3">
      <c r="A22" s="34"/>
      <c r="B22" s="580" t="s">
        <v>28</v>
      </c>
      <c r="C22" s="581"/>
      <c r="D22" s="48"/>
      <c r="E22" s="48"/>
    </row>
    <row r="23" spans="1:6" customFormat="1" ht="14" outlineLevel="1" x14ac:dyDescent="0.3">
      <c r="A23" s="34"/>
      <c r="B23" s="49" t="s">
        <v>29</v>
      </c>
      <c r="C23" s="50"/>
      <c r="D23" s="51">
        <f>1225959121.95/(10^6)</f>
        <v>1225.9591219500001</v>
      </c>
      <c r="E23" s="51">
        <f>15351254073.24/10^6</f>
        <v>15351.254073239999</v>
      </c>
    </row>
    <row r="24" spans="1:6" customFormat="1" ht="14" outlineLevel="1" x14ac:dyDescent="0.3">
      <c r="A24" s="34"/>
      <c r="B24" s="52" t="s">
        <v>30</v>
      </c>
      <c r="C24" s="53"/>
      <c r="D24" s="54">
        <f>1225853704.32/(10^6)</f>
        <v>1225.8537043199999</v>
      </c>
      <c r="E24" s="54"/>
    </row>
    <row r="25" spans="1:6" customFormat="1" ht="14" outlineLevel="1" x14ac:dyDescent="0.3">
      <c r="A25" s="34"/>
      <c r="B25" s="56" t="s">
        <v>31</v>
      </c>
      <c r="C25" s="53"/>
      <c r="D25" s="55">
        <f>779133895.79/(10^6)</f>
        <v>779.13389579</v>
      </c>
      <c r="E25" s="55"/>
    </row>
    <row r="26" spans="1:6" customFormat="1" ht="14" outlineLevel="1" x14ac:dyDescent="0.3">
      <c r="A26" s="34"/>
      <c r="B26" s="58" t="s">
        <v>32</v>
      </c>
      <c r="C26" s="59"/>
      <c r="D26" s="57"/>
      <c r="E26" s="57"/>
    </row>
    <row r="27" spans="1:6" customFormat="1" ht="14" outlineLevel="1" x14ac:dyDescent="0.3">
      <c r="A27" s="34"/>
      <c r="B27" s="56" t="s">
        <v>33</v>
      </c>
      <c r="C27" s="53"/>
      <c r="D27" s="57">
        <f>301892808.53/(10^6)</f>
        <v>301.89280852999997</v>
      </c>
      <c r="E27" s="57"/>
    </row>
    <row r="28" spans="1:6" customFormat="1" ht="14" outlineLevel="1" x14ac:dyDescent="0.3">
      <c r="A28" s="34"/>
      <c r="B28" s="56" t="s">
        <v>34</v>
      </c>
      <c r="C28" s="53"/>
      <c r="D28" s="57"/>
      <c r="E28" s="57"/>
    </row>
    <row r="29" spans="1:6" customFormat="1" ht="14" outlineLevel="1" x14ac:dyDescent="0.3">
      <c r="A29" s="34"/>
      <c r="B29" s="56" t="s">
        <v>35</v>
      </c>
      <c r="C29" s="53"/>
      <c r="D29" s="57"/>
      <c r="E29" s="57"/>
    </row>
    <row r="30" spans="1:6" customFormat="1" ht="14" outlineLevel="1" x14ac:dyDescent="0.3">
      <c r="A30" s="34"/>
      <c r="B30" s="52" t="s">
        <v>36</v>
      </c>
      <c r="C30" s="53"/>
      <c r="D30" s="57">
        <f>105417.63/(10^6)</f>
        <v>0.10541763</v>
      </c>
      <c r="E30" s="57"/>
    </row>
    <row r="31" spans="1:6" customFormat="1" ht="14" outlineLevel="1" x14ac:dyDescent="0.3">
      <c r="A31" s="34"/>
      <c r="B31" s="52" t="s">
        <v>37</v>
      </c>
      <c r="C31" s="53"/>
      <c r="D31" s="60"/>
      <c r="E31" s="60"/>
    </row>
    <row r="32" spans="1:6" customFormat="1" ht="14" outlineLevel="1" x14ac:dyDescent="0.3">
      <c r="A32" s="34"/>
      <c r="B32" s="49" t="s">
        <v>38</v>
      </c>
      <c r="C32" s="50"/>
      <c r="D32" s="61">
        <f>165597091.91/(10^6)</f>
        <v>165.59709190999999</v>
      </c>
      <c r="E32" s="61">
        <f>11947072633.97/10^6</f>
        <v>11947.07263397</v>
      </c>
    </row>
    <row r="33" spans="1:5" customFormat="1" ht="14" outlineLevel="1" x14ac:dyDescent="0.3">
      <c r="A33" s="34"/>
      <c r="B33" s="56" t="s">
        <v>39</v>
      </c>
      <c r="C33" s="62"/>
      <c r="D33" s="63"/>
      <c r="E33" s="63"/>
    </row>
    <row r="34" spans="1:5" customFormat="1" ht="14" outlineLevel="1" x14ac:dyDescent="0.3">
      <c r="A34" s="34"/>
      <c r="B34" s="64" t="s">
        <v>40</v>
      </c>
      <c r="C34" s="65"/>
      <c r="D34" s="63">
        <f>278524.03/(10^6)</f>
        <v>0.27852403000000003</v>
      </c>
      <c r="E34" s="63"/>
    </row>
    <row r="35" spans="1:5" customFormat="1" ht="14" outlineLevel="1" x14ac:dyDescent="0.3">
      <c r="A35" s="34"/>
      <c r="B35" s="56" t="s">
        <v>41</v>
      </c>
      <c r="C35" s="62"/>
      <c r="D35" s="57"/>
      <c r="E35" s="57"/>
    </row>
    <row r="36" spans="1:5" customFormat="1" ht="14" outlineLevel="1" x14ac:dyDescent="0.3">
      <c r="A36" s="34"/>
      <c r="B36" s="56" t="s">
        <v>42</v>
      </c>
      <c r="C36" s="62"/>
      <c r="D36" s="57"/>
      <c r="E36" s="57"/>
    </row>
    <row r="37" spans="1:5" customFormat="1" ht="14" outlineLevel="1" x14ac:dyDescent="0.3">
      <c r="A37" s="34"/>
      <c r="B37" s="56" t="s">
        <v>43</v>
      </c>
      <c r="C37" s="62"/>
      <c r="D37" s="57"/>
      <c r="E37" s="57"/>
    </row>
    <row r="38" spans="1:5" customFormat="1" ht="14" outlineLevel="1" x14ac:dyDescent="0.3">
      <c r="A38" s="34"/>
      <c r="B38" s="56" t="s">
        <v>44</v>
      </c>
      <c r="C38" s="62"/>
      <c r="D38" s="57"/>
      <c r="E38" s="57"/>
    </row>
    <row r="39" spans="1:5" customFormat="1" ht="14" outlineLevel="1" x14ac:dyDescent="0.3">
      <c r="A39" s="34"/>
      <c r="B39" s="56" t="s">
        <v>45</v>
      </c>
      <c r="C39" s="62"/>
      <c r="D39" s="63"/>
      <c r="E39" s="63"/>
    </row>
    <row r="40" spans="1:5" customFormat="1" ht="14" outlineLevel="1" x14ac:dyDescent="0.3">
      <c r="A40" s="34"/>
      <c r="B40" s="56" t="s">
        <v>46</v>
      </c>
      <c r="C40" s="62"/>
      <c r="D40" s="63"/>
      <c r="E40" s="63"/>
    </row>
    <row r="41" spans="1:5" customFormat="1" ht="14" outlineLevel="1" x14ac:dyDescent="0.3">
      <c r="A41" s="34"/>
      <c r="B41" s="56" t="s">
        <v>47</v>
      </c>
      <c r="C41" s="62"/>
      <c r="D41" s="66">
        <f>140250803.95/(10^6)</f>
        <v>140.25080394999998</v>
      </c>
      <c r="E41" s="66"/>
    </row>
    <row r="42" spans="1:5" customFormat="1" ht="14" outlineLevel="1" x14ac:dyDescent="0.3">
      <c r="A42" s="34"/>
      <c r="B42" s="49" t="s">
        <v>48</v>
      </c>
      <c r="C42" s="50"/>
      <c r="D42" s="61">
        <f>D23-D32</f>
        <v>1060.36203004</v>
      </c>
      <c r="E42" s="61">
        <f>E23-E32</f>
        <v>3404.1814392699998</v>
      </c>
    </row>
    <row r="43" spans="1:5" customFormat="1" ht="14" outlineLevel="1" x14ac:dyDescent="0.3">
      <c r="A43" s="34"/>
      <c r="B43" s="56" t="s">
        <v>49</v>
      </c>
      <c r="C43" s="62"/>
      <c r="D43" s="57"/>
      <c r="E43" s="57"/>
    </row>
    <row r="44" spans="1:5" customFormat="1" ht="14" outlineLevel="1" x14ac:dyDescent="0.3">
      <c r="A44" s="34"/>
      <c r="B44" s="56" t="s">
        <v>50</v>
      </c>
      <c r="C44" s="62"/>
      <c r="D44" s="57"/>
      <c r="E44" s="57"/>
    </row>
    <row r="45" spans="1:5" customFormat="1" ht="14" outlineLevel="1" x14ac:dyDescent="0.3">
      <c r="A45" s="34"/>
      <c r="B45" s="67" t="s">
        <v>51</v>
      </c>
      <c r="C45" s="68"/>
      <c r="D45" s="69"/>
      <c r="E45" s="69"/>
    </row>
    <row r="46" spans="1:5" customFormat="1" ht="14" outlineLevel="1" x14ac:dyDescent="0.3">
      <c r="A46" s="34"/>
      <c r="B46" s="34"/>
      <c r="C46" s="34"/>
      <c r="D46" s="43"/>
      <c r="E46" s="43"/>
    </row>
    <row r="47" spans="1:5" s="70" customFormat="1" outlineLevel="1" x14ac:dyDescent="0.25">
      <c r="A47" s="44" t="s">
        <v>52</v>
      </c>
      <c r="B47" s="582" t="s">
        <v>27</v>
      </c>
      <c r="C47" s="582"/>
      <c r="D47" s="46" t="str">
        <f t="shared" ref="D47:E47" si="2">D21</f>
        <v>Da Qin</v>
      </c>
      <c r="E47" s="46" t="str">
        <f t="shared" si="2"/>
        <v>OffCN</v>
      </c>
    </row>
    <row r="48" spans="1:5" customFormat="1" ht="14" outlineLevel="1" x14ac:dyDescent="0.3">
      <c r="A48" s="34"/>
      <c r="B48" s="583" t="s">
        <v>53</v>
      </c>
      <c r="C48" s="583"/>
      <c r="D48" s="72"/>
      <c r="E48" s="72"/>
    </row>
    <row r="49" spans="1:5" customFormat="1" ht="14" outlineLevel="1" x14ac:dyDescent="0.3">
      <c r="A49" s="34"/>
      <c r="B49" s="584" t="s">
        <v>54</v>
      </c>
      <c r="C49" s="585"/>
      <c r="D49" s="73"/>
      <c r="E49" s="73"/>
    </row>
    <row r="50" spans="1:5" customFormat="1" ht="14" outlineLevel="1" x14ac:dyDescent="0.3">
      <c r="A50" s="34"/>
      <c r="B50" s="574" t="s">
        <v>55</v>
      </c>
      <c r="C50" s="575"/>
      <c r="D50" s="73"/>
      <c r="E50" s="73"/>
    </row>
    <row r="51" spans="1:5" customFormat="1" ht="14" outlineLevel="1" x14ac:dyDescent="0.3">
      <c r="A51" s="34"/>
      <c r="B51" s="586" t="s">
        <v>56</v>
      </c>
      <c r="C51" s="587"/>
      <c r="D51" s="74"/>
      <c r="E51" s="74"/>
    </row>
    <row r="52" spans="1:5" customFormat="1" ht="14" outlineLevel="1" x14ac:dyDescent="0.3">
      <c r="A52" s="34"/>
      <c r="B52" s="586" t="s">
        <v>57</v>
      </c>
      <c r="C52" s="587"/>
      <c r="D52" s="74"/>
      <c r="E52" s="74"/>
    </row>
    <row r="53" spans="1:5" customFormat="1" ht="14" outlineLevel="1" x14ac:dyDescent="0.3">
      <c r="A53" s="34"/>
      <c r="B53" s="574" t="s">
        <v>58</v>
      </c>
      <c r="C53" s="575"/>
      <c r="D53" s="73"/>
      <c r="E53" s="73"/>
    </row>
    <row r="54" spans="1:5" customFormat="1" ht="14" outlineLevel="1" x14ac:dyDescent="0.3">
      <c r="A54" s="34"/>
      <c r="B54" s="574" t="s">
        <v>59</v>
      </c>
      <c r="C54" s="575"/>
      <c r="D54" s="73"/>
      <c r="E54" s="73"/>
    </row>
    <row r="55" spans="1:5" customFormat="1" ht="14" outlineLevel="1" x14ac:dyDescent="0.3">
      <c r="A55" s="34"/>
      <c r="B55" s="56" t="s">
        <v>60</v>
      </c>
      <c r="C55" s="62"/>
      <c r="D55" s="73"/>
      <c r="E55" s="73"/>
    </row>
    <row r="56" spans="1:5" customFormat="1" ht="14" outlineLevel="1" x14ac:dyDescent="0.3">
      <c r="A56" s="34"/>
      <c r="B56" s="590" t="s">
        <v>61</v>
      </c>
      <c r="C56" s="591"/>
      <c r="D56" s="75"/>
      <c r="E56" s="75"/>
    </row>
    <row r="57" spans="1:5" customFormat="1" ht="14" outlineLevel="1" x14ac:dyDescent="0.3">
      <c r="A57" s="34"/>
      <c r="B57" s="592" t="s">
        <v>62</v>
      </c>
      <c r="C57" s="593"/>
      <c r="D57" s="73"/>
      <c r="E57" s="73"/>
    </row>
    <row r="58" spans="1:5" customFormat="1" ht="14" outlineLevel="1" x14ac:dyDescent="0.3">
      <c r="A58" s="34"/>
      <c r="B58" s="592" t="s">
        <v>63</v>
      </c>
      <c r="C58" s="593"/>
      <c r="D58" s="73"/>
      <c r="E58" s="73"/>
    </row>
    <row r="59" spans="1:5" customFormat="1" ht="14" outlineLevel="1" x14ac:dyDescent="0.3">
      <c r="A59" s="34"/>
      <c r="B59" s="592" t="s">
        <v>64</v>
      </c>
      <c r="C59" s="593"/>
      <c r="D59" s="73"/>
      <c r="E59" s="73"/>
    </row>
    <row r="60" spans="1:5" customFormat="1" ht="14" outlineLevel="1" x14ac:dyDescent="0.3">
      <c r="A60" s="34"/>
      <c r="B60" s="594" t="s">
        <v>65</v>
      </c>
      <c r="C60" s="595"/>
      <c r="D60" s="75"/>
      <c r="E60" s="75"/>
    </row>
    <row r="61" spans="1:5" customFormat="1" ht="14" outlineLevel="1" x14ac:dyDescent="0.3">
      <c r="A61" s="34"/>
      <c r="B61" s="34"/>
      <c r="C61" s="34"/>
      <c r="D61" s="43"/>
      <c r="E61" s="43"/>
    </row>
    <row r="62" spans="1:5" customFormat="1" ht="14" outlineLevel="1" x14ac:dyDescent="0.3">
      <c r="A62" s="44" t="s">
        <v>66</v>
      </c>
      <c r="B62" s="582" t="s">
        <v>27</v>
      </c>
      <c r="C62" s="582"/>
      <c r="D62" s="46" t="str">
        <f t="shared" ref="D62:E62" si="3">D47</f>
        <v>Da Qin</v>
      </c>
      <c r="E62" s="46" t="str">
        <f t="shared" si="3"/>
        <v>OffCN</v>
      </c>
    </row>
    <row r="63" spans="1:5" customFormat="1" ht="14" outlineLevel="1" x14ac:dyDescent="0.3">
      <c r="A63" s="34"/>
      <c r="B63" s="583" t="s">
        <v>67</v>
      </c>
      <c r="C63" s="583"/>
      <c r="D63" s="71"/>
      <c r="E63" s="71"/>
    </row>
    <row r="64" spans="1:5" customFormat="1" ht="14" outlineLevel="1" x14ac:dyDescent="0.3">
      <c r="A64" s="34"/>
      <c r="B64" s="596" t="s">
        <v>68</v>
      </c>
      <c r="C64" s="597"/>
      <c r="D64" s="73">
        <f>5093479200/(10^6)</f>
        <v>5093.4791999999998</v>
      </c>
      <c r="E64" s="73"/>
    </row>
    <row r="65" spans="1:14" customFormat="1" ht="14" outlineLevel="1" x14ac:dyDescent="0.3">
      <c r="A65" s="34"/>
      <c r="B65" s="588" t="s">
        <v>69</v>
      </c>
      <c r="C65" s="589"/>
      <c r="D65" s="73">
        <f>5194339200/(10^6)</f>
        <v>5194.3392000000003</v>
      </c>
      <c r="E65" s="73">
        <f>7410923947.05/10^6</f>
        <v>7410.9239470500006</v>
      </c>
    </row>
    <row r="66" spans="1:14" customFormat="1" ht="14" outlineLevel="1" x14ac:dyDescent="0.3">
      <c r="A66" s="34"/>
      <c r="B66" s="588" t="s">
        <v>70</v>
      </c>
      <c r="C66" s="589"/>
      <c r="D66" s="73"/>
      <c r="E66" s="73"/>
    </row>
    <row r="67" spans="1:14" customFormat="1" ht="14" outlineLevel="1" x14ac:dyDescent="0.3">
      <c r="A67" s="34"/>
      <c r="B67" s="588" t="s">
        <v>71</v>
      </c>
      <c r="C67" s="589"/>
      <c r="D67" s="73"/>
      <c r="E67" s="73"/>
    </row>
    <row r="68" spans="1:14" customFormat="1" ht="14" outlineLevel="1" x14ac:dyDescent="0.3">
      <c r="A68" s="34"/>
      <c r="B68" s="588" t="s">
        <v>72</v>
      </c>
      <c r="C68" s="589"/>
      <c r="D68" s="73">
        <f>1159279000/(10^6)</f>
        <v>1159.279</v>
      </c>
      <c r="E68" s="73"/>
    </row>
    <row r="69" spans="1:14" customFormat="1" ht="14" outlineLevel="1" x14ac:dyDescent="0.3">
      <c r="A69" s="34"/>
      <c r="B69" s="588" t="s">
        <v>73</v>
      </c>
      <c r="C69" s="589"/>
      <c r="D69" s="73"/>
      <c r="E69" s="73"/>
    </row>
    <row r="70" spans="1:14" customFormat="1" ht="14" outlineLevel="1" x14ac:dyDescent="0.3">
      <c r="A70" s="34"/>
      <c r="B70" s="588" t="s">
        <v>74</v>
      </c>
      <c r="C70" s="589"/>
      <c r="D70" s="73"/>
      <c r="E70" s="73"/>
    </row>
    <row r="71" spans="1:14" customFormat="1" ht="14" outlineLevel="1" x14ac:dyDescent="0.3">
      <c r="A71" s="34"/>
      <c r="B71" s="588" t="s">
        <v>75</v>
      </c>
      <c r="C71" s="589"/>
      <c r="D71" s="73"/>
      <c r="E71" s="73"/>
    </row>
    <row r="72" spans="1:14" customFormat="1" ht="14" outlineLevel="1" x14ac:dyDescent="0.3">
      <c r="A72" s="34"/>
      <c r="B72" s="588" t="s">
        <v>76</v>
      </c>
      <c r="C72" s="589"/>
      <c r="D72" s="73"/>
      <c r="E72" s="73"/>
    </row>
    <row r="73" spans="1:14" customFormat="1" ht="14" outlineLevel="1" x14ac:dyDescent="0.3">
      <c r="A73" s="34"/>
      <c r="B73" s="588" t="s">
        <v>77</v>
      </c>
      <c r="C73" s="589"/>
      <c r="D73" s="73"/>
      <c r="E73" s="73"/>
    </row>
    <row r="74" spans="1:14" customFormat="1" ht="14" outlineLevel="1" x14ac:dyDescent="0.3">
      <c r="A74" s="34"/>
      <c r="B74" s="588" t="s">
        <v>75</v>
      </c>
      <c r="C74" s="589"/>
      <c r="D74" s="73"/>
      <c r="E74" s="73"/>
    </row>
    <row r="75" spans="1:14" customFormat="1" ht="14" outlineLevel="1" x14ac:dyDescent="0.3">
      <c r="A75" s="34"/>
      <c r="B75" s="588" t="s">
        <v>78</v>
      </c>
      <c r="C75" s="589"/>
      <c r="D75" s="73"/>
      <c r="E75" s="73"/>
    </row>
    <row r="76" spans="1:14" customFormat="1" ht="14" outlineLevel="1" x14ac:dyDescent="0.3">
      <c r="A76" s="34"/>
      <c r="B76" s="588" t="s">
        <v>79</v>
      </c>
      <c r="C76" s="589"/>
      <c r="D76" s="73">
        <f>48359200/(10^6)</f>
        <v>48.359200000000001</v>
      </c>
      <c r="E76" s="73"/>
    </row>
    <row r="77" spans="1:14" customFormat="1" ht="14" outlineLevel="1" x14ac:dyDescent="0.3">
      <c r="A77" s="34"/>
      <c r="B77" s="592" t="s">
        <v>80</v>
      </c>
      <c r="C77" s="593"/>
      <c r="D77" s="73"/>
      <c r="E77" s="73"/>
    </row>
    <row r="78" spans="1:14" customFormat="1" ht="14" outlineLevel="1" x14ac:dyDescent="0.3">
      <c r="A78" s="34"/>
      <c r="B78" s="601" t="s">
        <v>81</v>
      </c>
      <c r="C78" s="602"/>
      <c r="D78" s="73"/>
      <c r="E78" s="73"/>
    </row>
    <row r="79" spans="1:14" customFormat="1" ht="14" x14ac:dyDescent="0.3">
      <c r="A79" s="34"/>
      <c r="B79" s="34"/>
      <c r="C79" s="34"/>
    </row>
    <row r="80" spans="1:14" customFormat="1" ht="14" x14ac:dyDescent="0.3">
      <c r="A80" s="76" t="s">
        <v>82</v>
      </c>
      <c r="B80" s="76"/>
      <c r="C80" s="76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</row>
    <row r="81" spans="1:8" customFormat="1" ht="14" x14ac:dyDescent="0.3">
      <c r="A81" s="34"/>
      <c r="B81" s="34"/>
      <c r="C81" s="34"/>
    </row>
    <row r="82" spans="1:8" customFormat="1" ht="14" outlineLevel="1" x14ac:dyDescent="0.3">
      <c r="A82" s="34" t="s">
        <v>83</v>
      </c>
      <c r="B82" s="78">
        <v>0.5</v>
      </c>
      <c r="C82" s="34" t="s">
        <v>84</v>
      </c>
    </row>
    <row r="83" spans="1:8" customFormat="1" ht="14" outlineLevel="1" x14ac:dyDescent="0.3">
      <c r="A83" s="34"/>
      <c r="B83" s="34"/>
      <c r="C83" s="34"/>
    </row>
    <row r="84" spans="1:8" customFormat="1" ht="14" outlineLevel="1" x14ac:dyDescent="0.3">
      <c r="A84" s="79" t="s">
        <v>85</v>
      </c>
      <c r="B84" s="598" t="s">
        <v>86</v>
      </c>
      <c r="C84" s="80" t="s">
        <v>8</v>
      </c>
      <c r="D84" s="81" t="str">
        <f t="shared" ref="D84:E84" si="4">D3</f>
        <v>Lixiangxue</v>
      </c>
      <c r="E84" s="81" t="str">
        <f t="shared" si="4"/>
        <v>Lixiangxue</v>
      </c>
    </row>
    <row r="85" spans="1:8" s="85" customFormat="1" ht="14" outlineLevel="1" x14ac:dyDescent="0.3">
      <c r="A85" s="82"/>
      <c r="B85" s="599"/>
      <c r="C85" s="83" t="str">
        <f>B5</f>
        <v>Guarantor</v>
      </c>
      <c r="D85" s="84" t="str">
        <f t="shared" ref="D85:E85" si="5">D5</f>
        <v>Da Qin</v>
      </c>
      <c r="E85" s="84" t="str">
        <f t="shared" si="5"/>
        <v>OffCN</v>
      </c>
      <c r="F85"/>
    </row>
    <row r="86" spans="1:8" customFormat="1" ht="14" outlineLevel="1" x14ac:dyDescent="0.3">
      <c r="A86" s="34"/>
      <c r="B86" s="600"/>
      <c r="C86" s="86" t="s">
        <v>11</v>
      </c>
      <c r="D86" s="87" t="str">
        <f t="shared" ref="D86:E86" si="6">D4</f>
        <v>OffCN</v>
      </c>
      <c r="E86" s="87" t="str">
        <f t="shared" si="6"/>
        <v>OffCN</v>
      </c>
    </row>
    <row r="87" spans="1:8" customFormat="1" ht="14" outlineLevel="1" x14ac:dyDescent="0.3">
      <c r="A87" s="88" t="s">
        <v>87</v>
      </c>
      <c r="B87" s="598" t="s">
        <v>87</v>
      </c>
      <c r="C87" s="89" t="s">
        <v>88</v>
      </c>
      <c r="D87" s="90" t="s">
        <v>89</v>
      </c>
      <c r="E87" s="90" t="s">
        <v>90</v>
      </c>
    </row>
    <row r="88" spans="1:8" customFormat="1" ht="14" outlineLevel="1" x14ac:dyDescent="0.3">
      <c r="A88" s="34"/>
      <c r="B88" s="599"/>
      <c r="C88" s="91" t="s">
        <v>91</v>
      </c>
      <c r="D88" s="94">
        <f>Prediction_Offcn!K12</f>
        <v>2.7304552437932811E-2</v>
      </c>
      <c r="E88" s="94">
        <f>D88</f>
        <v>2.7304552437932811E-2</v>
      </c>
    </row>
    <row r="89" spans="1:8" customFormat="1" ht="14" outlineLevel="1" x14ac:dyDescent="0.3">
      <c r="A89" s="34"/>
      <c r="B89" s="599"/>
      <c r="C89" s="91" t="s">
        <v>92</v>
      </c>
      <c r="D89" s="94">
        <f>Prediction_Offcn!K13</f>
        <v>0.92477192423521393</v>
      </c>
      <c r="E89" s="94">
        <f t="shared" ref="E89:E91" si="7">D89</f>
        <v>0.92477192423521393</v>
      </c>
    </row>
    <row r="90" spans="1:8" customFormat="1" ht="18.5" outlineLevel="1" x14ac:dyDescent="0.3">
      <c r="A90" s="34"/>
      <c r="B90" s="599"/>
      <c r="C90" s="91" t="s">
        <v>93</v>
      </c>
      <c r="D90" s="94">
        <f>Prediction_Offcn!K14</f>
        <v>0.99083308150501104</v>
      </c>
      <c r="E90" s="94">
        <f t="shared" si="7"/>
        <v>0.99083308150501104</v>
      </c>
      <c r="H90" s="652" t="s">
        <v>270</v>
      </c>
    </row>
    <row r="91" spans="1:8" customFormat="1" ht="14" outlineLevel="1" x14ac:dyDescent="0.3">
      <c r="A91" s="34"/>
      <c r="B91" s="599"/>
      <c r="C91" s="95" t="s">
        <v>94</v>
      </c>
      <c r="D91" s="94">
        <f>Prediction_Offcn!K15</f>
        <v>0.99946565371902218</v>
      </c>
      <c r="E91" s="94">
        <f t="shared" si="7"/>
        <v>0.99946565371902218</v>
      </c>
    </row>
    <row r="92" spans="1:8" customFormat="1" ht="14" outlineLevel="1" x14ac:dyDescent="0.3">
      <c r="A92" s="34"/>
      <c r="B92" s="599"/>
      <c r="C92" s="96" t="s">
        <v>95</v>
      </c>
      <c r="D92" s="97">
        <f t="shared" ref="D92:E92" si="8">D88*D$101</f>
        <v>2.184364195034625E-2</v>
      </c>
      <c r="E92" s="97">
        <f t="shared" si="8"/>
        <v>2.7304552437932811E-2</v>
      </c>
      <c r="H92" s="482">
        <f>((40%*2.73%*80%)+(60%*100%*1%))</f>
        <v>1.4736000000000001E-2</v>
      </c>
    </row>
    <row r="93" spans="1:8" customFormat="1" ht="14" outlineLevel="1" x14ac:dyDescent="0.3">
      <c r="A93" s="34"/>
      <c r="B93" s="600"/>
      <c r="C93" s="99" t="s">
        <v>6</v>
      </c>
      <c r="D93" s="100"/>
      <c r="E93" s="100"/>
      <c r="H93" s="482">
        <f>3%-H92</f>
        <v>1.5263999999999998E-2</v>
      </c>
    </row>
    <row r="94" spans="1:8" customFormat="1" ht="14" outlineLevel="1" x14ac:dyDescent="0.3">
      <c r="A94" s="88" t="s">
        <v>96</v>
      </c>
      <c r="B94" s="598" t="s">
        <v>96</v>
      </c>
      <c r="C94" s="91" t="s">
        <v>88</v>
      </c>
      <c r="D94" s="101" t="s">
        <v>97</v>
      </c>
      <c r="E94" s="101" t="s">
        <v>98</v>
      </c>
    </row>
    <row r="95" spans="1:8" customFormat="1" ht="14" outlineLevel="1" x14ac:dyDescent="0.3">
      <c r="A95" s="34"/>
      <c r="B95" s="599"/>
      <c r="C95" s="91" t="s">
        <v>91</v>
      </c>
      <c r="D95" s="93">
        <f>Prediction_Offcn!U12</f>
        <v>4.2736593787777402E-2</v>
      </c>
      <c r="E95" s="93">
        <f>D95</f>
        <v>4.2736593787777402E-2</v>
      </c>
    </row>
    <row r="96" spans="1:8" customFormat="1" ht="14" outlineLevel="1" x14ac:dyDescent="0.3">
      <c r="A96" s="34"/>
      <c r="B96" s="599"/>
      <c r="C96" s="91" t="s">
        <v>92</v>
      </c>
      <c r="D96" s="93">
        <f>Prediction_Offcn!U13</f>
        <v>0.8396380207238836</v>
      </c>
      <c r="E96" s="93">
        <f t="shared" ref="E96:E98" si="9">D96</f>
        <v>0.8396380207238836</v>
      </c>
    </row>
    <row r="97" spans="1:5" customFormat="1" ht="14" outlineLevel="1" x14ac:dyDescent="0.3">
      <c r="A97" s="34"/>
      <c r="B97" s="599"/>
      <c r="C97" s="91" t="s">
        <v>93</v>
      </c>
      <c r="D97" s="93">
        <f>Prediction_Offcn!U14</f>
        <v>0.99373252205841722</v>
      </c>
      <c r="E97" s="93">
        <f t="shared" si="9"/>
        <v>0.99373252205841722</v>
      </c>
    </row>
    <row r="98" spans="1:5" customFormat="1" ht="14" outlineLevel="1" x14ac:dyDescent="0.3">
      <c r="A98" s="34"/>
      <c r="B98" s="599"/>
      <c r="C98" s="95" t="s">
        <v>94</v>
      </c>
      <c r="D98" s="93">
        <f>Prediction_Offcn!U15</f>
        <v>0.99964674725303315</v>
      </c>
      <c r="E98" s="93">
        <f t="shared" si="9"/>
        <v>0.99964674725303315</v>
      </c>
    </row>
    <row r="99" spans="1:5" customFormat="1" ht="14" outlineLevel="1" x14ac:dyDescent="0.3">
      <c r="A99" s="34"/>
      <c r="B99" s="599"/>
      <c r="C99" s="96" t="s">
        <v>95</v>
      </c>
      <c r="D99" s="97">
        <f>D95*D101</f>
        <v>3.418927503022192E-2</v>
      </c>
      <c r="E99" s="97">
        <f>E95*E101</f>
        <v>4.2736593787777402E-2</v>
      </c>
    </row>
    <row r="100" spans="1:5" customFormat="1" ht="14" outlineLevel="1" x14ac:dyDescent="0.3">
      <c r="A100" s="34"/>
      <c r="B100" s="600"/>
      <c r="C100" s="102" t="s">
        <v>6</v>
      </c>
      <c r="D100" s="98"/>
      <c r="E100" s="98"/>
    </row>
    <row r="101" spans="1:5" customFormat="1" ht="14" outlineLevel="1" x14ac:dyDescent="0.3">
      <c r="A101" s="34"/>
      <c r="B101" s="103"/>
      <c r="C101" s="104" t="s">
        <v>83</v>
      </c>
      <c r="D101" s="105">
        <f>Offcn!Z32</f>
        <v>0.8</v>
      </c>
      <c r="E101" s="106">
        <v>1</v>
      </c>
    </row>
    <row r="102" spans="1:5" customFormat="1" ht="14" outlineLevel="1" x14ac:dyDescent="0.3">
      <c r="A102" s="34"/>
      <c r="B102" s="34"/>
      <c r="C102" s="34"/>
    </row>
    <row r="103" spans="1:5" customFormat="1" ht="14" outlineLevel="1" x14ac:dyDescent="0.3">
      <c r="A103" s="107" t="s">
        <v>99</v>
      </c>
      <c r="B103" s="598" t="s">
        <v>86</v>
      </c>
      <c r="C103" s="80" t="s">
        <v>8</v>
      </c>
      <c r="D103" s="81" t="str">
        <f t="shared" ref="D103:E106" si="10">D84</f>
        <v>Lixiangxue</v>
      </c>
      <c r="E103" s="81" t="str">
        <f t="shared" si="10"/>
        <v>Lixiangxue</v>
      </c>
    </row>
    <row r="104" spans="1:5" s="85" customFormat="1" ht="14" outlineLevel="1" x14ac:dyDescent="0.3">
      <c r="A104" s="82"/>
      <c r="B104" s="599"/>
      <c r="C104" s="108" t="str">
        <f>B20</f>
        <v>Platform</v>
      </c>
      <c r="D104" s="109" t="str">
        <f t="shared" si="10"/>
        <v>Da Qin</v>
      </c>
      <c r="E104" s="109" t="str">
        <f t="shared" si="10"/>
        <v>OffCN</v>
      </c>
    </row>
    <row r="105" spans="1:5" customFormat="1" ht="14" outlineLevel="1" x14ac:dyDescent="0.3">
      <c r="A105" s="34"/>
      <c r="B105" s="600"/>
      <c r="C105" s="86" t="s">
        <v>11</v>
      </c>
      <c r="D105" s="87" t="str">
        <f t="shared" si="10"/>
        <v>OffCN</v>
      </c>
      <c r="E105" s="87" t="str">
        <f t="shared" si="10"/>
        <v>OffCN</v>
      </c>
    </row>
    <row r="106" spans="1:5" customFormat="1" ht="14" outlineLevel="1" x14ac:dyDescent="0.3">
      <c r="A106" s="34"/>
      <c r="B106" s="598" t="s">
        <v>87</v>
      </c>
      <c r="C106" s="89" t="s">
        <v>88</v>
      </c>
      <c r="D106" s="110" t="str">
        <f t="shared" si="10"/>
        <v>Sep19-Dec20</v>
      </c>
      <c r="E106" s="110" t="str">
        <f t="shared" si="10"/>
        <v>Sep19-Dec21</v>
      </c>
    </row>
    <row r="107" spans="1:5" customFormat="1" ht="14" outlineLevel="1" x14ac:dyDescent="0.3">
      <c r="A107" s="34"/>
      <c r="B107" s="599"/>
      <c r="C107" s="91" t="s">
        <v>100</v>
      </c>
      <c r="D107" s="92">
        <f>Prediction_Offcn!G38</f>
        <v>0.96499234090899588</v>
      </c>
      <c r="E107" s="92">
        <f>Prediction_Offcn!H38</f>
        <v>5.126444242272891E-3</v>
      </c>
    </row>
    <row r="108" spans="1:5" customFormat="1" ht="14" outlineLevel="1" x14ac:dyDescent="0.3">
      <c r="A108" s="34"/>
      <c r="B108" s="599"/>
      <c r="C108" s="91" t="s">
        <v>92</v>
      </c>
      <c r="D108" s="92">
        <f>Prediction_Offcn!H38</f>
        <v>5.126444242272891E-3</v>
      </c>
      <c r="E108" s="92">
        <f>Prediction_Offcn!I38</f>
        <v>5.1074353690904184E-3</v>
      </c>
    </row>
    <row r="109" spans="1:5" customFormat="1" ht="14" outlineLevel="1" x14ac:dyDescent="0.3">
      <c r="A109" s="34"/>
      <c r="B109" s="599"/>
      <c r="C109" s="91" t="s">
        <v>93</v>
      </c>
      <c r="D109" s="92">
        <f>Prediction_Offcn!I38</f>
        <v>5.1074353690904184E-3</v>
      </c>
      <c r="E109" s="92">
        <f>Prediction_Offcn!J38</f>
        <v>3.9102522619341917E-3</v>
      </c>
    </row>
    <row r="110" spans="1:5" customFormat="1" ht="14" outlineLevel="1" x14ac:dyDescent="0.3">
      <c r="A110" s="34"/>
      <c r="B110" s="599"/>
      <c r="C110" s="91" t="s">
        <v>94</v>
      </c>
      <c r="D110" s="92">
        <f>Prediction_Offcn!J38</f>
        <v>3.9102522619341917E-3</v>
      </c>
      <c r="E110" s="92">
        <f>Prediction_Offcn!K38</f>
        <v>2.0863527217706703E-2</v>
      </c>
    </row>
    <row r="111" spans="1:5" customFormat="1" ht="14" outlineLevel="1" x14ac:dyDescent="0.3">
      <c r="A111" s="34"/>
      <c r="B111" s="599"/>
      <c r="C111" s="96" t="s">
        <v>101</v>
      </c>
      <c r="D111" s="97">
        <f t="shared" ref="D111:E111" si="11">SUMPRODUCT(D107:D110,D88:D91)/SUM(D107:D110)</f>
        <v>4.0911819294872809E-2</v>
      </c>
      <c r="E111" s="97">
        <f t="shared" si="11"/>
        <v>0.84524287072658588</v>
      </c>
    </row>
    <row r="112" spans="1:5" customFormat="1" ht="14" outlineLevel="1" x14ac:dyDescent="0.3">
      <c r="A112" s="34"/>
      <c r="B112" s="600"/>
      <c r="C112" s="111" t="s">
        <v>95</v>
      </c>
      <c r="D112" s="97">
        <f>D111*$B$82</f>
        <v>2.0455909647436404E-2</v>
      </c>
      <c r="E112" s="97">
        <f>E111*$B$82</f>
        <v>0.42262143536329294</v>
      </c>
    </row>
    <row r="113" spans="1:5" customFormat="1" ht="14" outlineLevel="1" x14ac:dyDescent="0.3">
      <c r="A113" s="34"/>
      <c r="B113" s="598" t="s">
        <v>96</v>
      </c>
      <c r="C113" s="89" t="s">
        <v>88</v>
      </c>
      <c r="D113" s="112" t="str">
        <f t="shared" ref="D113:E113" si="12">D94</f>
        <v>Sep19-Mar20</v>
      </c>
      <c r="E113" s="112" t="str">
        <f t="shared" si="12"/>
        <v>Sep19-Mar21</v>
      </c>
    </row>
    <row r="114" spans="1:5" customFormat="1" ht="14" outlineLevel="1" x14ac:dyDescent="0.3">
      <c r="A114" s="34"/>
      <c r="B114" s="599"/>
      <c r="C114" s="91" t="s">
        <v>100</v>
      </c>
      <c r="D114" s="92">
        <f>Prediction_Offcn!Q38</f>
        <v>0.94534873037427392</v>
      </c>
      <c r="E114" s="92">
        <f>Prediction_Offcn!R38</f>
        <v>9.2591058160656006E-3</v>
      </c>
    </row>
    <row r="115" spans="1:5" customFormat="1" ht="14" outlineLevel="1" x14ac:dyDescent="0.3">
      <c r="A115" s="34"/>
      <c r="B115" s="599"/>
      <c r="C115" s="91" t="s">
        <v>92</v>
      </c>
      <c r="D115" s="92">
        <f>Prediction_Offcn!R38</f>
        <v>9.2591058160656006E-3</v>
      </c>
      <c r="E115" s="92">
        <f>Prediction_Offcn!S38</f>
        <v>6.3357219764034259E-3</v>
      </c>
    </row>
    <row r="116" spans="1:5" customFormat="1" ht="14" outlineLevel="1" x14ac:dyDescent="0.3">
      <c r="A116" s="34"/>
      <c r="B116" s="599"/>
      <c r="C116" s="91" t="s">
        <v>93</v>
      </c>
      <c r="D116" s="92">
        <f>Prediction_Offcn!S38</f>
        <v>6.3357219764034259E-3</v>
      </c>
      <c r="E116" s="92">
        <f>Prediction_Offcn!T38</f>
        <v>6.0275020565674561E-3</v>
      </c>
    </row>
    <row r="117" spans="1:5" customFormat="1" ht="14" outlineLevel="1" x14ac:dyDescent="0.3">
      <c r="A117" s="34"/>
      <c r="B117" s="599"/>
      <c r="C117" s="91" t="s">
        <v>94</v>
      </c>
      <c r="D117" s="92">
        <f>Prediction_Offcn!T38</f>
        <v>6.0275020565674561E-3</v>
      </c>
      <c r="E117" s="92">
        <f>Prediction_Offcn!U38</f>
        <v>3.3028939776689477E-2</v>
      </c>
    </row>
    <row r="118" spans="1:5" customFormat="1" ht="14" outlineLevel="1" x14ac:dyDescent="0.3">
      <c r="A118" s="34"/>
      <c r="B118" s="599"/>
      <c r="C118" s="96" t="s">
        <v>101</v>
      </c>
      <c r="D118" s="97">
        <f t="shared" ref="D118:E118" si="13">SUMPRODUCT(D95:D98,D114:D117)/SUM(D114:D117)</f>
        <v>6.2563059279644562E-2</v>
      </c>
      <c r="E118" s="97">
        <f t="shared" si="13"/>
        <v>0.81832339932575526</v>
      </c>
    </row>
    <row r="119" spans="1:5" customFormat="1" ht="14" outlineLevel="1" x14ac:dyDescent="0.3">
      <c r="A119" s="34"/>
      <c r="B119" s="600"/>
      <c r="C119" s="96" t="s">
        <v>95</v>
      </c>
      <c r="D119" s="98">
        <f>D118*$B$82</f>
        <v>3.1281529639822281E-2</v>
      </c>
      <c r="E119" s="97">
        <f>E118*$B$82</f>
        <v>0.40916169966287763</v>
      </c>
    </row>
    <row r="120" spans="1:5" customFormat="1" ht="14" outlineLevel="1" x14ac:dyDescent="0.3">
      <c r="A120" s="34"/>
      <c r="B120" s="34"/>
      <c r="C120" s="34"/>
    </row>
    <row r="121" spans="1:5" ht="15.75" customHeight="1" x14ac:dyDescent="0.25">
      <c r="A121" s="113" t="s">
        <v>10</v>
      </c>
      <c r="B121" s="113"/>
      <c r="C121" s="113"/>
      <c r="D121" s="114"/>
      <c r="E121" s="114"/>
    </row>
    <row r="122" spans="1:5" customFormat="1" ht="14" x14ac:dyDescent="0.3">
      <c r="A122" s="34"/>
      <c r="B122" s="34"/>
      <c r="C122" s="34"/>
    </row>
    <row r="123" spans="1:5" outlineLevel="1" x14ac:dyDescent="0.25">
      <c r="A123" s="35" t="s">
        <v>86</v>
      </c>
      <c r="B123" s="115" t="s">
        <v>87</v>
      </c>
      <c r="C123" s="116" t="s">
        <v>87</v>
      </c>
    </row>
    <row r="124" spans="1:5" outlineLevel="1" x14ac:dyDescent="0.25">
      <c r="C124" s="116"/>
    </row>
    <row r="125" spans="1:5" outlineLevel="1" x14ac:dyDescent="0.25">
      <c r="B125" s="30" t="s">
        <v>8</v>
      </c>
      <c r="C125" s="117"/>
      <c r="D125" s="118" t="str">
        <f t="shared" ref="D125:E127" si="14">D3</f>
        <v>Lixiangxue</v>
      </c>
      <c r="E125" s="118" t="str">
        <f t="shared" si="14"/>
        <v>Lixiangxue</v>
      </c>
    </row>
    <row r="126" spans="1:5" ht="15" customHeight="1" outlineLevel="1" x14ac:dyDescent="0.25">
      <c r="A126" s="119" t="s">
        <v>102</v>
      </c>
      <c r="B126" s="30" t="s">
        <v>11</v>
      </c>
      <c r="D126" s="118" t="str">
        <f t="shared" si="14"/>
        <v>OffCN</v>
      </c>
      <c r="E126" s="118" t="str">
        <f t="shared" si="14"/>
        <v>OffCN</v>
      </c>
    </row>
    <row r="127" spans="1:5" outlineLevel="1" x14ac:dyDescent="0.25">
      <c r="A127" s="120"/>
      <c r="B127" s="30" t="s">
        <v>13</v>
      </c>
      <c r="C127" s="121"/>
      <c r="D127" s="122" t="str">
        <f t="shared" si="14"/>
        <v>Da Qin</v>
      </c>
      <c r="E127" s="122" t="str">
        <f t="shared" si="14"/>
        <v>OffCN</v>
      </c>
    </row>
    <row r="128" spans="1:5" outlineLevel="1" x14ac:dyDescent="0.25">
      <c r="B128" s="123" t="s">
        <v>103</v>
      </c>
      <c r="C128" s="123"/>
      <c r="D128" s="125">
        <f t="shared" ref="D128:E128" si="15">D10</f>
        <v>7.1999999999999995E-2</v>
      </c>
      <c r="E128" s="125">
        <f t="shared" si="15"/>
        <v>7.1999999999999995E-2</v>
      </c>
    </row>
    <row r="129" spans="1:8" outlineLevel="1" x14ac:dyDescent="0.25">
      <c r="B129" s="123" t="s">
        <v>104</v>
      </c>
      <c r="C129" s="123"/>
      <c r="D129" s="124">
        <f t="shared" ref="D129:E130" si="16">D16</f>
        <v>0.03</v>
      </c>
      <c r="E129" s="124">
        <f t="shared" si="16"/>
        <v>0.03</v>
      </c>
    </row>
    <row r="130" spans="1:8" outlineLevel="1" x14ac:dyDescent="0.25">
      <c r="B130" s="123" t="s">
        <v>105</v>
      </c>
      <c r="C130" s="123"/>
      <c r="D130" s="124">
        <f t="shared" si="16"/>
        <v>0.01</v>
      </c>
      <c r="E130" s="124">
        <f t="shared" si="16"/>
        <v>0.01</v>
      </c>
    </row>
    <row r="131" spans="1:8" outlineLevel="1" x14ac:dyDescent="0.25">
      <c r="B131" s="123" t="s">
        <v>106</v>
      </c>
      <c r="C131" s="123"/>
      <c r="D131" s="126">
        <f t="shared" ref="D131" si="17">D132+D133</f>
        <v>2.1024505377208283E-4</v>
      </c>
      <c r="E131" s="126">
        <f>(D138*D136*(100%-D135)*40%)+(60%*E136*(100%-E135))</f>
        <v>6.0840980215088386E-3</v>
      </c>
      <c r="G131" s="128"/>
    </row>
    <row r="132" spans="1:8" outlineLevel="1" x14ac:dyDescent="0.25">
      <c r="B132" s="129" t="s">
        <v>107</v>
      </c>
      <c r="C132" s="130"/>
      <c r="D132" s="131">
        <f t="shared" ref="D132:E132" si="18">D138*D139*D135*D137</f>
        <v>0</v>
      </c>
      <c r="E132" s="131">
        <f t="shared" si="18"/>
        <v>0</v>
      </c>
    </row>
    <row r="133" spans="1:8" outlineLevel="1" x14ac:dyDescent="0.25">
      <c r="B133" s="129" t="s">
        <v>108</v>
      </c>
      <c r="C133" s="130"/>
      <c r="D133" s="132">
        <f t="shared" ref="D133:E133" si="19">D138*D139*D136*(1-D135)</f>
        <v>2.1024505377208283E-4</v>
      </c>
      <c r="E133" s="132">
        <f t="shared" si="19"/>
        <v>2.7304552437932834E-4</v>
      </c>
    </row>
    <row r="134" spans="1:8" outlineLevel="1" x14ac:dyDescent="0.25">
      <c r="A134" s="133"/>
      <c r="B134" s="134" t="s">
        <v>109</v>
      </c>
      <c r="C134" s="135"/>
      <c r="D134" s="136">
        <f t="shared" ref="D134" si="20">D8</f>
        <v>0.03</v>
      </c>
      <c r="E134" s="136"/>
      <c r="H134" s="138"/>
    </row>
    <row r="135" spans="1:8" outlineLevel="1" x14ac:dyDescent="0.25">
      <c r="B135" s="134" t="s">
        <v>110</v>
      </c>
      <c r="C135" s="135"/>
      <c r="D135" s="139">
        <v>0.99</v>
      </c>
      <c r="E135" s="139">
        <v>0.99</v>
      </c>
    </row>
    <row r="136" spans="1:8" outlineLevel="1" x14ac:dyDescent="0.25">
      <c r="B136" s="134" t="s">
        <v>111</v>
      </c>
      <c r="C136" s="135"/>
      <c r="D136" s="140">
        <f t="shared" ref="D136" si="21">D101-D134</f>
        <v>0.77</v>
      </c>
      <c r="E136" s="140">
        <f>E101</f>
        <v>1</v>
      </c>
      <c r="G136" s="141"/>
    </row>
    <row r="137" spans="1:8" outlineLevel="1" x14ac:dyDescent="0.25">
      <c r="B137" s="134" t="s">
        <v>112</v>
      </c>
      <c r="C137" s="135"/>
      <c r="D137" s="142">
        <v>0</v>
      </c>
      <c r="E137" s="142">
        <v>0</v>
      </c>
    </row>
    <row r="138" spans="1:8" outlineLevel="1" x14ac:dyDescent="0.25">
      <c r="B138" s="134" t="s">
        <v>85</v>
      </c>
      <c r="C138" s="134" t="str">
        <f>B123</f>
        <v>Base</v>
      </c>
      <c r="D138" s="139">
        <f t="shared" ref="D138:E138" si="22">IF($B$123=$B$87,D88,IF($B$123=$B$94,D95))</f>
        <v>2.7304552437932811E-2</v>
      </c>
      <c r="E138" s="139">
        <f t="shared" si="22"/>
        <v>2.7304552437932811E-2</v>
      </c>
    </row>
    <row r="139" spans="1:8" outlineLevel="1" x14ac:dyDescent="0.25">
      <c r="B139" s="134" t="s">
        <v>84</v>
      </c>
      <c r="C139" s="135"/>
      <c r="D139" s="143">
        <v>1</v>
      </c>
      <c r="E139" s="143">
        <v>1</v>
      </c>
    </row>
    <row r="140" spans="1:8" ht="13" outlineLevel="1" thickBot="1" x14ac:dyDescent="0.3">
      <c r="B140" s="144" t="s">
        <v>113</v>
      </c>
      <c r="C140" s="144"/>
      <c r="D140" s="145">
        <f t="shared" ref="D140:E140" si="23">D128-D129-D130-D131</f>
        <v>3.1789754946227912E-2</v>
      </c>
      <c r="E140" s="145">
        <f t="shared" si="23"/>
        <v>2.5915901978491154E-2</v>
      </c>
    </row>
    <row r="141" spans="1:8" ht="13" outlineLevel="1" thickTop="1" x14ac:dyDescent="0.25">
      <c r="E141" s="28" t="s">
        <v>114</v>
      </c>
      <c r="F141" s="138"/>
    </row>
    <row r="142" spans="1:8" outlineLevel="1" x14ac:dyDescent="0.25"/>
    <row r="143" spans="1:8" outlineLevel="1" x14ac:dyDescent="0.25">
      <c r="A143" s="147" t="s">
        <v>115</v>
      </c>
      <c r="B143" s="30" t="s">
        <v>8</v>
      </c>
      <c r="C143" s="117"/>
      <c r="D143" s="118" t="str">
        <f t="shared" ref="D143:F145" si="24">D125</f>
        <v>Lixiangxue</v>
      </c>
      <c r="E143" s="118" t="str">
        <f t="shared" si="24"/>
        <v>Lixiangxue</v>
      </c>
      <c r="F143" s="118" t="str">
        <f>F3</f>
        <v>XZQJ</v>
      </c>
    </row>
    <row r="144" spans="1:8" ht="14" outlineLevel="1" x14ac:dyDescent="0.3">
      <c r="A144" s="34"/>
      <c r="B144" s="30" t="s">
        <v>11</v>
      </c>
      <c r="D144" s="118" t="str">
        <f t="shared" si="24"/>
        <v>OffCN</v>
      </c>
      <c r="E144" s="118" t="str">
        <f t="shared" si="24"/>
        <v>OffCN</v>
      </c>
      <c r="F144" s="118"/>
    </row>
    <row r="145" spans="1:10" s="148" customFormat="1" outlineLevel="1" x14ac:dyDescent="0.3">
      <c r="A145" s="117"/>
      <c r="B145" s="30" t="s">
        <v>13</v>
      </c>
      <c r="C145" s="117"/>
      <c r="D145" s="122" t="str">
        <f t="shared" si="24"/>
        <v>Da Qin</v>
      </c>
      <c r="E145" s="122" t="str">
        <f t="shared" si="24"/>
        <v>OffCN</v>
      </c>
    </row>
    <row r="146" spans="1:10" outlineLevel="1" x14ac:dyDescent="0.25">
      <c r="A146" s="149" t="e">
        <f>#REF!-#REF!-#REF!</f>
        <v>#REF!</v>
      </c>
      <c r="B146" s="123" t="s">
        <v>103</v>
      </c>
      <c r="D146" s="124">
        <f t="shared" ref="D146:E146" si="25">D10</f>
        <v>7.1999999999999995E-2</v>
      </c>
      <c r="E146" s="124">
        <f t="shared" si="25"/>
        <v>7.1999999999999995E-2</v>
      </c>
      <c r="F146" s="656">
        <f>F10</f>
        <v>0.08</v>
      </c>
      <c r="I146" s="135" t="s">
        <v>103</v>
      </c>
      <c r="J146" s="657">
        <v>0.08</v>
      </c>
    </row>
    <row r="147" spans="1:10" outlineLevel="1" x14ac:dyDescent="0.25">
      <c r="B147" s="123" t="s">
        <v>104</v>
      </c>
      <c r="D147" s="124">
        <f t="shared" ref="D147:E148" si="26">D16</f>
        <v>0.03</v>
      </c>
      <c r="E147" s="124">
        <f t="shared" si="26"/>
        <v>0.03</v>
      </c>
      <c r="F147" s="124">
        <f t="shared" ref="F147" si="27">F16</f>
        <v>0.03</v>
      </c>
      <c r="I147" s="135" t="s">
        <v>104</v>
      </c>
      <c r="J147" s="658">
        <v>0.03</v>
      </c>
    </row>
    <row r="148" spans="1:10" outlineLevel="1" x14ac:dyDescent="0.25">
      <c r="B148" s="123" t="s">
        <v>105</v>
      </c>
      <c r="D148" s="124">
        <f t="shared" si="26"/>
        <v>0.01</v>
      </c>
      <c r="E148" s="124">
        <f t="shared" si="26"/>
        <v>0.01</v>
      </c>
      <c r="F148" s="124">
        <f t="shared" ref="F148" si="28">F17</f>
        <v>0.01</v>
      </c>
      <c r="I148" s="135" t="s">
        <v>105</v>
      </c>
      <c r="J148" s="658">
        <v>0.01</v>
      </c>
    </row>
    <row r="149" spans="1:10" outlineLevel="1" x14ac:dyDescent="0.25">
      <c r="B149" s="123" t="s">
        <v>116</v>
      </c>
      <c r="D149" s="127">
        <f t="shared" ref="D149:F149" si="29">D150*D151*D152</f>
        <v>2.184364195034625E-2</v>
      </c>
      <c r="E149" s="127">
        <f t="shared" si="29"/>
        <v>2.7304552437932811E-2</v>
      </c>
      <c r="F149" s="127">
        <f t="shared" si="29"/>
        <v>4.4550856272964942E-2</v>
      </c>
      <c r="I149" s="135" t="s">
        <v>116</v>
      </c>
      <c r="J149" s="659">
        <v>4.4550856272964942E-2</v>
      </c>
    </row>
    <row r="150" spans="1:10" ht="13" outlineLevel="1" thickBot="1" x14ac:dyDescent="0.3">
      <c r="B150" s="134" t="s">
        <v>85</v>
      </c>
      <c r="C150" s="134" t="str">
        <f>B123</f>
        <v>Base</v>
      </c>
      <c r="D150" s="137">
        <f>IF($B$123=$B$87,D88,IF($B$123=$B$94,D95))</f>
        <v>2.7304552437932811E-2</v>
      </c>
      <c r="E150" s="137">
        <f>IF($B$123=$B$87,E88,IF($B$123=$B$94,E95))</f>
        <v>2.7304552437932811E-2</v>
      </c>
      <c r="F150" s="655">
        <f>Prediction_XZQJ!G17</f>
        <v>4.4550856272964942E-2</v>
      </c>
      <c r="I150" s="661" t="s">
        <v>273</v>
      </c>
      <c r="J150" s="660">
        <f>J146-J147-J148-J149</f>
        <v>-4.5508562729649413E-3</v>
      </c>
    </row>
    <row r="151" spans="1:10" ht="13" outlineLevel="1" thickTop="1" x14ac:dyDescent="0.25">
      <c r="B151" s="134" t="s">
        <v>83</v>
      </c>
      <c r="D151" s="136">
        <f t="shared" ref="D151:E151" si="30">D101</f>
        <v>0.8</v>
      </c>
      <c r="E151" s="136">
        <f t="shared" si="30"/>
        <v>1</v>
      </c>
      <c r="F151" s="654">
        <v>1</v>
      </c>
    </row>
    <row r="152" spans="1:10" outlineLevel="1" x14ac:dyDescent="0.25">
      <c r="B152" s="134" t="s">
        <v>84</v>
      </c>
      <c r="D152" s="143">
        <v>1</v>
      </c>
      <c r="E152" s="143">
        <v>1</v>
      </c>
      <c r="F152" s="654">
        <v>1</v>
      </c>
    </row>
    <row r="153" spans="1:10" ht="13" outlineLevel="1" thickBot="1" x14ac:dyDescent="0.3">
      <c r="B153" s="144" t="s">
        <v>113</v>
      </c>
      <c r="C153" s="144"/>
      <c r="D153" s="146">
        <f t="shared" ref="D153:F153" si="31">D146-D147-D148-D149</f>
        <v>1.0156358049653744E-2</v>
      </c>
      <c r="E153" s="146">
        <f t="shared" si="31"/>
        <v>4.6954475620671829E-3</v>
      </c>
      <c r="F153" s="146">
        <f t="shared" si="31"/>
        <v>-4.5508562729649413E-3</v>
      </c>
    </row>
    <row r="154" spans="1:10" customFormat="1" ht="14.5" outlineLevel="1" thickTop="1" x14ac:dyDescent="0.3">
      <c r="A154" s="34"/>
      <c r="B154" s="34"/>
      <c r="C154" s="34"/>
    </row>
    <row r="155" spans="1:10" customFormat="1" ht="14" x14ac:dyDescent="0.3">
      <c r="A155" s="34"/>
      <c r="B155" s="34"/>
      <c r="C155" s="34"/>
    </row>
    <row r="156" spans="1:10" customFormat="1" ht="14" x14ac:dyDescent="0.3">
      <c r="A156" s="34" t="s">
        <v>0</v>
      </c>
      <c r="B156" s="34"/>
      <c r="C156" s="34"/>
      <c r="E156" s="528"/>
    </row>
    <row r="157" spans="1:10" ht="14" x14ac:dyDescent="0.3">
      <c r="A157" s="523" t="s">
        <v>118</v>
      </c>
      <c r="B157" s="524"/>
      <c r="C157" s="524"/>
      <c r="D157" s="531"/>
      <c r="E157" s="532"/>
      <c r="F157" s="530"/>
    </row>
    <row r="158" spans="1:10" ht="14" x14ac:dyDescent="0.3">
      <c r="A158" s="526" t="s">
        <v>245</v>
      </c>
      <c r="B158" s="527"/>
      <c r="C158" s="527"/>
      <c r="D158" s="522">
        <f>D11</f>
        <v>6.0000000000000001E-3</v>
      </c>
      <c r="E158" s="522">
        <f>E11</f>
        <v>6.0000000000000001E-3</v>
      </c>
    </row>
    <row r="159" spans="1:10" ht="14" x14ac:dyDescent="0.3">
      <c r="A159" s="526" t="s">
        <v>244</v>
      </c>
      <c r="B159" s="527"/>
      <c r="C159" s="527"/>
      <c r="D159" s="522">
        <f>D88*D101</f>
        <v>2.184364195034625E-2</v>
      </c>
      <c r="E159" s="522">
        <f>E88*E101</f>
        <v>2.7304552437932811E-2</v>
      </c>
      <c r="F159" s="138"/>
    </row>
    <row r="160" spans="1:10" ht="14" x14ac:dyDescent="0.3">
      <c r="A160" s="523" t="s">
        <v>119</v>
      </c>
      <c r="B160" s="524"/>
      <c r="C160" s="524"/>
      <c r="D160" s="531"/>
      <c r="E160" s="532"/>
    </row>
    <row r="161" spans="1:9" ht="14" x14ac:dyDescent="0.3">
      <c r="A161" s="526" t="s">
        <v>117</v>
      </c>
      <c r="B161" s="525"/>
      <c r="C161" s="525"/>
      <c r="D161" s="522">
        <f>'probability(B)'!E54</f>
        <v>0.18</v>
      </c>
      <c r="E161" s="522">
        <f>'probability(B)'!I54</f>
        <v>0.43</v>
      </c>
    </row>
    <row r="162" spans="1:9" ht="14" x14ac:dyDescent="0.3">
      <c r="A162" s="526" t="s">
        <v>246</v>
      </c>
      <c r="B162" s="525"/>
      <c r="C162" s="525"/>
      <c r="D162" s="522">
        <f>D88+2%</f>
        <v>4.7304552437932815E-2</v>
      </c>
      <c r="E162" s="522">
        <f>E88+2%</f>
        <v>4.7304552437932815E-2</v>
      </c>
    </row>
    <row r="163" spans="1:9" ht="14" x14ac:dyDescent="0.3">
      <c r="A163" s="523" t="s">
        <v>120</v>
      </c>
      <c r="B163" s="523">
        <v>0</v>
      </c>
      <c r="C163" s="524"/>
      <c r="D163" s="531"/>
      <c r="E163" s="532"/>
      <c r="F163" s="534"/>
    </row>
    <row r="164" spans="1:9" ht="14" x14ac:dyDescent="0.3">
      <c r="A164" s="526" t="s">
        <v>247</v>
      </c>
      <c r="B164" s="523"/>
      <c r="C164" s="524"/>
      <c r="D164" s="522">
        <f>D9-D16-D17</f>
        <v>3.7999999999999999E-2</v>
      </c>
      <c r="E164" s="522">
        <f>E9-E16-E17</f>
        <v>3.7999999999999999E-2</v>
      </c>
      <c r="F164" s="529"/>
    </row>
    <row r="165" spans="1:9" ht="14" x14ac:dyDescent="0.3">
      <c r="A165" s="526" t="s">
        <v>248</v>
      </c>
      <c r="B165" s="523"/>
      <c r="C165" s="524"/>
      <c r="D165" s="522">
        <f>D88*D101</f>
        <v>2.184364195034625E-2</v>
      </c>
      <c r="E165" s="522">
        <f>E88*E101</f>
        <v>2.7304552437932811E-2</v>
      </c>
    </row>
    <row r="166" spans="1:9" customFormat="1" ht="14" x14ac:dyDescent="0.3"/>
    <row r="167" spans="1:9" customFormat="1" ht="14" x14ac:dyDescent="0.3">
      <c r="A167" s="523" t="s">
        <v>249</v>
      </c>
    </row>
    <row r="168" spans="1:9" customFormat="1" ht="14" x14ac:dyDescent="0.3">
      <c r="A168" s="526" t="s">
        <v>250</v>
      </c>
      <c r="D168" s="522">
        <f>D8</f>
        <v>0.03</v>
      </c>
      <c r="E168" s="522">
        <f>E8</f>
        <v>0</v>
      </c>
    </row>
    <row r="169" spans="1:9" customFormat="1" ht="14" x14ac:dyDescent="0.3">
      <c r="A169" s="526" t="s">
        <v>248</v>
      </c>
      <c r="D169" s="522">
        <f>D88*D101</f>
        <v>2.184364195034625E-2</v>
      </c>
      <c r="E169" s="522">
        <f>E88*E101</f>
        <v>2.7304552437932811E-2</v>
      </c>
    </row>
    <row r="170" spans="1:9" customFormat="1" ht="14" x14ac:dyDescent="0.3">
      <c r="A170" s="526"/>
    </row>
    <row r="171" spans="1:9" ht="14" x14ac:dyDescent="0.3">
      <c r="A171" s="533" t="s">
        <v>110</v>
      </c>
      <c r="B171" s="524"/>
      <c r="C171" s="524"/>
      <c r="D171" s="151">
        <f>'probability(B)'!D54</f>
        <v>0.9994569607103837</v>
      </c>
      <c r="E171" s="151">
        <f>'probability(B)'!H54</f>
        <v>0.99999784041196371</v>
      </c>
    </row>
    <row r="172" spans="1:9" x14ac:dyDescent="0.25">
      <c r="D172" s="41"/>
      <c r="E172" s="41"/>
    </row>
    <row r="173" spans="1:9" x14ac:dyDescent="0.25">
      <c r="A173" s="603" t="s">
        <v>121</v>
      </c>
      <c r="B173" s="152"/>
      <c r="D173" s="153" t="str">
        <f t="shared" ref="D173:E173" si="32">D5</f>
        <v>Da Qin</v>
      </c>
      <c r="E173" s="153" t="str">
        <f t="shared" si="32"/>
        <v>OffCN</v>
      </c>
    </row>
    <row r="174" spans="1:9" x14ac:dyDescent="0.25">
      <c r="A174" s="603"/>
      <c r="B174" s="152"/>
      <c r="D174" s="154" t="str">
        <f t="shared" ref="D174:E174" si="33">D4</f>
        <v>OffCN</v>
      </c>
      <c r="E174" s="154" t="str">
        <f t="shared" si="33"/>
        <v>OffCN</v>
      </c>
    </row>
    <row r="175" spans="1:9" ht="14" x14ac:dyDescent="0.3">
      <c r="A175" s="155" t="s">
        <v>122</v>
      </c>
      <c r="B175" s="152"/>
      <c r="D175" s="156">
        <f>D12+D11+D13</f>
        <v>6.0000000000000001E-3</v>
      </c>
      <c r="E175" s="156">
        <f>E12+E11</f>
        <v>6.0000000000000001E-3</v>
      </c>
      <c r="F175"/>
      <c r="G175"/>
      <c r="H175"/>
      <c r="I175"/>
    </row>
    <row r="176" spans="1:9" ht="14" x14ac:dyDescent="0.3">
      <c r="A176" s="157" t="s">
        <v>123</v>
      </c>
      <c r="B176" s="152"/>
      <c r="D176" s="158">
        <f t="shared" ref="D176:E176" si="34">D10</f>
        <v>7.1999999999999995E-2</v>
      </c>
      <c r="E176" s="158">
        <f t="shared" si="34"/>
        <v>7.1999999999999995E-2</v>
      </c>
      <c r="F176"/>
      <c r="G176"/>
      <c r="H176"/>
      <c r="I176"/>
    </row>
    <row r="177" spans="1:9" ht="14" x14ac:dyDescent="0.3">
      <c r="A177" s="152"/>
      <c r="B177" s="152"/>
      <c r="F177"/>
      <c r="G177"/>
      <c r="H177"/>
      <c r="I177"/>
    </row>
    <row r="178" spans="1:9" ht="14" x14ac:dyDescent="0.3">
      <c r="F178"/>
      <c r="G178"/>
      <c r="H178"/>
      <c r="I178"/>
    </row>
    <row r="179" spans="1:9" ht="14" x14ac:dyDescent="0.3">
      <c r="F179"/>
      <c r="G179"/>
      <c r="H179"/>
      <c r="I179"/>
    </row>
    <row r="180" spans="1:9" ht="14" x14ac:dyDescent="0.3">
      <c r="F180"/>
      <c r="G180"/>
      <c r="H180"/>
      <c r="I180"/>
    </row>
    <row r="181" spans="1:9" ht="14" x14ac:dyDescent="0.3">
      <c r="F181"/>
      <c r="G181"/>
      <c r="H181"/>
      <c r="I181"/>
    </row>
    <row r="182" spans="1:9" ht="14" x14ac:dyDescent="0.3">
      <c r="F182"/>
      <c r="G182"/>
      <c r="H182"/>
      <c r="I182"/>
    </row>
    <row r="183" spans="1:9" ht="14" x14ac:dyDescent="0.3">
      <c r="F183"/>
      <c r="G183"/>
      <c r="H183"/>
      <c r="I183"/>
    </row>
    <row r="184" spans="1:9" ht="14" x14ac:dyDescent="0.3">
      <c r="F184"/>
      <c r="G184"/>
      <c r="H184"/>
      <c r="I184"/>
    </row>
    <row r="185" spans="1:9" ht="14" x14ac:dyDescent="0.3">
      <c r="F185"/>
      <c r="G185"/>
      <c r="H185"/>
      <c r="I185"/>
    </row>
    <row r="186" spans="1:9" ht="14" x14ac:dyDescent="0.3">
      <c r="F186"/>
      <c r="G186"/>
      <c r="H186"/>
      <c r="I186"/>
    </row>
  </sheetData>
  <mergeCells count="46">
    <mergeCell ref="B94:B100"/>
    <mergeCell ref="B103:B105"/>
    <mergeCell ref="B106:B112"/>
    <mergeCell ref="B113:B119"/>
    <mergeCell ref="A173:A174"/>
    <mergeCell ref="B87:B9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84:B86"/>
    <mergeCell ref="B68:C68"/>
    <mergeCell ref="B56:C56"/>
    <mergeCell ref="B57:C57"/>
    <mergeCell ref="B58:C58"/>
    <mergeCell ref="B59:C59"/>
    <mergeCell ref="B60:C60"/>
    <mergeCell ref="B62:C62"/>
    <mergeCell ref="B63:C63"/>
    <mergeCell ref="B64:C64"/>
    <mergeCell ref="B65:C65"/>
    <mergeCell ref="B66:C66"/>
    <mergeCell ref="B67:C67"/>
    <mergeCell ref="B54:C54"/>
    <mergeCell ref="B14:C14"/>
    <mergeCell ref="B20:C20"/>
    <mergeCell ref="B21:C21"/>
    <mergeCell ref="B22:C22"/>
    <mergeCell ref="B47:C47"/>
    <mergeCell ref="B48:C48"/>
    <mergeCell ref="B49:C49"/>
    <mergeCell ref="B50:C50"/>
    <mergeCell ref="B51:C51"/>
    <mergeCell ref="B52:C52"/>
    <mergeCell ref="B53:C53"/>
    <mergeCell ref="A1:N1"/>
    <mergeCell ref="B10:C10"/>
    <mergeCell ref="B11:C11"/>
    <mergeCell ref="B12:C12"/>
    <mergeCell ref="B13:C13"/>
  </mergeCells>
  <dataValidations disablePrompts="1" count="1">
    <dataValidation type="list" allowBlank="1" showInputMessage="1" showErrorMessage="1" sqref="B123">
      <formula1>$C$123:$C$123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showGridLines="0" zoomScale="60" zoomScaleNormal="60" workbookViewId="0">
      <pane xSplit="1" ySplit="4" topLeftCell="B47" activePane="bottomRight" state="frozen"/>
      <selection activeCell="D69" sqref="D69"/>
      <selection pane="topRight" activeCell="D69" sqref="D69"/>
      <selection pane="bottomLeft" activeCell="D69" sqref="D69"/>
      <selection pane="bottomRight" activeCell="H56" sqref="H56:H155"/>
    </sheetView>
  </sheetViews>
  <sheetFormatPr defaultRowHeight="14" x14ac:dyDescent="0.3"/>
  <cols>
    <col min="1" max="1" width="35.83203125" style="12" customWidth="1"/>
    <col min="2" max="2" width="14.9140625" bestFit="1" customWidth="1"/>
    <col min="3" max="3" width="5.6640625" bestFit="1" customWidth="1"/>
    <col min="4" max="4" width="11.4140625" bestFit="1" customWidth="1"/>
    <col min="5" max="6" width="14.9140625" bestFit="1" customWidth="1"/>
    <col min="7" max="7" width="5.6640625" bestFit="1" customWidth="1"/>
    <col min="8" max="8" width="11.4140625" bestFit="1" customWidth="1"/>
    <col min="9" max="9" width="14.9140625" bestFit="1" customWidth="1"/>
  </cols>
  <sheetData>
    <row r="1" spans="1:9" s="164" customFormat="1" x14ac:dyDescent="0.3">
      <c r="A1" s="159" t="s">
        <v>8</v>
      </c>
      <c r="B1" s="160" t="str">
        <f>'Output&amp;Input'!D3</f>
        <v>Lixiangxue</v>
      </c>
      <c r="C1" s="161"/>
      <c r="D1" s="162"/>
      <c r="E1" s="163"/>
      <c r="F1" s="160" t="str">
        <f>'Output&amp;Input'!E3</f>
        <v>Lixiangxue</v>
      </c>
      <c r="G1" s="161"/>
      <c r="H1" s="162"/>
      <c r="I1" s="163"/>
    </row>
    <row r="2" spans="1:9" s="164" customFormat="1" x14ac:dyDescent="0.3">
      <c r="A2" s="165" t="s">
        <v>11</v>
      </c>
      <c r="B2" s="168" t="str">
        <f>'Output&amp;Input'!D4</f>
        <v>OffCN</v>
      </c>
      <c r="C2" s="166"/>
      <c r="D2" s="167"/>
      <c r="E2" s="169"/>
      <c r="F2" s="168" t="str">
        <f>'Output&amp;Input'!E4</f>
        <v>OffCN</v>
      </c>
      <c r="G2" s="166"/>
      <c r="H2" s="167"/>
      <c r="I2" s="169"/>
    </row>
    <row r="3" spans="1:9" s="164" customFormat="1" x14ac:dyDescent="0.3">
      <c r="A3" s="170" t="s">
        <v>13</v>
      </c>
      <c r="B3" s="168" t="str">
        <f>'Output&amp;Input'!D5</f>
        <v>Da Qin</v>
      </c>
      <c r="C3" s="166"/>
      <c r="D3" s="167"/>
      <c r="E3" s="169"/>
      <c r="F3" s="168" t="str">
        <f>'Output&amp;Input'!E5</f>
        <v>OffCN</v>
      </c>
      <c r="G3" s="166"/>
      <c r="H3" s="167"/>
      <c r="I3" s="169"/>
    </row>
    <row r="4" spans="1:9" s="164" customFormat="1" x14ac:dyDescent="0.3">
      <c r="A4" s="171" t="s">
        <v>124</v>
      </c>
      <c r="B4" s="174"/>
      <c r="C4" s="172"/>
      <c r="D4" s="173"/>
      <c r="E4" s="175"/>
      <c r="F4" s="174"/>
      <c r="G4" s="172"/>
      <c r="H4" s="173"/>
      <c r="I4" s="175"/>
    </row>
    <row r="5" spans="1:9" hidden="1" x14ac:dyDescent="0.3">
      <c r="A5" s="7"/>
      <c r="B5" s="176" t="str">
        <f>CONCATENATE(B1,B2,B3)</f>
        <v>LixiangxueOffCNDa Qin</v>
      </c>
      <c r="C5" s="179"/>
      <c r="D5" s="177"/>
      <c r="E5" s="180"/>
      <c r="F5" s="176" t="str">
        <f>CONCATENATE(F1,F2,F3)</f>
        <v>LixiangxueOffCNOffCN</v>
      </c>
      <c r="G5" s="179"/>
      <c r="H5" s="177"/>
      <c r="I5" s="180"/>
    </row>
    <row r="6" spans="1:9" x14ac:dyDescent="0.3">
      <c r="A6" s="181" t="str">
        <f>'Output&amp;Input'!B23</f>
        <v>Total assets</v>
      </c>
      <c r="B6" s="183">
        <f>'Output&amp;Input'!D24</f>
        <v>1225.8537043199999</v>
      </c>
      <c r="C6" s="184"/>
      <c r="D6" s="182"/>
      <c r="E6" s="185"/>
      <c r="F6" s="183">
        <f>'Output&amp;Input'!E23</f>
        <v>15351.254073239999</v>
      </c>
      <c r="G6" s="184"/>
      <c r="H6" s="182"/>
      <c r="I6" s="185"/>
    </row>
    <row r="7" spans="1:9" x14ac:dyDescent="0.3">
      <c r="A7" s="186" t="str">
        <f>'Output&amp;Input'!B24</f>
        <v>Current Asset</v>
      </c>
      <c r="B7" s="188"/>
      <c r="C7" s="189"/>
      <c r="D7" s="187"/>
      <c r="E7" s="190"/>
      <c r="F7" s="188"/>
      <c r="G7" s="189"/>
      <c r="H7" s="187"/>
      <c r="I7" s="190"/>
    </row>
    <row r="8" spans="1:9" x14ac:dyDescent="0.3">
      <c r="A8" s="191" t="str">
        <f>'Output&amp;Input'!B25</f>
        <v>- Cash</v>
      </c>
      <c r="B8" s="188"/>
      <c r="C8" s="189"/>
      <c r="D8" s="187"/>
      <c r="E8" s="190"/>
      <c r="F8" s="188"/>
      <c r="G8" s="189"/>
      <c r="H8" s="187"/>
      <c r="I8" s="190"/>
    </row>
    <row r="9" spans="1:9" x14ac:dyDescent="0.3">
      <c r="A9" s="192" t="str">
        <f>'Output&amp;Input'!B26</f>
        <v>- Guaranty margin deposit</v>
      </c>
      <c r="B9" s="188"/>
      <c r="C9" s="189"/>
      <c r="D9" s="187"/>
      <c r="E9" s="190"/>
      <c r="F9" s="188"/>
      <c r="G9" s="189"/>
      <c r="H9" s="187"/>
      <c r="I9" s="190"/>
    </row>
    <row r="10" spans="1:9" x14ac:dyDescent="0.3">
      <c r="A10" s="193" t="str">
        <f>'Output&amp;Input'!B27</f>
        <v>- Account receivable</v>
      </c>
      <c r="B10" s="188"/>
      <c r="C10" s="189"/>
      <c r="D10" s="187"/>
      <c r="E10" s="190"/>
      <c r="F10" s="188"/>
      <c r="G10" s="189"/>
      <c r="H10" s="187"/>
      <c r="I10" s="190"/>
    </row>
    <row r="11" spans="1:9" s="199" customFormat="1" x14ac:dyDescent="0.3">
      <c r="A11" s="193" t="str">
        <f>'Output&amp;Input'!B28</f>
        <v>- Other account receivables</v>
      </c>
      <c r="B11" s="196"/>
      <c r="C11" s="197"/>
      <c r="D11" s="195"/>
      <c r="E11" s="198"/>
      <c r="F11" s="196"/>
      <c r="G11" s="197"/>
      <c r="H11" s="195"/>
      <c r="I11" s="198"/>
    </row>
    <row r="12" spans="1:9" s="199" customFormat="1" x14ac:dyDescent="0.3">
      <c r="A12" s="193" t="str">
        <f>'Output&amp;Input'!B29</f>
        <v>- Prepayments/Other current asset</v>
      </c>
      <c r="B12" s="196"/>
      <c r="C12" s="197"/>
      <c r="D12" s="195"/>
      <c r="E12" s="198"/>
      <c r="F12" s="196"/>
      <c r="G12" s="197"/>
      <c r="H12" s="195"/>
      <c r="I12" s="198"/>
    </row>
    <row r="13" spans="1:9" x14ac:dyDescent="0.3">
      <c r="A13" s="200" t="str">
        <f>'Output&amp;Input'!B30</f>
        <v>Fixed assets</v>
      </c>
      <c r="B13" s="188"/>
      <c r="C13" s="189"/>
      <c r="D13" s="187"/>
      <c r="E13" s="190"/>
      <c r="F13" s="188"/>
      <c r="G13" s="189"/>
      <c r="H13" s="187"/>
      <c r="I13" s="190"/>
    </row>
    <row r="14" spans="1:9" x14ac:dyDescent="0.3">
      <c r="A14" s="200" t="str">
        <f>'Output&amp;Input'!B31</f>
        <v>Non current asset/Loan term invest(Ai-Beijing)</v>
      </c>
      <c r="B14" s="188"/>
      <c r="C14" s="189"/>
      <c r="D14" s="187"/>
      <c r="E14" s="190"/>
      <c r="F14" s="188"/>
      <c r="G14" s="189"/>
      <c r="H14" s="187"/>
      <c r="I14" s="190"/>
    </row>
    <row r="15" spans="1:9" x14ac:dyDescent="0.3">
      <c r="A15" s="201" t="str">
        <f>'Output&amp;Input'!B32</f>
        <v>Total liability</v>
      </c>
      <c r="B15" s="183">
        <f>'Output&amp;Input'!D32</f>
        <v>165.59709190999999</v>
      </c>
      <c r="C15" s="184"/>
      <c r="D15" s="182"/>
      <c r="E15" s="185"/>
      <c r="F15" s="183">
        <f>'Output&amp;Input'!E32</f>
        <v>11947.07263397</v>
      </c>
      <c r="G15" s="184"/>
      <c r="H15" s="182"/>
      <c r="I15" s="185"/>
    </row>
    <row r="16" spans="1:9" x14ac:dyDescent="0.3">
      <c r="A16" s="202" t="str">
        <f>'Output&amp;Input'!B33</f>
        <v>Short-term responsibility preparati</v>
      </c>
      <c r="B16" s="188"/>
      <c r="C16" s="189"/>
      <c r="D16" s="187"/>
      <c r="E16" s="190"/>
      <c r="F16" s="188"/>
      <c r="G16" s="189"/>
      <c r="H16" s="187"/>
      <c r="I16" s="190"/>
    </row>
    <row r="17" spans="1:9" x14ac:dyDescent="0.3">
      <c r="A17" s="202" t="str">
        <f>'Output&amp;Input'!B34</f>
        <v>Salary Payable</v>
      </c>
      <c r="B17" s="188"/>
      <c r="C17" s="189"/>
      <c r="D17" s="187"/>
      <c r="E17" s="190"/>
      <c r="F17" s="188"/>
      <c r="G17" s="189"/>
      <c r="H17" s="187"/>
      <c r="I17" s="190"/>
    </row>
    <row r="18" spans="1:9" x14ac:dyDescent="0.3">
      <c r="A18" s="202" t="str">
        <f>'Output&amp;Input'!B35</f>
        <v>Provision reserved for guaranty compensation</v>
      </c>
      <c r="B18" s="188"/>
      <c r="C18" s="189"/>
      <c r="D18" s="187"/>
      <c r="E18" s="190"/>
      <c r="F18" s="188"/>
      <c r="G18" s="189"/>
      <c r="H18" s="187"/>
      <c r="I18" s="190"/>
    </row>
    <row r="19" spans="1:9" x14ac:dyDescent="0.3">
      <c r="A19" s="202" t="str">
        <f>'Output&amp;Input'!B36</f>
        <v>Provision reserved for unexpired guarantee liability</v>
      </c>
      <c r="B19" s="188"/>
      <c r="C19" s="189"/>
      <c r="D19" s="187"/>
      <c r="E19" s="190"/>
      <c r="F19" s="188"/>
      <c r="G19" s="189"/>
      <c r="H19" s="187"/>
      <c r="I19" s="190"/>
    </row>
    <row r="20" spans="1:9" x14ac:dyDescent="0.3">
      <c r="A20" s="202" t="str">
        <f>'Output&amp;Input'!B37</f>
        <v>Other account payables</v>
      </c>
      <c r="B20" s="188"/>
      <c r="C20" s="189"/>
      <c r="D20" s="187"/>
      <c r="E20" s="190"/>
      <c r="F20" s="188"/>
      <c r="G20" s="189"/>
      <c r="H20" s="187"/>
      <c r="I20" s="190"/>
    </row>
    <row r="21" spans="1:9" x14ac:dyDescent="0.3">
      <c r="A21" s="202" t="str">
        <f>'Output&amp;Input'!B38</f>
        <v>Tax payable</v>
      </c>
      <c r="B21" s="188"/>
      <c r="C21" s="189"/>
      <c r="D21" s="187"/>
      <c r="E21" s="190"/>
      <c r="F21" s="188"/>
      <c r="G21" s="189"/>
      <c r="H21" s="187"/>
      <c r="I21" s="190"/>
    </row>
    <row r="22" spans="1:9" x14ac:dyDescent="0.3">
      <c r="A22" s="202" t="str">
        <f>'Output&amp;Input'!B39</f>
        <v>Accrued liabilities</v>
      </c>
      <c r="B22" s="188"/>
      <c r="C22" s="189"/>
      <c r="D22" s="187"/>
      <c r="E22" s="190"/>
      <c r="F22" s="188"/>
      <c r="G22" s="189"/>
      <c r="H22" s="187"/>
      <c r="I22" s="190"/>
    </row>
    <row r="23" spans="1:9" x14ac:dyDescent="0.3">
      <c r="A23" s="202" t="str">
        <f>'Output&amp;Input'!B40</f>
        <v>Special payables</v>
      </c>
      <c r="B23" s="188"/>
      <c r="C23" s="189"/>
      <c r="D23" s="187"/>
      <c r="E23" s="190"/>
      <c r="F23" s="188"/>
      <c r="G23" s="189"/>
      <c r="H23" s="187"/>
      <c r="I23" s="190"/>
    </row>
    <row r="24" spans="1:9" x14ac:dyDescent="0.3">
      <c r="A24" s="202" t="str">
        <f>'Output&amp;Input'!B41</f>
        <v>Payable and accounts payable</v>
      </c>
      <c r="B24" s="188"/>
      <c r="C24" s="189"/>
      <c r="D24" s="187"/>
      <c r="E24" s="190"/>
      <c r="F24" s="188"/>
      <c r="G24" s="189"/>
      <c r="H24" s="187"/>
      <c r="I24" s="190"/>
    </row>
    <row r="25" spans="1:9" x14ac:dyDescent="0.3">
      <c r="A25" s="201" t="str">
        <f>'Output&amp;Input'!B42</f>
        <v>Total equity</v>
      </c>
      <c r="B25" s="183">
        <f>'Output&amp;Input'!D42</f>
        <v>1060.36203004</v>
      </c>
      <c r="C25" s="184"/>
      <c r="D25" s="182"/>
      <c r="E25" s="185"/>
      <c r="F25" s="183">
        <f>F6-F15</f>
        <v>3404.1814392699998</v>
      </c>
      <c r="G25" s="184"/>
      <c r="H25" s="182"/>
      <c r="I25" s="185"/>
    </row>
    <row r="26" spans="1:9" x14ac:dyDescent="0.3">
      <c r="A26" s="202" t="str">
        <f>'Output&amp;Input'!B43</f>
        <v>Paid-up Capital</v>
      </c>
      <c r="B26" s="188"/>
      <c r="C26" s="189"/>
      <c r="D26" s="187"/>
      <c r="E26" s="190"/>
      <c r="F26" s="188"/>
      <c r="G26" s="189"/>
      <c r="H26" s="187"/>
      <c r="I26" s="190"/>
    </row>
    <row r="27" spans="1:9" x14ac:dyDescent="0.3">
      <c r="A27" s="202" t="str">
        <f>'Output&amp;Input'!B44</f>
        <v>Capital Surplus</v>
      </c>
      <c r="B27" s="188"/>
      <c r="C27" s="189"/>
      <c r="D27" s="187"/>
      <c r="E27" s="190"/>
      <c r="F27" s="188"/>
      <c r="G27" s="189"/>
      <c r="H27" s="187"/>
      <c r="I27" s="190"/>
    </row>
    <row r="28" spans="1:9" x14ac:dyDescent="0.3">
      <c r="A28" s="202" t="str">
        <f>'Output&amp;Input'!B45</f>
        <v>Retained earning</v>
      </c>
      <c r="B28" s="188"/>
      <c r="C28" s="189"/>
      <c r="D28" s="187"/>
      <c r="E28" s="190"/>
      <c r="F28" s="188"/>
      <c r="G28" s="189"/>
      <c r="H28" s="187"/>
      <c r="I28" s="190"/>
    </row>
    <row r="29" spans="1:9" x14ac:dyDescent="0.3">
      <c r="A29" s="203" t="s">
        <v>66</v>
      </c>
      <c r="B29" s="206"/>
      <c r="C29" s="207"/>
      <c r="D29" s="204"/>
      <c r="E29" s="205"/>
      <c r="F29" s="206"/>
      <c r="G29" s="207"/>
      <c r="H29" s="204"/>
      <c r="I29" s="205"/>
    </row>
    <row r="30" spans="1:9" x14ac:dyDescent="0.3">
      <c r="A30" s="202" t="s">
        <v>68</v>
      </c>
      <c r="B30" s="194">
        <f>'Output&amp;Input'!D64</f>
        <v>5093.4791999999998</v>
      </c>
      <c r="C30" s="189"/>
      <c r="D30" s="187"/>
      <c r="E30" s="190"/>
      <c r="F30" s="194"/>
      <c r="G30" s="189"/>
      <c r="H30" s="187"/>
      <c r="I30" s="190"/>
    </row>
    <row r="31" spans="1:9" x14ac:dyDescent="0.3">
      <c r="A31" s="202" t="s">
        <v>69</v>
      </c>
      <c r="B31" s="194">
        <f>'Output&amp;Input'!D65</f>
        <v>5194.3392000000003</v>
      </c>
      <c r="C31" s="189"/>
      <c r="D31" s="187"/>
      <c r="E31" s="190"/>
      <c r="F31" s="194">
        <f>'Output&amp;Input'!E65</f>
        <v>7410.9239470500006</v>
      </c>
      <c r="G31" s="189"/>
      <c r="H31" s="187"/>
      <c r="I31" s="190"/>
    </row>
    <row r="32" spans="1:9" x14ac:dyDescent="0.3">
      <c r="A32" s="202" t="s">
        <v>70</v>
      </c>
      <c r="B32" s="188"/>
      <c r="C32" s="189"/>
      <c r="D32" s="187"/>
      <c r="E32" s="190"/>
      <c r="F32" s="188"/>
      <c r="G32" s="189"/>
      <c r="H32" s="187"/>
      <c r="I32" s="190"/>
    </row>
    <row r="33" spans="1:9" x14ac:dyDescent="0.3">
      <c r="A33" s="202" t="s">
        <v>71</v>
      </c>
      <c r="B33" s="188"/>
      <c r="C33" s="189"/>
      <c r="D33" s="187"/>
      <c r="E33" s="190"/>
      <c r="F33" s="188"/>
      <c r="G33" s="189"/>
      <c r="H33" s="187"/>
      <c r="I33" s="190"/>
    </row>
    <row r="34" spans="1:9" x14ac:dyDescent="0.3">
      <c r="A34" s="202" t="s">
        <v>72</v>
      </c>
      <c r="B34" s="194">
        <f>'Output&amp;Input'!D68</f>
        <v>1159.279</v>
      </c>
      <c r="C34" s="189"/>
      <c r="D34" s="187"/>
      <c r="E34" s="190"/>
      <c r="F34" s="194"/>
      <c r="G34" s="189"/>
      <c r="H34" s="187"/>
      <c r="I34" s="190"/>
    </row>
    <row r="35" spans="1:9" x14ac:dyDescent="0.3">
      <c r="A35" s="202" t="s">
        <v>73</v>
      </c>
      <c r="B35" s="188"/>
      <c r="C35" s="189"/>
      <c r="D35" s="187"/>
      <c r="E35" s="190"/>
      <c r="F35" s="188"/>
      <c r="G35" s="189"/>
      <c r="H35" s="187"/>
      <c r="I35" s="190"/>
    </row>
    <row r="36" spans="1:9" x14ac:dyDescent="0.3">
      <c r="A36" s="202" t="s">
        <v>74</v>
      </c>
      <c r="B36" s="188"/>
      <c r="C36" s="189"/>
      <c r="D36" s="187"/>
      <c r="E36" s="190"/>
      <c r="F36" s="188"/>
      <c r="G36" s="189"/>
      <c r="H36" s="187"/>
      <c r="I36" s="190"/>
    </row>
    <row r="37" spans="1:9" x14ac:dyDescent="0.3">
      <c r="A37" s="202" t="s">
        <v>75</v>
      </c>
      <c r="B37" s="188"/>
      <c r="C37" s="189"/>
      <c r="D37" s="187"/>
      <c r="E37" s="190"/>
      <c r="F37" s="188"/>
      <c r="G37" s="189"/>
      <c r="H37" s="187"/>
      <c r="I37" s="190"/>
    </row>
    <row r="38" spans="1:9" x14ac:dyDescent="0.3">
      <c r="A38" s="202" t="s">
        <v>76</v>
      </c>
      <c r="B38" s="188"/>
      <c r="C38" s="189"/>
      <c r="D38" s="187"/>
      <c r="E38" s="190"/>
      <c r="F38" s="188"/>
      <c r="G38" s="189"/>
      <c r="H38" s="187"/>
      <c r="I38" s="190"/>
    </row>
    <row r="39" spans="1:9" x14ac:dyDescent="0.3">
      <c r="A39" s="208" t="s">
        <v>77</v>
      </c>
      <c r="B39" s="188"/>
      <c r="C39" s="189"/>
      <c r="D39" s="187"/>
      <c r="E39" s="190"/>
      <c r="F39" s="188"/>
      <c r="G39" s="189"/>
      <c r="H39" s="187"/>
      <c r="I39" s="190"/>
    </row>
    <row r="40" spans="1:9" x14ac:dyDescent="0.3">
      <c r="A40" s="208" t="s">
        <v>75</v>
      </c>
      <c r="B40" s="188"/>
      <c r="C40" s="189"/>
      <c r="D40" s="187"/>
      <c r="E40" s="190"/>
      <c r="F40" s="188"/>
      <c r="G40" s="189"/>
      <c r="H40" s="187"/>
      <c r="I40" s="190"/>
    </row>
    <row r="41" spans="1:9" x14ac:dyDescent="0.3">
      <c r="A41" s="208" t="s">
        <v>76</v>
      </c>
      <c r="B41" s="188"/>
      <c r="C41" s="189"/>
      <c r="D41" s="187"/>
      <c r="E41" s="190"/>
      <c r="F41" s="188"/>
      <c r="G41" s="189"/>
      <c r="H41" s="187"/>
      <c r="I41" s="190"/>
    </row>
    <row r="42" spans="1:9" x14ac:dyDescent="0.3">
      <c r="A42" s="208" t="s">
        <v>79</v>
      </c>
      <c r="B42" s="194">
        <f>'Output&amp;Input'!D76</f>
        <v>48.359200000000001</v>
      </c>
      <c r="C42" s="189"/>
      <c r="D42" s="187"/>
      <c r="E42" s="190"/>
      <c r="F42" s="194"/>
      <c r="G42" s="189"/>
      <c r="H42" s="187"/>
      <c r="I42" s="190"/>
    </row>
    <row r="43" spans="1:9" x14ac:dyDescent="0.3">
      <c r="A43" s="208" t="s">
        <v>80</v>
      </c>
      <c r="B43" s="188"/>
      <c r="C43" s="189"/>
      <c r="D43" s="187"/>
      <c r="E43" s="190"/>
      <c r="F43" s="188"/>
      <c r="G43" s="189"/>
      <c r="H43" s="187"/>
      <c r="I43" s="190"/>
    </row>
    <row r="44" spans="1:9" x14ac:dyDescent="0.3">
      <c r="A44" s="208" t="s">
        <v>81</v>
      </c>
      <c r="B44" s="188"/>
      <c r="C44" s="189"/>
      <c r="D44" s="187"/>
      <c r="E44" s="190"/>
      <c r="F44" s="188"/>
      <c r="G44" s="189"/>
      <c r="H44" s="187"/>
      <c r="I44" s="190"/>
    </row>
    <row r="45" spans="1:9" x14ac:dyDescent="0.3">
      <c r="A45" s="209"/>
      <c r="B45" s="188"/>
      <c r="C45" s="189"/>
      <c r="D45" s="187"/>
      <c r="E45" s="190"/>
      <c r="F45" s="188"/>
      <c r="G45" s="189"/>
      <c r="H45" s="187"/>
      <c r="I45" s="190"/>
    </row>
    <row r="46" spans="1:9" x14ac:dyDescent="0.3">
      <c r="A46" s="210" t="s">
        <v>15</v>
      </c>
      <c r="B46" s="211">
        <f>'Output&amp;Input'!D7</f>
        <v>500</v>
      </c>
      <c r="C46" s="212"/>
      <c r="D46" s="213"/>
      <c r="E46" s="214"/>
      <c r="F46" s="211">
        <f>'Output&amp;Input'!E7</f>
        <v>500</v>
      </c>
      <c r="G46" s="212"/>
      <c r="H46" s="213"/>
      <c r="I46" s="214"/>
    </row>
    <row r="47" spans="1:9" x14ac:dyDescent="0.3">
      <c r="A47" s="215" t="s">
        <v>125</v>
      </c>
      <c r="B47" s="216" t="str">
        <f>'Output&amp;Input'!B123</f>
        <v>Base</v>
      </c>
      <c r="C47" s="189"/>
      <c r="D47" s="187"/>
      <c r="E47" s="190"/>
      <c r="F47" s="216" t="str">
        <f>'Output&amp;Input'!B123</f>
        <v>Base</v>
      </c>
      <c r="G47" s="189"/>
      <c r="H47" s="187"/>
      <c r="I47" s="190"/>
    </row>
    <row r="48" spans="1:9" x14ac:dyDescent="0.3">
      <c r="A48" s="217" t="s">
        <v>126</v>
      </c>
      <c r="B48" s="221"/>
      <c r="C48" s="218"/>
      <c r="D48" s="219"/>
      <c r="E48" s="220"/>
      <c r="F48" s="221"/>
      <c r="G48" s="218"/>
      <c r="H48" s="219"/>
      <c r="I48" s="220"/>
    </row>
    <row r="49" spans="1:9" x14ac:dyDescent="0.3">
      <c r="A49" s="222" t="s">
        <v>85</v>
      </c>
      <c r="B49" s="223">
        <f>IF(B47='Output&amp;Input'!A87,'Output&amp;Input'!D88,IF(B47='Output&amp;Input'!A94,'Output&amp;Input'!D95))</f>
        <v>2.7304552437932811E-2</v>
      </c>
      <c r="C49" s="189"/>
      <c r="D49" s="187"/>
      <c r="E49" s="190"/>
      <c r="F49" s="223">
        <f>IF(F47='Output&amp;Input'!A87,'Output&amp;Input'!D88,IF(F47='Output&amp;Input'!A94,'Output&amp;Input'!D95))</f>
        <v>2.7304552437932811E-2</v>
      </c>
      <c r="G49" s="189"/>
      <c r="H49" s="187"/>
      <c r="I49" s="190"/>
    </row>
    <row r="50" spans="1:9" x14ac:dyDescent="0.3">
      <c r="A50" s="222" t="s">
        <v>127</v>
      </c>
      <c r="B50" s="223">
        <f>IF(B47=Prediction_Offcn!A17,Prediction_Offcn!B17,IF(B47=Prediction_Offcn!A18,Prediction_Offcn!B18))</f>
        <v>1.915871306219398E-2</v>
      </c>
      <c r="C50" s="189"/>
      <c r="D50" s="187"/>
      <c r="E50" s="190"/>
      <c r="F50" s="223">
        <f>IF(F47=Prediction_Offcn!A17,Prediction_Offcn!B17,IF(F47=Prediction_Offcn!A18,Prediction_Offcn!B18))</f>
        <v>1.915871306219398E-2</v>
      </c>
      <c r="G50" s="189"/>
      <c r="H50" s="187"/>
      <c r="I50" s="190"/>
    </row>
    <row r="51" spans="1:9" x14ac:dyDescent="0.3">
      <c r="A51" s="217" t="s">
        <v>128</v>
      </c>
      <c r="B51" s="221"/>
      <c r="C51" s="218"/>
      <c r="D51" s="219"/>
      <c r="E51" s="220"/>
      <c r="F51" s="221"/>
      <c r="G51" s="218"/>
      <c r="H51" s="219"/>
      <c r="I51" s="220"/>
    </row>
    <row r="52" spans="1:9" x14ac:dyDescent="0.3">
      <c r="A52" s="215" t="s">
        <v>85</v>
      </c>
      <c r="B52" s="223">
        <f>IF(B47=Prediction_Offcn!B20,Prediction_Offcn!B21,IF(B47=Prediction_Offcn!B23,Prediction_Offcn!B24))</f>
        <v>-3.8569751968197301</v>
      </c>
      <c r="C52" s="189"/>
      <c r="D52" s="187"/>
      <c r="E52" s="190"/>
      <c r="F52" s="223">
        <f>IF(F47=Prediction_Offcn!B20,Prediction_Offcn!B21,IF(F47=Prediction_Offcn!B23,Prediction_Offcn!B24))</f>
        <v>-3.8569751968197301</v>
      </c>
      <c r="G52" s="189"/>
      <c r="H52" s="187"/>
      <c r="I52" s="190"/>
    </row>
    <row r="53" spans="1:9" x14ac:dyDescent="0.3">
      <c r="A53" s="224" t="s">
        <v>129</v>
      </c>
      <c r="B53" s="225">
        <f>IF(B47=Prediction_Offcn!B20,Prediction_Offcn!B22,IF(B47=Prediction_Offcn!B23,Prediction_Offcn!B25))</f>
        <v>0.65565661346478898</v>
      </c>
      <c r="C53" s="226"/>
      <c r="D53" s="227"/>
      <c r="E53" s="228"/>
      <c r="F53" s="225">
        <f>IF(F47=Prediction_Offcn!B20,Prediction_Offcn!B22,IF(F47=Prediction_Offcn!B23,Prediction_Offcn!B25))</f>
        <v>0.65565661346478898</v>
      </c>
      <c r="G53" s="226"/>
      <c r="H53" s="227"/>
      <c r="I53" s="228"/>
    </row>
    <row r="54" spans="1:9" x14ac:dyDescent="0.3">
      <c r="B54" s="216"/>
      <c r="C54" s="12" t="b">
        <v>1</v>
      </c>
      <c r="D54" s="229">
        <f>INDEX(B56:E155,MATCH(C54,C56:C155,0),4)</f>
        <v>0.9994569607103837</v>
      </c>
      <c r="E54" s="231">
        <f>INDEX(A56:D155,MATCH(C54,C56:C155,0),1)</f>
        <v>0.18</v>
      </c>
      <c r="F54" s="216"/>
      <c r="G54" s="12" t="b">
        <v>1</v>
      </c>
      <c r="H54" s="229">
        <f>INDEX(F56:I155,MATCH(G54,G56:G155,0),4)</f>
        <v>0.99999784041196371</v>
      </c>
      <c r="I54" s="231">
        <f>INDEX(A56:H155,MATCH(G54,G56:G155,0),1)</f>
        <v>0.43</v>
      </c>
    </row>
    <row r="55" spans="1:9" x14ac:dyDescent="0.3">
      <c r="A55" s="232" t="s">
        <v>130</v>
      </c>
      <c r="B55" s="23" t="s">
        <v>131</v>
      </c>
      <c r="C55" s="232" t="s">
        <v>132</v>
      </c>
      <c r="D55" s="232" t="s">
        <v>133</v>
      </c>
      <c r="E55" s="232" t="s">
        <v>134</v>
      </c>
      <c r="F55" s="23" t="s">
        <v>131</v>
      </c>
      <c r="G55" s="232" t="s">
        <v>132</v>
      </c>
      <c r="H55" s="232" t="s">
        <v>133</v>
      </c>
      <c r="I55" s="232" t="s">
        <v>134</v>
      </c>
    </row>
    <row r="56" spans="1:9" x14ac:dyDescent="0.3">
      <c r="A56" s="233">
        <v>0.01</v>
      </c>
      <c r="B56" s="216">
        <f t="shared" ref="B56:B87" si="0">$B$6-$B$15-$A56*($B$31+$B$46)</f>
        <v>1003.3132204099999</v>
      </c>
      <c r="C56" s="234" t="b">
        <f>IF(AND(B56&gt;0,B57&lt;0),TRUE)</f>
        <v>0</v>
      </c>
      <c r="D56" s="231">
        <f>_xlfn.NORM.DIST(A56,$B$49,$B$50,TRUE)</f>
        <v>0.18320430083286371</v>
      </c>
      <c r="E56" s="178">
        <f>_xlfn.LOGNORM.DIST(A56,$B$52,$B$53,TRUE)</f>
        <v>0.12690615086552701</v>
      </c>
      <c r="F56" s="216">
        <f t="shared" ref="F56:F87" si="1">$F$6-$F$15-$A56*($F$31+$F$46)</f>
        <v>3325.0721997994997</v>
      </c>
      <c r="G56" s="234" t="b">
        <f>IF(AND(F56&gt;0,F57&lt;0),TRUE)</f>
        <v>0</v>
      </c>
      <c r="H56" s="231">
        <f>_xlfn.NORM.DIST(A56,$F$49,$F$50,TRUE)</f>
        <v>0.18320430083286371</v>
      </c>
      <c r="I56" s="178">
        <f>_xlfn.LOGNORM.DIST(A56,$B$52,$B$53,TRUE)</f>
        <v>0.12690615086552701</v>
      </c>
    </row>
    <row r="57" spans="1:9" x14ac:dyDescent="0.3">
      <c r="A57" s="233">
        <v>0.02</v>
      </c>
      <c r="B57" s="216">
        <f t="shared" si="0"/>
        <v>946.36982840999985</v>
      </c>
      <c r="C57" s="234" t="b">
        <f t="shared" ref="C57:C120" si="2">IF(AND(B57&gt;0,B58&lt;0),TRUE)</f>
        <v>0</v>
      </c>
      <c r="D57" s="231">
        <f t="shared" ref="D57:D120" si="3">_xlfn.NORM.DIST(A57,$B$49,$B$50,TRUE)</f>
        <v>0.35150320045753303</v>
      </c>
      <c r="E57" s="178">
        <f t="shared" ref="E57:E120" si="4">_xlfn.LOGNORM.DIST(A57,$B$52,$B$53,TRUE)</f>
        <v>0.46654479688231421</v>
      </c>
      <c r="F57" s="216">
        <f t="shared" si="1"/>
        <v>3245.962960329</v>
      </c>
      <c r="G57" s="234" t="b">
        <f t="shared" ref="G57:G120" si="5">IF(AND(F57&gt;0,F58&lt;0),TRUE)</f>
        <v>0</v>
      </c>
      <c r="H57" s="231">
        <f t="shared" ref="H57:H120" si="6">_xlfn.NORM.DIST(A57,$F$49,$F$50,TRUE)</f>
        <v>0.35150320045753303</v>
      </c>
      <c r="I57" s="178">
        <f t="shared" ref="I57:I120" si="7">_xlfn.LOGNORM.DIST(A57,$B$52,$B$53,TRUE)</f>
        <v>0.46654479688231421</v>
      </c>
    </row>
    <row r="58" spans="1:9" x14ac:dyDescent="0.3">
      <c r="A58" s="233">
        <v>0.03</v>
      </c>
      <c r="B58" s="216">
        <f t="shared" si="0"/>
        <v>889.42643640999995</v>
      </c>
      <c r="C58" s="234" t="b">
        <f t="shared" si="2"/>
        <v>0</v>
      </c>
      <c r="D58" s="231">
        <f t="shared" si="3"/>
        <v>0.55594274682734979</v>
      </c>
      <c r="E58" s="178">
        <f t="shared" si="4"/>
        <v>0.70348573892210831</v>
      </c>
      <c r="F58" s="216">
        <f t="shared" si="1"/>
        <v>3166.8537208584999</v>
      </c>
      <c r="G58" s="234" t="b">
        <f t="shared" si="5"/>
        <v>0</v>
      </c>
      <c r="H58" s="231">
        <f t="shared" si="6"/>
        <v>0.55594274682734979</v>
      </c>
      <c r="I58" s="178">
        <f t="shared" si="7"/>
        <v>0.70348573892210831</v>
      </c>
    </row>
    <row r="59" spans="1:9" x14ac:dyDescent="0.3">
      <c r="A59" s="233">
        <v>0.04</v>
      </c>
      <c r="B59" s="216">
        <f t="shared" si="0"/>
        <v>832.48304440999982</v>
      </c>
      <c r="C59" s="234" t="b">
        <f t="shared" si="2"/>
        <v>0</v>
      </c>
      <c r="D59" s="231">
        <f t="shared" si="3"/>
        <v>0.74622139898607176</v>
      </c>
      <c r="E59" s="178">
        <f t="shared" si="4"/>
        <v>0.83477848447156955</v>
      </c>
      <c r="F59" s="216">
        <f t="shared" si="1"/>
        <v>3087.7444813879997</v>
      </c>
      <c r="G59" s="234" t="b">
        <f t="shared" si="5"/>
        <v>0</v>
      </c>
      <c r="H59" s="231">
        <f t="shared" si="6"/>
        <v>0.74622139898607176</v>
      </c>
      <c r="I59" s="178">
        <f t="shared" si="7"/>
        <v>0.83477848447156955</v>
      </c>
    </row>
    <row r="60" spans="1:9" x14ac:dyDescent="0.3">
      <c r="A60" s="233">
        <v>0.05</v>
      </c>
      <c r="B60" s="216">
        <f t="shared" si="0"/>
        <v>775.53965240999992</v>
      </c>
      <c r="C60" s="234" t="b">
        <f t="shared" si="2"/>
        <v>0</v>
      </c>
      <c r="D60" s="231">
        <f t="shared" si="3"/>
        <v>0.88191255383304201</v>
      </c>
      <c r="E60" s="178">
        <f t="shared" si="4"/>
        <v>0.9055024876435176</v>
      </c>
      <c r="F60" s="216">
        <f t="shared" si="1"/>
        <v>3008.6352419175</v>
      </c>
      <c r="G60" s="234" t="b">
        <f t="shared" si="5"/>
        <v>0</v>
      </c>
      <c r="H60" s="231">
        <f t="shared" si="6"/>
        <v>0.88191255383304201</v>
      </c>
      <c r="I60" s="178">
        <f t="shared" si="7"/>
        <v>0.9055024876435176</v>
      </c>
    </row>
    <row r="61" spans="1:9" x14ac:dyDescent="0.3">
      <c r="A61" s="233">
        <v>0.06</v>
      </c>
      <c r="B61" s="216">
        <f t="shared" si="0"/>
        <v>718.5962604099999</v>
      </c>
      <c r="C61" s="234" t="b">
        <f t="shared" si="2"/>
        <v>0</v>
      </c>
      <c r="D61" s="231">
        <f t="shared" si="3"/>
        <v>0.95604784503525353</v>
      </c>
      <c r="E61" s="178">
        <f t="shared" si="4"/>
        <v>0.94426636647552176</v>
      </c>
      <c r="F61" s="216">
        <f t="shared" si="1"/>
        <v>2929.5260024469999</v>
      </c>
      <c r="G61" s="234" t="b">
        <f t="shared" si="5"/>
        <v>0</v>
      </c>
      <c r="H61" s="231">
        <f t="shared" si="6"/>
        <v>0.95604784503525353</v>
      </c>
      <c r="I61" s="178">
        <f t="shared" si="7"/>
        <v>0.94426636647552176</v>
      </c>
    </row>
    <row r="62" spans="1:9" s="237" customFormat="1" x14ac:dyDescent="0.3">
      <c r="A62" s="235">
        <v>7.0000000000000007E-2</v>
      </c>
      <c r="B62" s="216">
        <f t="shared" si="0"/>
        <v>661.65286840999988</v>
      </c>
      <c r="C62" s="236" t="b">
        <f t="shared" si="2"/>
        <v>0</v>
      </c>
      <c r="D62" s="231">
        <f t="shared" si="3"/>
        <v>0.9870768484853556</v>
      </c>
      <c r="E62" s="178">
        <f t="shared" si="4"/>
        <v>0.96613067896708638</v>
      </c>
      <c r="F62" s="216">
        <f t="shared" si="1"/>
        <v>2850.4167629764997</v>
      </c>
      <c r="G62" s="236" t="b">
        <f t="shared" si="5"/>
        <v>0</v>
      </c>
      <c r="H62" s="231">
        <f t="shared" si="6"/>
        <v>0.9870768484853556</v>
      </c>
      <c r="I62" s="178">
        <f t="shared" si="7"/>
        <v>0.96613067896708638</v>
      </c>
    </row>
    <row r="63" spans="1:9" x14ac:dyDescent="0.3">
      <c r="A63" s="233">
        <v>0.08</v>
      </c>
      <c r="B63" s="216">
        <f t="shared" si="0"/>
        <v>604.70947640999987</v>
      </c>
      <c r="C63" s="234" t="b">
        <f t="shared" si="2"/>
        <v>0</v>
      </c>
      <c r="D63" s="231">
        <f t="shared" si="3"/>
        <v>0.99702449946749183</v>
      </c>
      <c r="E63" s="178">
        <f t="shared" si="4"/>
        <v>0.97884215735288593</v>
      </c>
      <c r="F63" s="216">
        <f t="shared" si="1"/>
        <v>2771.3075235059996</v>
      </c>
      <c r="G63" s="234" t="b">
        <f t="shared" si="5"/>
        <v>0</v>
      </c>
      <c r="H63" s="231">
        <f t="shared" si="6"/>
        <v>0.99702449946749183</v>
      </c>
      <c r="I63" s="178">
        <f t="shared" si="7"/>
        <v>0.97884215735288593</v>
      </c>
    </row>
    <row r="64" spans="1:9" s="237" customFormat="1" x14ac:dyDescent="0.3">
      <c r="A64" s="235">
        <v>0.09</v>
      </c>
      <c r="B64" s="216">
        <f t="shared" si="0"/>
        <v>547.76608440999985</v>
      </c>
      <c r="C64" s="236" t="b">
        <f t="shared" si="2"/>
        <v>0</v>
      </c>
      <c r="D64" s="231">
        <f t="shared" si="3"/>
        <v>0.99946685381121436</v>
      </c>
      <c r="E64" s="178">
        <f t="shared" si="4"/>
        <v>0.98644892569718534</v>
      </c>
      <c r="F64" s="216">
        <f t="shared" si="1"/>
        <v>2692.1982840354999</v>
      </c>
      <c r="G64" s="236" t="b">
        <f t="shared" si="5"/>
        <v>0</v>
      </c>
      <c r="H64" s="231">
        <f t="shared" si="6"/>
        <v>0.99946685381121436</v>
      </c>
      <c r="I64" s="178">
        <f t="shared" si="7"/>
        <v>0.98644892569718534</v>
      </c>
    </row>
    <row r="65" spans="1:9" x14ac:dyDescent="0.3">
      <c r="A65" s="233">
        <v>0.1</v>
      </c>
      <c r="B65" s="216">
        <f t="shared" si="0"/>
        <v>490.82269240999983</v>
      </c>
      <c r="C65" s="234" t="b">
        <f t="shared" si="2"/>
        <v>0</v>
      </c>
      <c r="D65" s="231">
        <f t="shared" si="3"/>
        <v>0.99992599373190816</v>
      </c>
      <c r="E65" s="178">
        <f t="shared" si="4"/>
        <v>0.99112369689192337</v>
      </c>
      <c r="F65" s="216">
        <f t="shared" si="1"/>
        <v>2613.0890445649998</v>
      </c>
      <c r="G65" s="234" t="b">
        <f t="shared" si="5"/>
        <v>0</v>
      </c>
      <c r="H65" s="231">
        <f t="shared" si="6"/>
        <v>0.99992599373190816</v>
      </c>
      <c r="I65" s="178">
        <f t="shared" si="7"/>
        <v>0.99112369689192337</v>
      </c>
    </row>
    <row r="66" spans="1:9" x14ac:dyDescent="0.3">
      <c r="A66" s="233">
        <v>0.11</v>
      </c>
      <c r="B66" s="216">
        <f t="shared" si="0"/>
        <v>433.87930040999981</v>
      </c>
      <c r="C66" s="234" t="b">
        <f t="shared" si="2"/>
        <v>0</v>
      </c>
      <c r="D66" s="231">
        <f t="shared" si="3"/>
        <v>0.999992067986473</v>
      </c>
      <c r="E66" s="178">
        <f t="shared" si="4"/>
        <v>0.9940669933049221</v>
      </c>
      <c r="F66" s="216">
        <f t="shared" si="1"/>
        <v>2533.9798050944996</v>
      </c>
      <c r="G66" s="234" t="b">
        <f t="shared" si="5"/>
        <v>0</v>
      </c>
      <c r="H66" s="231">
        <f t="shared" si="6"/>
        <v>0.999992067986473</v>
      </c>
      <c r="I66" s="178">
        <f t="shared" si="7"/>
        <v>0.9940669933049221</v>
      </c>
    </row>
    <row r="67" spans="1:9" x14ac:dyDescent="0.3">
      <c r="A67" s="233">
        <v>0.12</v>
      </c>
      <c r="B67" s="216">
        <f t="shared" si="0"/>
        <v>376.93590840999991</v>
      </c>
      <c r="C67" s="234" t="b">
        <f t="shared" si="2"/>
        <v>0</v>
      </c>
      <c r="D67" s="231">
        <f t="shared" si="3"/>
        <v>0.99999934520165756</v>
      </c>
      <c r="E67" s="178">
        <f t="shared" si="4"/>
        <v>0.99596124753066773</v>
      </c>
      <c r="F67" s="216">
        <f t="shared" si="1"/>
        <v>2454.8705656239999</v>
      </c>
      <c r="G67" s="234" t="b">
        <f t="shared" si="5"/>
        <v>0</v>
      </c>
      <c r="H67" s="231">
        <f t="shared" si="6"/>
        <v>0.99999934520165756</v>
      </c>
      <c r="I67" s="178">
        <f t="shared" si="7"/>
        <v>0.99596124753066773</v>
      </c>
    </row>
    <row r="68" spans="1:9" x14ac:dyDescent="0.3">
      <c r="A68" s="233">
        <v>0.13</v>
      </c>
      <c r="B68" s="216">
        <f t="shared" si="0"/>
        <v>319.99251640999978</v>
      </c>
      <c r="C68" s="234" t="b">
        <f t="shared" si="2"/>
        <v>0</v>
      </c>
      <c r="D68" s="231">
        <f t="shared" si="3"/>
        <v>0.99999995844603895</v>
      </c>
      <c r="E68" s="178">
        <f t="shared" si="4"/>
        <v>0.99720486093776473</v>
      </c>
      <c r="F68" s="216">
        <f t="shared" si="1"/>
        <v>2375.7613261534998</v>
      </c>
      <c r="G68" s="234" t="b">
        <f t="shared" si="5"/>
        <v>0</v>
      </c>
      <c r="H68" s="231">
        <f t="shared" si="6"/>
        <v>0.99999995844603895</v>
      </c>
      <c r="I68" s="178">
        <f t="shared" si="7"/>
        <v>0.99720486093776473</v>
      </c>
    </row>
    <row r="69" spans="1:9" x14ac:dyDescent="0.3">
      <c r="A69" s="233">
        <v>0.14000000000000001</v>
      </c>
      <c r="B69" s="216">
        <f t="shared" si="0"/>
        <v>263.04912440999976</v>
      </c>
      <c r="C69" s="234" t="b">
        <f t="shared" si="2"/>
        <v>0</v>
      </c>
      <c r="D69" s="231">
        <f t="shared" si="3"/>
        <v>0.9999999979757983</v>
      </c>
      <c r="E69" s="178">
        <f t="shared" si="4"/>
        <v>0.99803621807039578</v>
      </c>
      <c r="F69" s="216">
        <f t="shared" si="1"/>
        <v>2296.6520866829997</v>
      </c>
      <c r="G69" s="234" t="b">
        <f t="shared" si="5"/>
        <v>0</v>
      </c>
      <c r="H69" s="231">
        <f t="shared" si="6"/>
        <v>0.9999999979757983</v>
      </c>
      <c r="I69" s="178">
        <f t="shared" si="7"/>
        <v>0.99803621807039578</v>
      </c>
    </row>
    <row r="70" spans="1:9" x14ac:dyDescent="0.3">
      <c r="A70" s="233">
        <v>0.15</v>
      </c>
      <c r="B70" s="216">
        <f t="shared" si="0"/>
        <v>206.10573240999986</v>
      </c>
      <c r="C70" s="234" t="b">
        <f t="shared" si="2"/>
        <v>0</v>
      </c>
      <c r="D70" s="231">
        <f t="shared" si="3"/>
        <v>0.99999999992439981</v>
      </c>
      <c r="E70" s="178">
        <f t="shared" si="4"/>
        <v>0.9986012209604469</v>
      </c>
      <c r="F70" s="216">
        <f t="shared" si="1"/>
        <v>2217.5428472124995</v>
      </c>
      <c r="G70" s="234" t="b">
        <f t="shared" si="5"/>
        <v>0</v>
      </c>
      <c r="H70" s="231">
        <f t="shared" si="6"/>
        <v>0.99999999992439981</v>
      </c>
      <c r="I70" s="178">
        <f t="shared" si="7"/>
        <v>0.9986012209604469</v>
      </c>
    </row>
    <row r="71" spans="1:9" x14ac:dyDescent="0.3">
      <c r="A71" s="233">
        <v>0.16</v>
      </c>
      <c r="B71" s="216">
        <f t="shared" si="0"/>
        <v>149.16234040999984</v>
      </c>
      <c r="C71" s="234" t="b">
        <f t="shared" si="2"/>
        <v>0</v>
      </c>
      <c r="D71" s="231">
        <f t="shared" si="3"/>
        <v>0.99999999999783717</v>
      </c>
      <c r="E71" s="178">
        <f t="shared" si="4"/>
        <v>0.99899104045452836</v>
      </c>
      <c r="F71" s="216">
        <f t="shared" si="1"/>
        <v>2138.4336077419994</v>
      </c>
      <c r="G71" s="234" t="b">
        <f t="shared" si="5"/>
        <v>0</v>
      </c>
      <c r="H71" s="231">
        <f t="shared" si="6"/>
        <v>0.99999999999783717</v>
      </c>
      <c r="I71" s="178">
        <f t="shared" si="7"/>
        <v>0.99899104045452836</v>
      </c>
    </row>
    <row r="72" spans="1:9" x14ac:dyDescent="0.3">
      <c r="A72" s="233">
        <v>0.17</v>
      </c>
      <c r="B72" s="216">
        <f t="shared" si="0"/>
        <v>92.218948409999712</v>
      </c>
      <c r="C72" s="234" t="b">
        <f t="shared" si="2"/>
        <v>0</v>
      </c>
      <c r="D72" s="231">
        <f t="shared" si="3"/>
        <v>0.99999999999995259</v>
      </c>
      <c r="E72" s="178">
        <f t="shared" si="4"/>
        <v>0.99926374225780445</v>
      </c>
      <c r="F72" s="216">
        <f t="shared" si="1"/>
        <v>2059.3243682714997</v>
      </c>
      <c r="G72" s="234" t="b">
        <f t="shared" si="5"/>
        <v>0</v>
      </c>
      <c r="H72" s="231">
        <f t="shared" si="6"/>
        <v>0.99999999999995259</v>
      </c>
      <c r="I72" s="178">
        <f t="shared" si="7"/>
        <v>0.99926374225780445</v>
      </c>
    </row>
    <row r="73" spans="1:9" x14ac:dyDescent="0.3">
      <c r="A73" s="233">
        <v>0.18</v>
      </c>
      <c r="B73" s="216">
        <f t="shared" si="0"/>
        <v>35.275556409999808</v>
      </c>
      <c r="C73" s="234" t="b">
        <f t="shared" si="2"/>
        <v>1</v>
      </c>
      <c r="D73" s="231">
        <f t="shared" si="3"/>
        <v>0.99999999999999922</v>
      </c>
      <c r="E73" s="178">
        <f t="shared" si="4"/>
        <v>0.9994569607103837</v>
      </c>
      <c r="F73" s="216">
        <f t="shared" si="1"/>
        <v>1980.2151288009998</v>
      </c>
      <c r="G73" s="234" t="b">
        <f t="shared" si="5"/>
        <v>0</v>
      </c>
      <c r="H73" s="231">
        <f t="shared" si="6"/>
        <v>0.99999999999999922</v>
      </c>
      <c r="I73" s="178">
        <f t="shared" si="7"/>
        <v>0.9994569607103837</v>
      </c>
    </row>
    <row r="74" spans="1:9" x14ac:dyDescent="0.3">
      <c r="A74" s="233">
        <v>0.19</v>
      </c>
      <c r="B74" s="216">
        <f t="shared" si="0"/>
        <v>-21.667835590000095</v>
      </c>
      <c r="C74" s="234" t="b">
        <f t="shared" si="2"/>
        <v>0</v>
      </c>
      <c r="D74" s="231">
        <f t="shared" si="3"/>
        <v>1</v>
      </c>
      <c r="E74" s="178">
        <f t="shared" si="4"/>
        <v>0.99959548438576507</v>
      </c>
      <c r="F74" s="216">
        <f t="shared" si="1"/>
        <v>1901.1058893304996</v>
      </c>
      <c r="G74" s="234" t="b">
        <f t="shared" si="5"/>
        <v>0</v>
      </c>
      <c r="H74" s="231">
        <f t="shared" si="6"/>
        <v>1</v>
      </c>
      <c r="I74" s="178">
        <f t="shared" si="7"/>
        <v>0.99959548438576507</v>
      </c>
    </row>
    <row r="75" spans="1:9" x14ac:dyDescent="0.3">
      <c r="A75" s="233">
        <v>0.2</v>
      </c>
      <c r="B75" s="216">
        <f t="shared" si="0"/>
        <v>-78.611227590000226</v>
      </c>
      <c r="C75" s="234" t="b">
        <f t="shared" si="2"/>
        <v>0</v>
      </c>
      <c r="D75" s="231">
        <f t="shared" si="3"/>
        <v>1</v>
      </c>
      <c r="E75" s="178">
        <f t="shared" si="4"/>
        <v>0.99969588572960144</v>
      </c>
      <c r="F75" s="216">
        <f t="shared" si="1"/>
        <v>1821.9966498599997</v>
      </c>
      <c r="G75" s="234" t="b">
        <f t="shared" si="5"/>
        <v>0</v>
      </c>
      <c r="H75" s="231">
        <f t="shared" si="6"/>
        <v>1</v>
      </c>
      <c r="I75" s="178">
        <f t="shared" si="7"/>
        <v>0.99969588572960144</v>
      </c>
    </row>
    <row r="76" spans="1:9" x14ac:dyDescent="0.3">
      <c r="A76" s="233">
        <v>0.21</v>
      </c>
      <c r="B76" s="216">
        <f t="shared" si="0"/>
        <v>-135.55461959000013</v>
      </c>
      <c r="C76" s="234" t="b">
        <f t="shared" si="2"/>
        <v>0</v>
      </c>
      <c r="D76" s="231">
        <f t="shared" si="3"/>
        <v>1</v>
      </c>
      <c r="E76" s="178">
        <f t="shared" si="4"/>
        <v>0.99976939814202659</v>
      </c>
      <c r="F76" s="216">
        <f t="shared" si="1"/>
        <v>1742.8874103894998</v>
      </c>
      <c r="G76" s="234" t="b">
        <f t="shared" si="5"/>
        <v>0</v>
      </c>
      <c r="H76" s="231">
        <f t="shared" si="6"/>
        <v>1</v>
      </c>
      <c r="I76" s="178">
        <f t="shared" si="7"/>
        <v>0.99976939814202659</v>
      </c>
    </row>
    <row r="77" spans="1:9" x14ac:dyDescent="0.3">
      <c r="A77" s="233">
        <v>0.22</v>
      </c>
      <c r="B77" s="216">
        <f t="shared" si="0"/>
        <v>-192.49801159000026</v>
      </c>
      <c r="C77" s="234" t="b">
        <f t="shared" si="2"/>
        <v>0</v>
      </c>
      <c r="D77" s="231">
        <f t="shared" si="3"/>
        <v>1</v>
      </c>
      <c r="E77" s="178">
        <f t="shared" si="4"/>
        <v>0.99982373415494397</v>
      </c>
      <c r="F77" s="216">
        <f t="shared" si="1"/>
        <v>1663.7781709189996</v>
      </c>
      <c r="G77" s="234" t="b">
        <f t="shared" si="5"/>
        <v>0</v>
      </c>
      <c r="H77" s="231">
        <f t="shared" si="6"/>
        <v>1</v>
      </c>
      <c r="I77" s="178">
        <f t="shared" si="7"/>
        <v>0.99982373415494397</v>
      </c>
    </row>
    <row r="78" spans="1:9" x14ac:dyDescent="0.3">
      <c r="A78" s="233">
        <v>0.23</v>
      </c>
      <c r="B78" s="216">
        <f t="shared" si="0"/>
        <v>-249.44140359000016</v>
      </c>
      <c r="C78" s="234" t="b">
        <f t="shared" si="2"/>
        <v>0</v>
      </c>
      <c r="D78" s="231">
        <f t="shared" si="3"/>
        <v>1</v>
      </c>
      <c r="E78" s="178">
        <f t="shared" si="4"/>
        <v>0.99986425246506827</v>
      </c>
      <c r="F78" s="216">
        <f t="shared" si="1"/>
        <v>1584.6689314484995</v>
      </c>
      <c r="G78" s="234" t="b">
        <f t="shared" si="5"/>
        <v>0</v>
      </c>
      <c r="H78" s="231">
        <f t="shared" si="6"/>
        <v>1</v>
      </c>
      <c r="I78" s="178">
        <f t="shared" si="7"/>
        <v>0.99986425246506827</v>
      </c>
    </row>
    <row r="79" spans="1:9" x14ac:dyDescent="0.3">
      <c r="A79" s="233">
        <v>0.24</v>
      </c>
      <c r="B79" s="216">
        <f t="shared" si="0"/>
        <v>-306.38479559000007</v>
      </c>
      <c r="C79" s="234" t="b">
        <f t="shared" si="2"/>
        <v>0</v>
      </c>
      <c r="D79" s="231">
        <f t="shared" si="3"/>
        <v>1</v>
      </c>
      <c r="E79" s="178">
        <f t="shared" si="4"/>
        <v>0.99989471795624962</v>
      </c>
      <c r="F79" s="216">
        <f t="shared" si="1"/>
        <v>1505.5596919779998</v>
      </c>
      <c r="G79" s="234" t="b">
        <f t="shared" si="5"/>
        <v>0</v>
      </c>
      <c r="H79" s="231">
        <f t="shared" si="6"/>
        <v>1</v>
      </c>
      <c r="I79" s="178">
        <f t="shared" si="7"/>
        <v>0.99989471795624962</v>
      </c>
    </row>
    <row r="80" spans="1:9" x14ac:dyDescent="0.3">
      <c r="A80" s="233">
        <v>0.25</v>
      </c>
      <c r="B80" s="216">
        <f t="shared" si="0"/>
        <v>-363.3281875900002</v>
      </c>
      <c r="C80" s="234" t="b">
        <f t="shared" si="2"/>
        <v>0</v>
      </c>
      <c r="D80" s="231">
        <f t="shared" si="3"/>
        <v>1</v>
      </c>
      <c r="E80" s="178">
        <f t="shared" si="4"/>
        <v>0.99991780339871861</v>
      </c>
      <c r="F80" s="216">
        <f t="shared" si="1"/>
        <v>1426.4504525074997</v>
      </c>
      <c r="G80" s="234" t="b">
        <f t="shared" si="5"/>
        <v>0</v>
      </c>
      <c r="H80" s="231">
        <f t="shared" si="6"/>
        <v>1</v>
      </c>
      <c r="I80" s="178">
        <f t="shared" si="7"/>
        <v>0.99991780339871861</v>
      </c>
    </row>
    <row r="81" spans="1:9" x14ac:dyDescent="0.3">
      <c r="A81" s="233">
        <v>0.26</v>
      </c>
      <c r="B81" s="216">
        <f t="shared" si="0"/>
        <v>-420.27157959000033</v>
      </c>
      <c r="C81" s="234" t="b">
        <f t="shared" si="2"/>
        <v>0</v>
      </c>
      <c r="D81" s="231">
        <f t="shared" si="3"/>
        <v>1</v>
      </c>
      <c r="E81" s="178">
        <f t="shared" si="4"/>
        <v>0.99993542484038367</v>
      </c>
      <c r="F81" s="216">
        <f t="shared" si="1"/>
        <v>1347.3412130369998</v>
      </c>
      <c r="G81" s="234" t="b">
        <f t="shared" si="5"/>
        <v>0</v>
      </c>
      <c r="H81" s="231">
        <f t="shared" si="6"/>
        <v>1</v>
      </c>
      <c r="I81" s="178">
        <f t="shared" si="7"/>
        <v>0.99993542484038367</v>
      </c>
    </row>
    <row r="82" spans="1:9" x14ac:dyDescent="0.3">
      <c r="A82" s="233">
        <v>0.27</v>
      </c>
      <c r="B82" s="216">
        <f t="shared" si="0"/>
        <v>-477.21497159000023</v>
      </c>
      <c r="C82" s="234" t="b">
        <f t="shared" si="2"/>
        <v>0</v>
      </c>
      <c r="D82" s="231">
        <f t="shared" si="3"/>
        <v>1</v>
      </c>
      <c r="E82" s="178">
        <f t="shared" si="4"/>
        <v>0.99994896849097314</v>
      </c>
      <c r="F82" s="216">
        <f t="shared" si="1"/>
        <v>1268.2319735664996</v>
      </c>
      <c r="G82" s="234" t="b">
        <f t="shared" si="5"/>
        <v>0</v>
      </c>
      <c r="H82" s="231">
        <f t="shared" si="6"/>
        <v>1</v>
      </c>
      <c r="I82" s="178">
        <f t="shared" si="7"/>
        <v>0.99994896849097314</v>
      </c>
    </row>
    <row r="83" spans="1:9" x14ac:dyDescent="0.3">
      <c r="A83" s="233">
        <v>0.28000000000000003</v>
      </c>
      <c r="B83" s="216">
        <f t="shared" si="0"/>
        <v>-534.15836359000036</v>
      </c>
      <c r="C83" s="234" t="b">
        <f t="shared" si="2"/>
        <v>0</v>
      </c>
      <c r="D83" s="231">
        <f t="shared" si="3"/>
        <v>1</v>
      </c>
      <c r="E83" s="178">
        <f t="shared" si="4"/>
        <v>0.99995944591955721</v>
      </c>
      <c r="F83" s="216">
        <f t="shared" si="1"/>
        <v>1189.1227340959995</v>
      </c>
      <c r="G83" s="234" t="b">
        <f t="shared" si="5"/>
        <v>0</v>
      </c>
      <c r="H83" s="231">
        <f t="shared" si="6"/>
        <v>1</v>
      </c>
      <c r="I83" s="178">
        <f t="shared" si="7"/>
        <v>0.99995944591955721</v>
      </c>
    </row>
    <row r="84" spans="1:9" x14ac:dyDescent="0.3">
      <c r="A84" s="233">
        <v>0.28999999999999998</v>
      </c>
      <c r="B84" s="216">
        <f t="shared" si="0"/>
        <v>-591.10175559000004</v>
      </c>
      <c r="C84" s="234" t="b">
        <f t="shared" si="2"/>
        <v>0</v>
      </c>
      <c r="D84" s="231">
        <f t="shared" si="3"/>
        <v>1</v>
      </c>
      <c r="E84" s="178">
        <f t="shared" si="4"/>
        <v>0.99996760133140616</v>
      </c>
      <c r="F84" s="216">
        <f t="shared" si="1"/>
        <v>1110.0134946254998</v>
      </c>
      <c r="G84" s="234" t="b">
        <f t="shared" si="5"/>
        <v>0</v>
      </c>
      <c r="H84" s="231">
        <f t="shared" si="6"/>
        <v>1</v>
      </c>
      <c r="I84" s="178">
        <f t="shared" si="7"/>
        <v>0.99996760133140616</v>
      </c>
    </row>
    <row r="85" spans="1:9" x14ac:dyDescent="0.3">
      <c r="A85" s="233">
        <v>0.3</v>
      </c>
      <c r="B85" s="216">
        <f t="shared" si="0"/>
        <v>-648.04514759000017</v>
      </c>
      <c r="C85" s="234" t="b">
        <f t="shared" si="2"/>
        <v>0</v>
      </c>
      <c r="D85" s="231">
        <f t="shared" si="3"/>
        <v>1</v>
      </c>
      <c r="E85" s="178">
        <f t="shared" si="4"/>
        <v>0.99997398645478386</v>
      </c>
      <c r="F85" s="216">
        <f t="shared" si="1"/>
        <v>1030.9042551549996</v>
      </c>
      <c r="G85" s="234" t="b">
        <f t="shared" si="5"/>
        <v>0</v>
      </c>
      <c r="H85" s="231">
        <f t="shared" si="6"/>
        <v>1</v>
      </c>
      <c r="I85" s="178">
        <f t="shared" si="7"/>
        <v>0.99997398645478386</v>
      </c>
    </row>
    <row r="86" spans="1:9" x14ac:dyDescent="0.3">
      <c r="A86" s="233">
        <v>0.31</v>
      </c>
      <c r="B86" s="216">
        <f t="shared" si="0"/>
        <v>-704.9885395900003</v>
      </c>
      <c r="C86" s="234" t="b">
        <f t="shared" si="2"/>
        <v>0</v>
      </c>
      <c r="D86" s="231">
        <f t="shared" si="3"/>
        <v>1</v>
      </c>
      <c r="E86" s="178">
        <f t="shared" si="4"/>
        <v>0.9999790133054588</v>
      </c>
      <c r="F86" s="216">
        <f t="shared" si="1"/>
        <v>951.7950156844995</v>
      </c>
      <c r="G86" s="234" t="b">
        <f t="shared" si="5"/>
        <v>0</v>
      </c>
      <c r="H86" s="231">
        <f t="shared" si="6"/>
        <v>1</v>
      </c>
      <c r="I86" s="178">
        <f t="shared" si="7"/>
        <v>0.9999790133054588</v>
      </c>
    </row>
    <row r="87" spans="1:9" x14ac:dyDescent="0.3">
      <c r="A87" s="233">
        <v>0.32</v>
      </c>
      <c r="B87" s="216">
        <f t="shared" si="0"/>
        <v>-761.9319315900002</v>
      </c>
      <c r="C87" s="234" t="b">
        <f t="shared" si="2"/>
        <v>0</v>
      </c>
      <c r="D87" s="231">
        <f t="shared" si="3"/>
        <v>1</v>
      </c>
      <c r="E87" s="178">
        <f t="shared" si="4"/>
        <v>0.99998299169225446</v>
      </c>
      <c r="F87" s="216">
        <f t="shared" si="1"/>
        <v>872.68577621399936</v>
      </c>
      <c r="G87" s="234" t="b">
        <f t="shared" si="5"/>
        <v>0</v>
      </c>
      <c r="H87" s="231">
        <f t="shared" si="6"/>
        <v>1</v>
      </c>
      <c r="I87" s="178">
        <f t="shared" si="7"/>
        <v>0.99998299169225446</v>
      </c>
    </row>
    <row r="88" spans="1:9" x14ac:dyDescent="0.3">
      <c r="A88" s="233">
        <v>0.33</v>
      </c>
      <c r="B88" s="216">
        <f t="shared" ref="B88:B119" si="8">$B$6-$B$15-$A88*($B$31+$B$46)</f>
        <v>-818.87532359000033</v>
      </c>
      <c r="C88" s="234" t="b">
        <f t="shared" si="2"/>
        <v>0</v>
      </c>
      <c r="D88" s="231">
        <f t="shared" si="3"/>
        <v>1</v>
      </c>
      <c r="E88" s="178">
        <f t="shared" si="4"/>
        <v>0.99998615609916075</v>
      </c>
      <c r="F88" s="216">
        <f t="shared" ref="F88:F119" si="9">$F$6-$F$15-$A88*($F$31+$F$46)</f>
        <v>793.57653674349967</v>
      </c>
      <c r="G88" s="234" t="b">
        <f t="shared" si="5"/>
        <v>0</v>
      </c>
      <c r="H88" s="231">
        <f t="shared" si="6"/>
        <v>1</v>
      </c>
      <c r="I88" s="178">
        <f t="shared" si="7"/>
        <v>0.99998615609916075</v>
      </c>
    </row>
    <row r="89" spans="1:9" x14ac:dyDescent="0.3">
      <c r="A89" s="233">
        <v>0.34</v>
      </c>
      <c r="B89" s="216">
        <f t="shared" si="8"/>
        <v>-875.81871559000047</v>
      </c>
      <c r="C89" s="234" t="b">
        <f t="shared" si="2"/>
        <v>0</v>
      </c>
      <c r="D89" s="231">
        <f t="shared" si="3"/>
        <v>1</v>
      </c>
      <c r="E89" s="178">
        <f t="shared" si="4"/>
        <v>0.99998868510575378</v>
      </c>
      <c r="F89" s="216">
        <f t="shared" si="9"/>
        <v>714.46729727299953</v>
      </c>
      <c r="G89" s="234" t="b">
        <f t="shared" si="5"/>
        <v>0</v>
      </c>
      <c r="H89" s="231">
        <f t="shared" si="6"/>
        <v>1</v>
      </c>
      <c r="I89" s="178">
        <f t="shared" si="7"/>
        <v>0.99998868510575378</v>
      </c>
    </row>
    <row r="90" spans="1:9" x14ac:dyDescent="0.3">
      <c r="A90" s="233">
        <v>0.35</v>
      </c>
      <c r="B90" s="216">
        <f t="shared" si="8"/>
        <v>-932.76210759000014</v>
      </c>
      <c r="C90" s="234" t="b">
        <f t="shared" si="2"/>
        <v>0</v>
      </c>
      <c r="D90" s="231">
        <f t="shared" si="3"/>
        <v>1</v>
      </c>
      <c r="E90" s="178">
        <f t="shared" si="4"/>
        <v>0.99999071552261909</v>
      </c>
      <c r="F90" s="216">
        <f t="shared" si="9"/>
        <v>635.35805780249984</v>
      </c>
      <c r="G90" s="234" t="b">
        <f t="shared" si="5"/>
        <v>0</v>
      </c>
      <c r="H90" s="231">
        <f t="shared" si="6"/>
        <v>1</v>
      </c>
      <c r="I90" s="178">
        <f t="shared" si="7"/>
        <v>0.99999071552261909</v>
      </c>
    </row>
    <row r="91" spans="1:9" x14ac:dyDescent="0.3">
      <c r="A91" s="233">
        <v>0.36</v>
      </c>
      <c r="B91" s="216">
        <f t="shared" si="8"/>
        <v>-989.70549959000027</v>
      </c>
      <c r="C91" s="234" t="b">
        <f t="shared" si="2"/>
        <v>0</v>
      </c>
      <c r="D91" s="231">
        <f t="shared" si="3"/>
        <v>1</v>
      </c>
      <c r="E91" s="178">
        <f t="shared" si="4"/>
        <v>0.99999235275361198</v>
      </c>
      <c r="F91" s="216">
        <f t="shared" si="9"/>
        <v>556.2488183319997</v>
      </c>
      <c r="G91" s="234" t="b">
        <f t="shared" si="5"/>
        <v>0</v>
      </c>
      <c r="H91" s="231">
        <f t="shared" si="6"/>
        <v>1</v>
      </c>
      <c r="I91" s="178">
        <f t="shared" si="7"/>
        <v>0.99999235275361198</v>
      </c>
    </row>
    <row r="92" spans="1:9" x14ac:dyDescent="0.3">
      <c r="A92" s="233">
        <v>0.37</v>
      </c>
      <c r="B92" s="216">
        <f t="shared" si="8"/>
        <v>-1046.6488915900004</v>
      </c>
      <c r="C92" s="234" t="b">
        <f t="shared" si="2"/>
        <v>0</v>
      </c>
      <c r="D92" s="231">
        <f t="shared" si="3"/>
        <v>1</v>
      </c>
      <c r="E92" s="178">
        <f t="shared" si="4"/>
        <v>0.99999367844385545</v>
      </c>
      <c r="F92" s="216">
        <f t="shared" si="9"/>
        <v>477.13957886149956</v>
      </c>
      <c r="G92" s="234" t="b">
        <f t="shared" si="5"/>
        <v>0</v>
      </c>
      <c r="H92" s="231">
        <f t="shared" si="6"/>
        <v>1</v>
      </c>
      <c r="I92" s="178">
        <f t="shared" si="7"/>
        <v>0.99999367844385545</v>
      </c>
    </row>
    <row r="93" spans="1:9" x14ac:dyDescent="0.3">
      <c r="A93" s="233">
        <v>0.38</v>
      </c>
      <c r="B93" s="216">
        <f t="shared" si="8"/>
        <v>-1103.5922835900001</v>
      </c>
      <c r="C93" s="234" t="b">
        <f t="shared" si="2"/>
        <v>0</v>
      </c>
      <c r="D93" s="231">
        <f t="shared" si="3"/>
        <v>1</v>
      </c>
      <c r="E93" s="178">
        <f t="shared" si="4"/>
        <v>0.99999475616108879</v>
      </c>
      <c r="F93" s="216">
        <f t="shared" si="9"/>
        <v>398.03033939099942</v>
      </c>
      <c r="G93" s="234" t="b">
        <f t="shared" si="5"/>
        <v>0</v>
      </c>
      <c r="H93" s="231">
        <f t="shared" si="6"/>
        <v>1</v>
      </c>
      <c r="I93" s="178">
        <f t="shared" si="7"/>
        <v>0.99999475616108879</v>
      </c>
    </row>
    <row r="94" spans="1:9" x14ac:dyDescent="0.3">
      <c r="A94" s="233">
        <v>0.39</v>
      </c>
      <c r="B94" s="216">
        <f t="shared" si="8"/>
        <v>-1160.5356755900002</v>
      </c>
      <c r="C94" s="234" t="b">
        <f t="shared" si="2"/>
        <v>0</v>
      </c>
      <c r="D94" s="231">
        <f t="shared" si="3"/>
        <v>1</v>
      </c>
      <c r="E94" s="178">
        <f t="shared" si="4"/>
        <v>0.9999956356422316</v>
      </c>
      <c r="F94" s="216">
        <f t="shared" si="9"/>
        <v>318.92109992049927</v>
      </c>
      <c r="G94" s="234" t="b">
        <f t="shared" si="5"/>
        <v>0</v>
      </c>
      <c r="H94" s="231">
        <f t="shared" si="6"/>
        <v>1</v>
      </c>
      <c r="I94" s="178">
        <f t="shared" si="7"/>
        <v>0.9999956356422316</v>
      </c>
    </row>
    <row r="95" spans="1:9" x14ac:dyDescent="0.3">
      <c r="A95" s="233">
        <v>0.4</v>
      </c>
      <c r="B95" s="216">
        <f t="shared" si="8"/>
        <v>-1217.4790675900003</v>
      </c>
      <c r="C95" s="234" t="b">
        <f t="shared" si="2"/>
        <v>0</v>
      </c>
      <c r="D95" s="231">
        <f t="shared" si="3"/>
        <v>1</v>
      </c>
      <c r="E95" s="178">
        <f t="shared" si="4"/>
        <v>0.99999635598630054</v>
      </c>
      <c r="F95" s="216">
        <f t="shared" si="9"/>
        <v>239.81186044999959</v>
      </c>
      <c r="G95" s="234" t="b">
        <f t="shared" si="5"/>
        <v>0</v>
      </c>
      <c r="H95" s="231">
        <f t="shared" si="6"/>
        <v>1</v>
      </c>
      <c r="I95" s="178">
        <f t="shared" si="7"/>
        <v>0.99999635598630054</v>
      </c>
    </row>
    <row r="96" spans="1:9" x14ac:dyDescent="0.3">
      <c r="A96" s="233">
        <v>0.41</v>
      </c>
      <c r="B96" s="216">
        <f t="shared" si="8"/>
        <v>-1274.42245959</v>
      </c>
      <c r="C96" s="234" t="b">
        <f t="shared" si="2"/>
        <v>0</v>
      </c>
      <c r="D96" s="231">
        <f t="shared" si="3"/>
        <v>1</v>
      </c>
      <c r="E96" s="178">
        <f t="shared" si="4"/>
        <v>0.99999694806870387</v>
      </c>
      <c r="F96" s="216">
        <f t="shared" si="9"/>
        <v>160.7026209794999</v>
      </c>
      <c r="G96" s="234" t="b">
        <f t="shared" si="5"/>
        <v>0</v>
      </c>
      <c r="H96" s="231">
        <f t="shared" si="6"/>
        <v>1</v>
      </c>
      <c r="I96" s="178">
        <f t="shared" si="7"/>
        <v>0.99999694806870387</v>
      </c>
    </row>
    <row r="97" spans="1:9" x14ac:dyDescent="0.3">
      <c r="A97" s="233">
        <v>0.42</v>
      </c>
      <c r="B97" s="216">
        <f t="shared" si="8"/>
        <v>-1331.3658515900001</v>
      </c>
      <c r="C97" s="234" t="b">
        <f t="shared" si="2"/>
        <v>0</v>
      </c>
      <c r="D97" s="231">
        <f t="shared" si="3"/>
        <v>1</v>
      </c>
      <c r="E97" s="178">
        <f t="shared" si="4"/>
        <v>0.99999743637668626</v>
      </c>
      <c r="F97" s="216">
        <f t="shared" si="9"/>
        <v>81.593381508999755</v>
      </c>
      <c r="G97" s="234" t="b">
        <f t="shared" si="5"/>
        <v>0</v>
      </c>
      <c r="H97" s="231">
        <f t="shared" si="6"/>
        <v>1</v>
      </c>
      <c r="I97" s="178">
        <f t="shared" si="7"/>
        <v>0.99999743637668626</v>
      </c>
    </row>
    <row r="98" spans="1:9" x14ac:dyDescent="0.3">
      <c r="A98" s="233">
        <v>0.43</v>
      </c>
      <c r="B98" s="216">
        <f t="shared" si="8"/>
        <v>-1388.3092435900003</v>
      </c>
      <c r="C98" s="234" t="b">
        <f t="shared" si="2"/>
        <v>0</v>
      </c>
      <c r="D98" s="231">
        <f t="shared" si="3"/>
        <v>1</v>
      </c>
      <c r="E98" s="178">
        <f t="shared" si="4"/>
        <v>0.99999784041196371</v>
      </c>
      <c r="F98" s="216">
        <f t="shared" si="9"/>
        <v>2.4841420384996127</v>
      </c>
      <c r="G98" s="234" t="b">
        <f t="shared" si="5"/>
        <v>1</v>
      </c>
      <c r="H98" s="231">
        <f t="shared" si="6"/>
        <v>1</v>
      </c>
      <c r="I98" s="178">
        <f t="shared" si="7"/>
        <v>0.99999784041196371</v>
      </c>
    </row>
    <row r="99" spans="1:9" x14ac:dyDescent="0.3">
      <c r="A99" s="233">
        <v>0.44</v>
      </c>
      <c r="B99" s="216">
        <f t="shared" si="8"/>
        <v>-1445.2526355900004</v>
      </c>
      <c r="C99" s="234" t="b">
        <f t="shared" si="2"/>
        <v>0</v>
      </c>
      <c r="D99" s="231">
        <f t="shared" si="3"/>
        <v>1</v>
      </c>
      <c r="E99" s="178">
        <f t="shared" si="4"/>
        <v>0.99999817576795136</v>
      </c>
      <c r="F99" s="216">
        <f t="shared" si="9"/>
        <v>-76.62509743200053</v>
      </c>
      <c r="G99" s="234" t="b">
        <f t="shared" si="5"/>
        <v>0</v>
      </c>
      <c r="H99" s="231">
        <f t="shared" si="6"/>
        <v>1</v>
      </c>
      <c r="I99" s="178">
        <f t="shared" si="7"/>
        <v>0.99999817576795136</v>
      </c>
    </row>
    <row r="100" spans="1:9" x14ac:dyDescent="0.3">
      <c r="A100" s="233">
        <v>0.45</v>
      </c>
      <c r="B100" s="216">
        <f t="shared" si="8"/>
        <v>-1502.1960275900005</v>
      </c>
      <c r="C100" s="234" t="b">
        <f t="shared" si="2"/>
        <v>0</v>
      </c>
      <c r="D100" s="231">
        <f t="shared" si="3"/>
        <v>1</v>
      </c>
      <c r="E100" s="178">
        <f t="shared" si="4"/>
        <v>0.99999845496104156</v>
      </c>
      <c r="F100" s="216">
        <f t="shared" si="9"/>
        <v>-155.73433690250067</v>
      </c>
      <c r="G100" s="234" t="b">
        <f t="shared" si="5"/>
        <v>0</v>
      </c>
      <c r="H100" s="231">
        <f t="shared" si="6"/>
        <v>1</v>
      </c>
      <c r="I100" s="178">
        <f t="shared" si="7"/>
        <v>0.99999845496104156</v>
      </c>
    </row>
    <row r="101" spans="1:9" x14ac:dyDescent="0.3">
      <c r="A101" s="233">
        <v>0.46</v>
      </c>
      <c r="B101" s="216">
        <f t="shared" si="8"/>
        <v>-1559.1394195900002</v>
      </c>
      <c r="C101" s="234" t="b">
        <f t="shared" si="2"/>
        <v>0</v>
      </c>
      <c r="D101" s="231">
        <f t="shared" si="3"/>
        <v>1</v>
      </c>
      <c r="E101" s="178">
        <f t="shared" si="4"/>
        <v>0.99999868807503789</v>
      </c>
      <c r="F101" s="216">
        <f t="shared" si="9"/>
        <v>-234.84357637300081</v>
      </c>
      <c r="G101" s="234" t="b">
        <f t="shared" si="5"/>
        <v>0</v>
      </c>
      <c r="H101" s="231">
        <f t="shared" si="6"/>
        <v>1</v>
      </c>
      <c r="I101" s="178">
        <f t="shared" si="7"/>
        <v>0.99999868807503789</v>
      </c>
    </row>
    <row r="102" spans="1:9" x14ac:dyDescent="0.3">
      <c r="A102" s="233">
        <v>0.47</v>
      </c>
      <c r="B102" s="216">
        <f t="shared" si="8"/>
        <v>-1616.0828115900003</v>
      </c>
      <c r="C102" s="234" t="b">
        <f t="shared" si="2"/>
        <v>0</v>
      </c>
      <c r="D102" s="231">
        <f t="shared" si="3"/>
        <v>1</v>
      </c>
      <c r="E102" s="178">
        <f t="shared" si="4"/>
        <v>0.9999988832629555</v>
      </c>
      <c r="F102" s="216">
        <f t="shared" si="9"/>
        <v>-313.95281584350005</v>
      </c>
      <c r="G102" s="234" t="b">
        <f t="shared" si="5"/>
        <v>0</v>
      </c>
      <c r="H102" s="231">
        <f t="shared" si="6"/>
        <v>1</v>
      </c>
      <c r="I102" s="178">
        <f t="shared" si="7"/>
        <v>0.9999988832629555</v>
      </c>
    </row>
    <row r="103" spans="1:9" x14ac:dyDescent="0.3">
      <c r="A103" s="233">
        <v>0.48</v>
      </c>
      <c r="B103" s="216">
        <f t="shared" si="8"/>
        <v>-1673.02620359</v>
      </c>
      <c r="C103" s="234" t="b">
        <f t="shared" si="2"/>
        <v>0</v>
      </c>
      <c r="D103" s="231">
        <f t="shared" si="3"/>
        <v>1</v>
      </c>
      <c r="E103" s="178">
        <f t="shared" si="4"/>
        <v>0.99999904713942056</v>
      </c>
      <c r="F103" s="216">
        <f t="shared" si="9"/>
        <v>-393.06205531400019</v>
      </c>
      <c r="G103" s="234" t="b">
        <f t="shared" si="5"/>
        <v>0</v>
      </c>
      <c r="H103" s="231">
        <f t="shared" si="6"/>
        <v>1</v>
      </c>
      <c r="I103" s="178">
        <f t="shared" si="7"/>
        <v>0.99999904713942056</v>
      </c>
    </row>
    <row r="104" spans="1:9" x14ac:dyDescent="0.3">
      <c r="A104" s="233">
        <v>0.49</v>
      </c>
      <c r="B104" s="216">
        <f t="shared" si="8"/>
        <v>-1729.9695955900002</v>
      </c>
      <c r="C104" s="234" t="b">
        <f t="shared" si="2"/>
        <v>0</v>
      </c>
      <c r="D104" s="231">
        <f t="shared" si="3"/>
        <v>1</v>
      </c>
      <c r="E104" s="178">
        <f t="shared" si="4"/>
        <v>0.99999918508878216</v>
      </c>
      <c r="F104" s="216">
        <f t="shared" si="9"/>
        <v>-472.17129478450033</v>
      </c>
      <c r="G104" s="234" t="b">
        <f t="shared" si="5"/>
        <v>0</v>
      </c>
      <c r="H104" s="231">
        <f t="shared" si="6"/>
        <v>1</v>
      </c>
      <c r="I104" s="178">
        <f t="shared" si="7"/>
        <v>0.99999918508878216</v>
      </c>
    </row>
    <row r="105" spans="1:9" x14ac:dyDescent="0.3">
      <c r="A105" s="233">
        <v>0.5</v>
      </c>
      <c r="B105" s="216">
        <f t="shared" si="8"/>
        <v>-1786.9129875900003</v>
      </c>
      <c r="C105" s="234" t="b">
        <f t="shared" si="2"/>
        <v>0</v>
      </c>
      <c r="D105" s="231">
        <f t="shared" si="3"/>
        <v>1</v>
      </c>
      <c r="E105" s="178">
        <f t="shared" si="4"/>
        <v>0.99999930150799876</v>
      </c>
      <c r="F105" s="216">
        <f t="shared" si="9"/>
        <v>-551.28053425500048</v>
      </c>
      <c r="G105" s="234" t="b">
        <f t="shared" si="5"/>
        <v>0</v>
      </c>
      <c r="H105" s="231">
        <f t="shared" si="6"/>
        <v>1</v>
      </c>
      <c r="I105" s="178">
        <f t="shared" si="7"/>
        <v>0.99999930150799876</v>
      </c>
    </row>
    <row r="106" spans="1:9" x14ac:dyDescent="0.3">
      <c r="A106" s="233">
        <v>0.51</v>
      </c>
      <c r="B106" s="216">
        <f t="shared" si="8"/>
        <v>-1843.8563795900004</v>
      </c>
      <c r="C106" s="234" t="b">
        <f t="shared" si="2"/>
        <v>0</v>
      </c>
      <c r="D106" s="231">
        <f t="shared" si="3"/>
        <v>1</v>
      </c>
      <c r="E106" s="178">
        <f t="shared" si="4"/>
        <v>0.99999939999883802</v>
      </c>
      <c r="F106" s="216">
        <f t="shared" si="9"/>
        <v>-630.38977372550062</v>
      </c>
      <c r="G106" s="234" t="b">
        <f t="shared" si="5"/>
        <v>0</v>
      </c>
      <c r="H106" s="231">
        <f t="shared" si="6"/>
        <v>1</v>
      </c>
      <c r="I106" s="178">
        <f t="shared" si="7"/>
        <v>0.99999939999883802</v>
      </c>
    </row>
    <row r="107" spans="1:9" x14ac:dyDescent="0.3">
      <c r="A107" s="233">
        <v>0.52</v>
      </c>
      <c r="B107" s="216">
        <f t="shared" si="8"/>
        <v>-1900.7997715900005</v>
      </c>
      <c r="C107" s="234" t="b">
        <f t="shared" si="2"/>
        <v>0</v>
      </c>
      <c r="D107" s="231">
        <f t="shared" si="3"/>
        <v>1</v>
      </c>
      <c r="E107" s="178">
        <f t="shared" si="4"/>
        <v>0.9999994835205307</v>
      </c>
      <c r="F107" s="216">
        <f t="shared" si="9"/>
        <v>-709.49901319600031</v>
      </c>
      <c r="G107" s="234" t="b">
        <f t="shared" si="5"/>
        <v>0</v>
      </c>
      <c r="H107" s="231">
        <f t="shared" si="6"/>
        <v>1</v>
      </c>
      <c r="I107" s="178">
        <f t="shared" si="7"/>
        <v>0.9999994835205307</v>
      </c>
    </row>
    <row r="108" spans="1:9" x14ac:dyDescent="0.3">
      <c r="A108" s="233">
        <v>0.53</v>
      </c>
      <c r="B108" s="216">
        <f t="shared" si="8"/>
        <v>-1957.7431635900002</v>
      </c>
      <c r="C108" s="234" t="b">
        <f t="shared" si="2"/>
        <v>0</v>
      </c>
      <c r="D108" s="231">
        <f t="shared" si="3"/>
        <v>1</v>
      </c>
      <c r="E108" s="178">
        <f t="shared" si="4"/>
        <v>0.99999955451144451</v>
      </c>
      <c r="F108" s="216">
        <f t="shared" si="9"/>
        <v>-788.60825266650045</v>
      </c>
      <c r="G108" s="234" t="b">
        <f t="shared" si="5"/>
        <v>0</v>
      </c>
      <c r="H108" s="231">
        <f t="shared" si="6"/>
        <v>1</v>
      </c>
      <c r="I108" s="178">
        <f t="shared" si="7"/>
        <v>0.99999955451144451</v>
      </c>
    </row>
    <row r="109" spans="1:9" x14ac:dyDescent="0.3">
      <c r="A109" s="233">
        <v>0.54</v>
      </c>
      <c r="B109" s="216">
        <f t="shared" si="8"/>
        <v>-2014.6865555900004</v>
      </c>
      <c r="C109" s="234" t="b">
        <f t="shared" si="2"/>
        <v>0</v>
      </c>
      <c r="D109" s="231">
        <f t="shared" si="3"/>
        <v>1</v>
      </c>
      <c r="E109" s="178">
        <f t="shared" si="4"/>
        <v>0.99999961498640222</v>
      </c>
      <c r="F109" s="216">
        <f t="shared" si="9"/>
        <v>-867.71749213700059</v>
      </c>
      <c r="G109" s="234" t="b">
        <f t="shared" si="5"/>
        <v>0</v>
      </c>
      <c r="H109" s="231">
        <f t="shared" si="6"/>
        <v>1</v>
      </c>
      <c r="I109" s="178">
        <f t="shared" si="7"/>
        <v>0.99999961498640222</v>
      </c>
    </row>
    <row r="110" spans="1:9" x14ac:dyDescent="0.3">
      <c r="A110" s="233">
        <v>0.55000000000000004</v>
      </c>
      <c r="B110" s="216">
        <f t="shared" si="8"/>
        <v>-2071.6299475900005</v>
      </c>
      <c r="C110" s="234" t="b">
        <f t="shared" si="2"/>
        <v>0</v>
      </c>
      <c r="D110" s="231">
        <f t="shared" si="3"/>
        <v>1</v>
      </c>
      <c r="E110" s="178">
        <f t="shared" si="4"/>
        <v>0.99999966661477668</v>
      </c>
      <c r="F110" s="216">
        <f t="shared" si="9"/>
        <v>-946.82673160750073</v>
      </c>
      <c r="G110" s="234" t="b">
        <f t="shared" si="5"/>
        <v>0</v>
      </c>
      <c r="H110" s="231">
        <f t="shared" si="6"/>
        <v>1</v>
      </c>
      <c r="I110" s="178">
        <f t="shared" si="7"/>
        <v>0.99999966661477668</v>
      </c>
    </row>
    <row r="111" spans="1:9" x14ac:dyDescent="0.3">
      <c r="A111" s="233">
        <v>0.56000000000000005</v>
      </c>
      <c r="B111" s="216">
        <f t="shared" si="8"/>
        <v>-2128.5733395900006</v>
      </c>
      <c r="C111" s="234" t="b">
        <f t="shared" si="2"/>
        <v>0</v>
      </c>
      <c r="D111" s="231">
        <f t="shared" si="3"/>
        <v>1</v>
      </c>
      <c r="E111" s="178">
        <f t="shared" si="4"/>
        <v>0.99999971078336314</v>
      </c>
      <c r="F111" s="216">
        <f t="shared" si="9"/>
        <v>-1025.9359710780009</v>
      </c>
      <c r="G111" s="234" t="b">
        <f t="shared" si="5"/>
        <v>0</v>
      </c>
      <c r="H111" s="231">
        <f t="shared" si="6"/>
        <v>1</v>
      </c>
      <c r="I111" s="178">
        <f t="shared" si="7"/>
        <v>0.99999971078336314</v>
      </c>
    </row>
    <row r="112" spans="1:9" x14ac:dyDescent="0.3">
      <c r="A112" s="233">
        <v>0.56999999999999995</v>
      </c>
      <c r="B112" s="216">
        <f t="shared" si="8"/>
        <v>-2185.5167315899998</v>
      </c>
      <c r="C112" s="234" t="b">
        <f t="shared" si="2"/>
        <v>0</v>
      </c>
      <c r="D112" s="231">
        <f t="shared" si="3"/>
        <v>1</v>
      </c>
      <c r="E112" s="178">
        <f t="shared" si="4"/>
        <v>0.99999974864715435</v>
      </c>
      <c r="F112" s="216">
        <f t="shared" si="9"/>
        <v>-1105.0452105485001</v>
      </c>
      <c r="G112" s="234" t="b">
        <f t="shared" si="5"/>
        <v>0</v>
      </c>
      <c r="H112" s="231">
        <f t="shared" si="6"/>
        <v>1</v>
      </c>
      <c r="I112" s="178">
        <f t="shared" si="7"/>
        <v>0.99999974864715435</v>
      </c>
    </row>
    <row r="113" spans="1:9" x14ac:dyDescent="0.3">
      <c r="A113" s="233">
        <v>0.57999999999999996</v>
      </c>
      <c r="B113" s="216">
        <f t="shared" si="8"/>
        <v>-2242.46012359</v>
      </c>
      <c r="C113" s="234" t="b">
        <f t="shared" si="2"/>
        <v>0</v>
      </c>
      <c r="D113" s="231">
        <f t="shared" si="3"/>
        <v>1</v>
      </c>
      <c r="E113" s="178">
        <f t="shared" si="4"/>
        <v>0.99999978117046928</v>
      </c>
      <c r="F113" s="216">
        <f t="shared" si="9"/>
        <v>-1184.1544500190003</v>
      </c>
      <c r="G113" s="234" t="b">
        <f t="shared" si="5"/>
        <v>0</v>
      </c>
      <c r="H113" s="231">
        <f t="shared" si="6"/>
        <v>1</v>
      </c>
      <c r="I113" s="178">
        <f t="shared" si="7"/>
        <v>0.99999978117046928</v>
      </c>
    </row>
    <row r="114" spans="1:9" x14ac:dyDescent="0.3">
      <c r="A114" s="233">
        <v>0.59</v>
      </c>
      <c r="B114" s="216">
        <f t="shared" si="8"/>
        <v>-2299.4035155900001</v>
      </c>
      <c r="C114" s="234" t="b">
        <f t="shared" si="2"/>
        <v>0</v>
      </c>
      <c r="D114" s="231">
        <f t="shared" si="3"/>
        <v>1</v>
      </c>
      <c r="E114" s="178">
        <f t="shared" si="4"/>
        <v>0.99999980916036735</v>
      </c>
      <c r="F114" s="216">
        <f t="shared" si="9"/>
        <v>-1263.2636894895004</v>
      </c>
      <c r="G114" s="234" t="b">
        <f t="shared" si="5"/>
        <v>0</v>
      </c>
      <c r="H114" s="231">
        <f t="shared" si="6"/>
        <v>1</v>
      </c>
      <c r="I114" s="178">
        <f t="shared" si="7"/>
        <v>0.99999980916036735</v>
      </c>
    </row>
    <row r="115" spans="1:9" x14ac:dyDescent="0.3">
      <c r="A115" s="233">
        <v>0.6</v>
      </c>
      <c r="B115" s="216">
        <f t="shared" si="8"/>
        <v>-2356.3469075900002</v>
      </c>
      <c r="C115" s="234" t="b">
        <f t="shared" si="2"/>
        <v>0</v>
      </c>
      <c r="D115" s="231">
        <f t="shared" si="3"/>
        <v>1</v>
      </c>
      <c r="E115" s="178">
        <f t="shared" si="4"/>
        <v>0.9999998332938711</v>
      </c>
      <c r="F115" s="216">
        <f t="shared" si="9"/>
        <v>-1342.3729289600005</v>
      </c>
      <c r="G115" s="234" t="b">
        <f t="shared" si="5"/>
        <v>0</v>
      </c>
      <c r="H115" s="231">
        <f t="shared" si="6"/>
        <v>1</v>
      </c>
      <c r="I115" s="178">
        <f t="shared" si="7"/>
        <v>0.9999998332938711</v>
      </c>
    </row>
    <row r="116" spans="1:9" x14ac:dyDescent="0.3">
      <c r="A116" s="233">
        <v>0.61</v>
      </c>
      <c r="B116" s="216">
        <f t="shared" si="8"/>
        <v>-2413.2902995900004</v>
      </c>
      <c r="C116" s="234" t="b">
        <f t="shared" si="2"/>
        <v>0</v>
      </c>
      <c r="D116" s="231">
        <f t="shared" si="3"/>
        <v>1</v>
      </c>
      <c r="E116" s="178">
        <f t="shared" si="4"/>
        <v>0.99999985414020709</v>
      </c>
      <c r="F116" s="216">
        <f t="shared" si="9"/>
        <v>-1421.4821684305007</v>
      </c>
      <c r="G116" s="234" t="b">
        <f t="shared" si="5"/>
        <v>0</v>
      </c>
      <c r="H116" s="231">
        <f t="shared" si="6"/>
        <v>1</v>
      </c>
      <c r="I116" s="178">
        <f t="shared" si="7"/>
        <v>0.99999985414020709</v>
      </c>
    </row>
    <row r="117" spans="1:9" x14ac:dyDescent="0.3">
      <c r="A117" s="233">
        <v>0.62</v>
      </c>
      <c r="B117" s="216">
        <f t="shared" si="8"/>
        <v>-2470.2336915900005</v>
      </c>
      <c r="C117" s="234" t="b">
        <f t="shared" si="2"/>
        <v>0</v>
      </c>
      <c r="D117" s="231">
        <f t="shared" si="3"/>
        <v>1</v>
      </c>
      <c r="E117" s="178">
        <f t="shared" si="4"/>
        <v>0.99999987217902453</v>
      </c>
      <c r="F117" s="216">
        <f t="shared" si="9"/>
        <v>-1500.5914079010008</v>
      </c>
      <c r="G117" s="234" t="b">
        <f t="shared" si="5"/>
        <v>0</v>
      </c>
      <c r="H117" s="231">
        <f t="shared" si="6"/>
        <v>1</v>
      </c>
      <c r="I117" s="178">
        <f t="shared" si="7"/>
        <v>0.99999987217902453</v>
      </c>
    </row>
    <row r="118" spans="1:9" x14ac:dyDescent="0.3">
      <c r="A118" s="233">
        <v>0.63</v>
      </c>
      <c r="B118" s="216">
        <f t="shared" si="8"/>
        <v>-2527.1770835900002</v>
      </c>
      <c r="C118" s="234" t="b">
        <f t="shared" si="2"/>
        <v>0</v>
      </c>
      <c r="D118" s="231">
        <f t="shared" si="3"/>
        <v>1</v>
      </c>
      <c r="E118" s="178">
        <f t="shared" si="4"/>
        <v>0.99999988781535831</v>
      </c>
      <c r="F118" s="216">
        <f t="shared" si="9"/>
        <v>-1579.700647371501</v>
      </c>
      <c r="G118" s="234" t="b">
        <f t="shared" si="5"/>
        <v>0</v>
      </c>
      <c r="H118" s="231">
        <f t="shared" si="6"/>
        <v>1</v>
      </c>
      <c r="I118" s="178">
        <f t="shared" si="7"/>
        <v>0.99999988781535831</v>
      </c>
    </row>
    <row r="119" spans="1:9" x14ac:dyDescent="0.3">
      <c r="A119" s="233">
        <v>0.64</v>
      </c>
      <c r="B119" s="216">
        <f t="shared" si="8"/>
        <v>-2584.1204755900003</v>
      </c>
      <c r="C119" s="234" t="b">
        <f t="shared" si="2"/>
        <v>0</v>
      </c>
      <c r="D119" s="231">
        <f t="shared" si="3"/>
        <v>1</v>
      </c>
      <c r="E119" s="178">
        <f t="shared" si="4"/>
        <v>0.99999990139194928</v>
      </c>
      <c r="F119" s="216">
        <f t="shared" si="9"/>
        <v>-1658.8098868420011</v>
      </c>
      <c r="G119" s="234" t="b">
        <f t="shared" si="5"/>
        <v>0</v>
      </c>
      <c r="H119" s="231">
        <f t="shared" si="6"/>
        <v>1</v>
      </c>
      <c r="I119" s="178">
        <f t="shared" si="7"/>
        <v>0.99999990139194928</v>
      </c>
    </row>
    <row r="120" spans="1:9" x14ac:dyDescent="0.3">
      <c r="A120" s="233">
        <v>0.65</v>
      </c>
      <c r="B120" s="216">
        <f t="shared" ref="B120:B155" si="10">$B$6-$B$15-$A120*($B$31+$B$46)</f>
        <v>-2641.0638675900004</v>
      </c>
      <c r="C120" s="234" t="b">
        <f t="shared" si="2"/>
        <v>0</v>
      </c>
      <c r="D120" s="231">
        <f t="shared" si="3"/>
        <v>1</v>
      </c>
      <c r="E120" s="178">
        <f t="shared" si="4"/>
        <v>0.99999991319941439</v>
      </c>
      <c r="F120" s="216">
        <f t="shared" ref="F120:F155" si="11">$F$6-$F$15-$A120*($F$31+$F$46)</f>
        <v>-1737.9191263125003</v>
      </c>
      <c r="G120" s="234" t="b">
        <f t="shared" si="5"/>
        <v>0</v>
      </c>
      <c r="H120" s="231">
        <f t="shared" si="6"/>
        <v>1</v>
      </c>
      <c r="I120" s="178">
        <f t="shared" si="7"/>
        <v>0.99999991319941439</v>
      </c>
    </row>
    <row r="121" spans="1:9" x14ac:dyDescent="0.3">
      <c r="A121" s="233">
        <v>0.66</v>
      </c>
      <c r="B121" s="216">
        <f t="shared" si="10"/>
        <v>-2698.0072595900006</v>
      </c>
      <c r="C121" s="234" t="b">
        <f t="shared" ref="C121:C155" si="12">IF(AND(B121&gt;0,B122&lt;0),TRUE)</f>
        <v>0</v>
      </c>
      <c r="D121" s="231">
        <f t="shared" ref="D121:D155" si="13">_xlfn.NORM.DIST(A121,$B$49,$B$50,TRUE)</f>
        <v>1</v>
      </c>
      <c r="E121" s="178">
        <f t="shared" ref="E121:E155" si="14">_xlfn.LOGNORM.DIST(A121,$B$52,$B$53,TRUE)</f>
        <v>0.99999992348466005</v>
      </c>
      <c r="F121" s="216">
        <f t="shared" si="11"/>
        <v>-1817.0283657830005</v>
      </c>
      <c r="G121" s="234" t="b">
        <f t="shared" ref="G121:G155" si="15">IF(AND(F121&gt;0,F122&lt;0),TRUE)</f>
        <v>0</v>
      </c>
      <c r="H121" s="231">
        <f t="shared" ref="H121:H155" si="16">_xlfn.NORM.DIST(A121,$F$49,$F$50,TRUE)</f>
        <v>1</v>
      </c>
      <c r="I121" s="178">
        <f t="shared" ref="I121:I155" si="17">_xlfn.LOGNORM.DIST(A121,$B$52,$B$53,TRUE)</f>
        <v>0.99999992348466005</v>
      </c>
    </row>
    <row r="122" spans="1:9" x14ac:dyDescent="0.3">
      <c r="A122" s="233">
        <v>0.67</v>
      </c>
      <c r="B122" s="216">
        <f t="shared" si="10"/>
        <v>-2754.9506515900007</v>
      </c>
      <c r="C122" s="234" t="b">
        <f t="shared" si="12"/>
        <v>0</v>
      </c>
      <c r="D122" s="231">
        <f t="shared" si="13"/>
        <v>1</v>
      </c>
      <c r="E122" s="178">
        <f t="shared" si="14"/>
        <v>0.99999993245786079</v>
      </c>
      <c r="F122" s="216">
        <f t="shared" si="11"/>
        <v>-1896.1376052535006</v>
      </c>
      <c r="G122" s="234" t="b">
        <f t="shared" si="15"/>
        <v>0</v>
      </c>
      <c r="H122" s="231">
        <f t="shared" si="16"/>
        <v>1</v>
      </c>
      <c r="I122" s="178">
        <f t="shared" si="17"/>
        <v>0.99999993245786079</v>
      </c>
    </row>
    <row r="123" spans="1:9" x14ac:dyDescent="0.3">
      <c r="A123" s="233">
        <v>0.68</v>
      </c>
      <c r="B123" s="216">
        <f t="shared" si="10"/>
        <v>-2811.8940435900008</v>
      </c>
      <c r="C123" s="234" t="b">
        <f t="shared" si="12"/>
        <v>0</v>
      </c>
      <c r="D123" s="231">
        <f t="shared" si="13"/>
        <v>1</v>
      </c>
      <c r="E123" s="178">
        <f t="shared" si="14"/>
        <v>0.99999994029825889</v>
      </c>
      <c r="F123" s="216">
        <f t="shared" si="11"/>
        <v>-1975.2468447240008</v>
      </c>
      <c r="G123" s="234" t="b">
        <f t="shared" si="15"/>
        <v>0</v>
      </c>
      <c r="H123" s="231">
        <f t="shared" si="16"/>
        <v>1</v>
      </c>
      <c r="I123" s="178">
        <f t="shared" si="17"/>
        <v>0.99999994029825889</v>
      </c>
    </row>
    <row r="124" spans="1:9" x14ac:dyDescent="0.3">
      <c r="A124" s="233">
        <v>0.69</v>
      </c>
      <c r="B124" s="216">
        <f t="shared" si="10"/>
        <v>-2868.83743559</v>
      </c>
      <c r="C124" s="234" t="b">
        <f t="shared" si="12"/>
        <v>0</v>
      </c>
      <c r="D124" s="231">
        <f t="shared" si="13"/>
        <v>1</v>
      </c>
      <c r="E124" s="178">
        <f t="shared" si="14"/>
        <v>0.99999994715899676</v>
      </c>
      <c r="F124" s="216">
        <f t="shared" si="11"/>
        <v>-2054.3560841945</v>
      </c>
      <c r="G124" s="234" t="b">
        <f t="shared" si="15"/>
        <v>0</v>
      </c>
      <c r="H124" s="231">
        <f t="shared" si="16"/>
        <v>1</v>
      </c>
      <c r="I124" s="178">
        <f t="shared" si="17"/>
        <v>0.99999994715899676</v>
      </c>
    </row>
    <row r="125" spans="1:9" x14ac:dyDescent="0.3">
      <c r="A125" s="233">
        <v>0.7</v>
      </c>
      <c r="B125" s="216">
        <f t="shared" si="10"/>
        <v>-2925.7808275900002</v>
      </c>
      <c r="C125" s="234" t="b">
        <f t="shared" si="12"/>
        <v>0</v>
      </c>
      <c r="D125" s="231">
        <f t="shared" si="13"/>
        <v>1</v>
      </c>
      <c r="E125" s="178">
        <f t="shared" si="14"/>
        <v>0.99999995317115042</v>
      </c>
      <c r="F125" s="216">
        <f t="shared" si="11"/>
        <v>-2133.4653236650001</v>
      </c>
      <c r="G125" s="234" t="b">
        <f t="shared" si="15"/>
        <v>0</v>
      </c>
      <c r="H125" s="231">
        <f t="shared" si="16"/>
        <v>1</v>
      </c>
      <c r="I125" s="178">
        <f t="shared" si="17"/>
        <v>0.99999995317115042</v>
      </c>
    </row>
    <row r="126" spans="1:9" x14ac:dyDescent="0.3">
      <c r="A126" s="233">
        <v>0.71</v>
      </c>
      <c r="B126" s="216">
        <f t="shared" si="10"/>
        <v>-2982.7242195900003</v>
      </c>
      <c r="C126" s="234" t="b">
        <f t="shared" si="12"/>
        <v>0</v>
      </c>
      <c r="D126" s="231">
        <f t="shared" si="13"/>
        <v>1</v>
      </c>
      <c r="E126" s="178">
        <f t="shared" si="14"/>
        <v>0.99999995844710399</v>
      </c>
      <c r="F126" s="216">
        <f t="shared" si="11"/>
        <v>-2212.5745631355003</v>
      </c>
      <c r="G126" s="234" t="b">
        <f t="shared" si="15"/>
        <v>0</v>
      </c>
      <c r="H126" s="231">
        <f t="shared" si="16"/>
        <v>1</v>
      </c>
      <c r="I126" s="178">
        <f t="shared" si="17"/>
        <v>0.99999995844710399</v>
      </c>
    </row>
    <row r="127" spans="1:9" x14ac:dyDescent="0.3">
      <c r="A127" s="233">
        <v>0.72</v>
      </c>
      <c r="B127" s="216">
        <f t="shared" si="10"/>
        <v>-3039.6676115900004</v>
      </c>
      <c r="C127" s="234" t="b">
        <f t="shared" si="12"/>
        <v>0</v>
      </c>
      <c r="D127" s="231">
        <f t="shared" si="13"/>
        <v>1</v>
      </c>
      <c r="E127" s="178">
        <f t="shared" si="14"/>
        <v>0.99999996308337891</v>
      </c>
      <c r="F127" s="216">
        <f t="shared" si="11"/>
        <v>-2291.6838026060004</v>
      </c>
      <c r="G127" s="234" t="b">
        <f t="shared" si="15"/>
        <v>0</v>
      </c>
      <c r="H127" s="231">
        <f t="shared" si="16"/>
        <v>1</v>
      </c>
      <c r="I127" s="178">
        <f t="shared" si="17"/>
        <v>0.99999996308337891</v>
      </c>
    </row>
    <row r="128" spans="1:9" x14ac:dyDescent="0.3">
      <c r="A128" s="233">
        <v>0.73</v>
      </c>
      <c r="B128" s="216">
        <f t="shared" si="10"/>
        <v>-3096.6110035900006</v>
      </c>
      <c r="C128" s="234" t="b">
        <f t="shared" si="12"/>
        <v>0</v>
      </c>
      <c r="D128" s="231">
        <f t="shared" si="13"/>
        <v>1</v>
      </c>
      <c r="E128" s="178">
        <f t="shared" si="14"/>
        <v>0.99999996716301021</v>
      </c>
      <c r="F128" s="216">
        <f t="shared" si="11"/>
        <v>-2370.7930420765006</v>
      </c>
      <c r="G128" s="234" t="b">
        <f t="shared" si="15"/>
        <v>0</v>
      </c>
      <c r="H128" s="231">
        <f t="shared" si="16"/>
        <v>1</v>
      </c>
      <c r="I128" s="178">
        <f t="shared" si="17"/>
        <v>0.99999996716301021</v>
      </c>
    </row>
    <row r="129" spans="1:9" x14ac:dyDescent="0.3">
      <c r="A129" s="233">
        <v>0.74</v>
      </c>
      <c r="B129" s="216">
        <f t="shared" si="10"/>
        <v>-3153.5543955900007</v>
      </c>
      <c r="C129" s="234" t="b">
        <f t="shared" si="12"/>
        <v>0</v>
      </c>
      <c r="D129" s="231">
        <f t="shared" si="13"/>
        <v>1</v>
      </c>
      <c r="E129" s="178">
        <f t="shared" si="14"/>
        <v>0.9999999707575461</v>
      </c>
      <c r="F129" s="216">
        <f t="shared" si="11"/>
        <v>-2449.9022815470007</v>
      </c>
      <c r="G129" s="234" t="b">
        <f t="shared" si="15"/>
        <v>0</v>
      </c>
      <c r="H129" s="231">
        <f t="shared" si="16"/>
        <v>1</v>
      </c>
      <c r="I129" s="178">
        <f t="shared" si="17"/>
        <v>0.9999999707575461</v>
      </c>
    </row>
    <row r="130" spans="1:9" x14ac:dyDescent="0.3">
      <c r="A130" s="233">
        <v>0.75</v>
      </c>
      <c r="B130" s="216">
        <f t="shared" si="10"/>
        <v>-3210.4977875899999</v>
      </c>
      <c r="C130" s="234" t="b">
        <f t="shared" si="12"/>
        <v>0</v>
      </c>
      <c r="D130" s="231">
        <f t="shared" si="13"/>
        <v>1</v>
      </c>
      <c r="E130" s="178">
        <f t="shared" si="14"/>
        <v>0.99999997392873474</v>
      </c>
      <c r="F130" s="216">
        <f t="shared" si="11"/>
        <v>-2529.0115210175009</v>
      </c>
      <c r="G130" s="234" t="b">
        <f t="shared" si="15"/>
        <v>0</v>
      </c>
      <c r="H130" s="231">
        <f t="shared" si="16"/>
        <v>1</v>
      </c>
      <c r="I130" s="178">
        <f t="shared" si="17"/>
        <v>0.99999997392873474</v>
      </c>
    </row>
    <row r="131" spans="1:9" x14ac:dyDescent="0.3">
      <c r="A131" s="233">
        <v>0.76</v>
      </c>
      <c r="B131" s="216">
        <f t="shared" si="10"/>
        <v>-3267.44117959</v>
      </c>
      <c r="C131" s="234" t="b">
        <f t="shared" si="12"/>
        <v>0</v>
      </c>
      <c r="D131" s="231">
        <f t="shared" si="13"/>
        <v>1</v>
      </c>
      <c r="E131" s="178">
        <f t="shared" si="14"/>
        <v>0.99999997672994856</v>
      </c>
      <c r="F131" s="216">
        <f t="shared" si="11"/>
        <v>-2608.120760488001</v>
      </c>
      <c r="G131" s="234" t="b">
        <f t="shared" si="15"/>
        <v>0</v>
      </c>
      <c r="H131" s="231">
        <f t="shared" si="16"/>
        <v>1</v>
      </c>
      <c r="I131" s="178">
        <f t="shared" si="17"/>
        <v>0.99999997672994856</v>
      </c>
    </row>
    <row r="132" spans="1:9" x14ac:dyDescent="0.3">
      <c r="A132" s="233">
        <v>0.77</v>
      </c>
      <c r="B132" s="216">
        <f t="shared" si="10"/>
        <v>-3324.3845715900002</v>
      </c>
      <c r="C132" s="234" t="b">
        <f t="shared" si="12"/>
        <v>0</v>
      </c>
      <c r="D132" s="231">
        <f t="shared" si="13"/>
        <v>1</v>
      </c>
      <c r="E132" s="178">
        <f t="shared" si="14"/>
        <v>0.99999997920738992</v>
      </c>
      <c r="F132" s="216">
        <f t="shared" si="11"/>
        <v>-2687.2299999585011</v>
      </c>
      <c r="G132" s="234" t="b">
        <f t="shared" si="15"/>
        <v>0</v>
      </c>
      <c r="H132" s="231">
        <f t="shared" si="16"/>
        <v>1</v>
      </c>
      <c r="I132" s="178">
        <f t="shared" si="17"/>
        <v>0.99999997920738992</v>
      </c>
    </row>
    <row r="133" spans="1:9" x14ac:dyDescent="0.3">
      <c r="A133" s="233">
        <v>0.78</v>
      </c>
      <c r="B133" s="216">
        <f t="shared" si="10"/>
        <v>-3381.3279635900003</v>
      </c>
      <c r="C133" s="234" t="b">
        <f t="shared" si="12"/>
        <v>0</v>
      </c>
      <c r="D133" s="231">
        <f t="shared" si="13"/>
        <v>1</v>
      </c>
      <c r="E133" s="178">
        <f t="shared" si="14"/>
        <v>0.99999998140111335</v>
      </c>
      <c r="F133" s="216">
        <f t="shared" si="11"/>
        <v>-2766.3392394290013</v>
      </c>
      <c r="G133" s="234" t="b">
        <f t="shared" si="15"/>
        <v>0</v>
      </c>
      <c r="H133" s="231">
        <f t="shared" si="16"/>
        <v>1</v>
      </c>
      <c r="I133" s="178">
        <f t="shared" si="17"/>
        <v>0.99999998140111335</v>
      </c>
    </row>
    <row r="134" spans="1:9" x14ac:dyDescent="0.3">
      <c r="A134" s="233">
        <v>0.79</v>
      </c>
      <c r="B134" s="216">
        <f t="shared" si="10"/>
        <v>-3438.2713555900004</v>
      </c>
      <c r="C134" s="234" t="b">
        <f t="shared" si="12"/>
        <v>0</v>
      </c>
      <c r="D134" s="231">
        <f t="shared" si="13"/>
        <v>1</v>
      </c>
      <c r="E134" s="178">
        <f t="shared" si="14"/>
        <v>0.99999998334589379</v>
      </c>
      <c r="F134" s="216">
        <f t="shared" si="11"/>
        <v>-2845.4484788995005</v>
      </c>
      <c r="G134" s="234" t="b">
        <f t="shared" si="15"/>
        <v>0</v>
      </c>
      <c r="H134" s="231">
        <f t="shared" si="16"/>
        <v>1</v>
      </c>
      <c r="I134" s="178">
        <f t="shared" si="17"/>
        <v>0.99999998334589379</v>
      </c>
    </row>
    <row r="135" spans="1:9" x14ac:dyDescent="0.3">
      <c r="A135" s="233">
        <v>0.8</v>
      </c>
      <c r="B135" s="216">
        <f t="shared" si="10"/>
        <v>-3495.2147475900006</v>
      </c>
      <c r="C135" s="234" t="b">
        <f t="shared" si="12"/>
        <v>0</v>
      </c>
      <c r="D135" s="231">
        <f t="shared" si="13"/>
        <v>1</v>
      </c>
      <c r="E135" s="178">
        <f t="shared" si="14"/>
        <v>0.99999998507196475</v>
      </c>
      <c r="F135" s="216">
        <f t="shared" si="11"/>
        <v>-2924.5577183700007</v>
      </c>
      <c r="G135" s="234" t="b">
        <f t="shared" si="15"/>
        <v>0</v>
      </c>
      <c r="H135" s="231">
        <f t="shared" si="16"/>
        <v>1</v>
      </c>
      <c r="I135" s="178">
        <f t="shared" si="17"/>
        <v>0.99999998507196475</v>
      </c>
    </row>
    <row r="136" spans="1:9" x14ac:dyDescent="0.3">
      <c r="A136" s="233">
        <v>0.81</v>
      </c>
      <c r="B136" s="216">
        <f t="shared" si="10"/>
        <v>-3552.1581395900007</v>
      </c>
      <c r="C136" s="234" t="b">
        <f t="shared" si="12"/>
        <v>0</v>
      </c>
      <c r="D136" s="231">
        <f t="shared" si="13"/>
        <v>1</v>
      </c>
      <c r="E136" s="178">
        <f t="shared" si="14"/>
        <v>0.99999998660564771</v>
      </c>
      <c r="F136" s="216">
        <f t="shared" si="11"/>
        <v>-3003.6669578405008</v>
      </c>
      <c r="G136" s="234" t="b">
        <f t="shared" si="15"/>
        <v>0</v>
      </c>
      <c r="H136" s="231">
        <f t="shared" si="16"/>
        <v>1</v>
      </c>
      <c r="I136" s="178">
        <f t="shared" si="17"/>
        <v>0.99999998660564771</v>
      </c>
    </row>
    <row r="137" spans="1:9" x14ac:dyDescent="0.3">
      <c r="A137" s="233">
        <v>0.82</v>
      </c>
      <c r="B137" s="216">
        <f t="shared" si="10"/>
        <v>-3609.1015315899999</v>
      </c>
      <c r="C137" s="234" t="b">
        <f t="shared" si="12"/>
        <v>0</v>
      </c>
      <c r="D137" s="231">
        <f t="shared" si="13"/>
        <v>1</v>
      </c>
      <c r="E137" s="178">
        <f t="shared" si="14"/>
        <v>0.99999998796988943</v>
      </c>
      <c r="F137" s="216">
        <f t="shared" si="11"/>
        <v>-3082.776197311</v>
      </c>
      <c r="G137" s="234" t="b">
        <f t="shared" si="15"/>
        <v>0</v>
      </c>
      <c r="H137" s="231">
        <f t="shared" si="16"/>
        <v>1</v>
      </c>
      <c r="I137" s="178">
        <f t="shared" si="17"/>
        <v>0.99999998796988943</v>
      </c>
    </row>
    <row r="138" spans="1:9" x14ac:dyDescent="0.3">
      <c r="A138" s="233">
        <v>0.83</v>
      </c>
      <c r="B138" s="216">
        <f t="shared" si="10"/>
        <v>-3666.0449235900001</v>
      </c>
      <c r="C138" s="234" t="b">
        <f t="shared" si="12"/>
        <v>0</v>
      </c>
      <c r="D138" s="231">
        <f t="shared" si="13"/>
        <v>1</v>
      </c>
      <c r="E138" s="178">
        <f t="shared" si="14"/>
        <v>0.99999998918472099</v>
      </c>
      <c r="F138" s="216">
        <f t="shared" si="11"/>
        <v>-3161.8854367815002</v>
      </c>
      <c r="G138" s="234" t="b">
        <f t="shared" si="15"/>
        <v>0</v>
      </c>
      <c r="H138" s="231">
        <f t="shared" si="16"/>
        <v>1</v>
      </c>
      <c r="I138" s="178">
        <f t="shared" si="17"/>
        <v>0.99999998918472099</v>
      </c>
    </row>
    <row r="139" spans="1:9" x14ac:dyDescent="0.3">
      <c r="A139" s="233">
        <v>0.84</v>
      </c>
      <c r="B139" s="216">
        <f t="shared" si="10"/>
        <v>-3722.9883155900002</v>
      </c>
      <c r="C139" s="234" t="b">
        <f t="shared" si="12"/>
        <v>0</v>
      </c>
      <c r="D139" s="231">
        <f t="shared" si="13"/>
        <v>1</v>
      </c>
      <c r="E139" s="178">
        <f t="shared" si="14"/>
        <v>0.99999999026765074</v>
      </c>
      <c r="F139" s="216">
        <f t="shared" si="11"/>
        <v>-3240.9946762520003</v>
      </c>
      <c r="G139" s="234" t="b">
        <f t="shared" si="15"/>
        <v>0</v>
      </c>
      <c r="H139" s="231">
        <f t="shared" si="16"/>
        <v>1</v>
      </c>
      <c r="I139" s="178">
        <f t="shared" si="17"/>
        <v>0.99999999026765074</v>
      </c>
    </row>
    <row r="140" spans="1:9" x14ac:dyDescent="0.3">
      <c r="A140" s="233">
        <v>0.85</v>
      </c>
      <c r="B140" s="216">
        <f t="shared" si="10"/>
        <v>-3779.9317075900003</v>
      </c>
      <c r="C140" s="234" t="b">
        <f t="shared" si="12"/>
        <v>0</v>
      </c>
      <c r="D140" s="231">
        <f t="shared" si="13"/>
        <v>1</v>
      </c>
      <c r="E140" s="178">
        <f t="shared" si="14"/>
        <v>0.99999999123400141</v>
      </c>
      <c r="F140" s="216">
        <f t="shared" si="11"/>
        <v>-3320.1039157225005</v>
      </c>
      <c r="G140" s="234" t="b">
        <f t="shared" si="15"/>
        <v>0</v>
      </c>
      <c r="H140" s="231">
        <f t="shared" si="16"/>
        <v>1</v>
      </c>
      <c r="I140" s="178">
        <f t="shared" si="17"/>
        <v>0.99999999123400141</v>
      </c>
    </row>
    <row r="141" spans="1:9" x14ac:dyDescent="0.3">
      <c r="A141" s="233">
        <v>0.86</v>
      </c>
      <c r="B141" s="216">
        <f t="shared" si="10"/>
        <v>-3836.8750995900004</v>
      </c>
      <c r="C141" s="234" t="b">
        <f t="shared" si="12"/>
        <v>0</v>
      </c>
      <c r="D141" s="231">
        <f t="shared" si="13"/>
        <v>1</v>
      </c>
      <c r="E141" s="178">
        <f t="shared" si="14"/>
        <v>0.99999999209719981</v>
      </c>
      <c r="F141" s="216">
        <f t="shared" si="11"/>
        <v>-3399.2131551930006</v>
      </c>
      <c r="G141" s="234" t="b">
        <f t="shared" si="15"/>
        <v>0</v>
      </c>
      <c r="H141" s="231">
        <f t="shared" si="16"/>
        <v>1</v>
      </c>
      <c r="I141" s="178">
        <f t="shared" si="17"/>
        <v>0.99999999209719981</v>
      </c>
    </row>
    <row r="142" spans="1:9" x14ac:dyDescent="0.3">
      <c r="A142" s="233">
        <v>0.87</v>
      </c>
      <c r="B142" s="216">
        <f t="shared" si="10"/>
        <v>-3893.8184915900006</v>
      </c>
      <c r="C142" s="234" t="b">
        <f t="shared" si="12"/>
        <v>0</v>
      </c>
      <c r="D142" s="231">
        <f t="shared" si="13"/>
        <v>1</v>
      </c>
      <c r="E142" s="178">
        <f t="shared" si="14"/>
        <v>0.99999999286902541</v>
      </c>
      <c r="F142" s="216">
        <f t="shared" si="11"/>
        <v>-3478.3223946635007</v>
      </c>
      <c r="G142" s="234" t="b">
        <f t="shared" si="15"/>
        <v>0</v>
      </c>
      <c r="H142" s="231">
        <f t="shared" si="16"/>
        <v>1</v>
      </c>
      <c r="I142" s="178">
        <f t="shared" si="17"/>
        <v>0.99999999286902541</v>
      </c>
    </row>
    <row r="143" spans="1:9" x14ac:dyDescent="0.3">
      <c r="A143" s="233">
        <v>0.88</v>
      </c>
      <c r="B143" s="216">
        <f t="shared" si="10"/>
        <v>-3950.7618835900007</v>
      </c>
      <c r="C143" s="234" t="b">
        <f t="shared" si="12"/>
        <v>0</v>
      </c>
      <c r="D143" s="231">
        <f t="shared" si="13"/>
        <v>1</v>
      </c>
      <c r="E143" s="178">
        <f t="shared" si="14"/>
        <v>0.99999999355982527</v>
      </c>
      <c r="F143" s="216">
        <f t="shared" si="11"/>
        <v>-3557.4316341340009</v>
      </c>
      <c r="G143" s="234" t="b">
        <f t="shared" si="15"/>
        <v>0</v>
      </c>
      <c r="H143" s="231">
        <f t="shared" si="16"/>
        <v>1</v>
      </c>
      <c r="I143" s="178">
        <f t="shared" si="17"/>
        <v>0.99999999355982527</v>
      </c>
    </row>
    <row r="144" spans="1:9" x14ac:dyDescent="0.3">
      <c r="A144" s="233">
        <v>0.89</v>
      </c>
      <c r="B144" s="216">
        <f t="shared" si="10"/>
        <v>-4007.7052755900008</v>
      </c>
      <c r="C144" s="234" t="b">
        <f t="shared" si="12"/>
        <v>0</v>
      </c>
      <c r="D144" s="231">
        <f t="shared" si="13"/>
        <v>1</v>
      </c>
      <c r="E144" s="178">
        <f t="shared" si="14"/>
        <v>0.999999994178698</v>
      </c>
      <c r="F144" s="216">
        <f t="shared" si="11"/>
        <v>-3636.540873604501</v>
      </c>
      <c r="G144" s="234" t="b">
        <f t="shared" si="15"/>
        <v>0</v>
      </c>
      <c r="H144" s="231">
        <f t="shared" si="16"/>
        <v>1</v>
      </c>
      <c r="I144" s="178">
        <f t="shared" si="17"/>
        <v>0.999999994178698</v>
      </c>
    </row>
    <row r="145" spans="1:9" x14ac:dyDescent="0.3">
      <c r="A145" s="233">
        <v>0.9</v>
      </c>
      <c r="B145" s="216">
        <f t="shared" si="10"/>
        <v>-4064.648667590001</v>
      </c>
      <c r="C145" s="234" t="b">
        <f t="shared" si="12"/>
        <v>0</v>
      </c>
      <c r="D145" s="231">
        <f t="shared" si="13"/>
        <v>1</v>
      </c>
      <c r="E145" s="178">
        <f t="shared" si="14"/>
        <v>0.99999999473365442</v>
      </c>
      <c r="F145" s="216">
        <f t="shared" si="11"/>
        <v>-3715.6501130750012</v>
      </c>
      <c r="G145" s="234" t="b">
        <f t="shared" si="15"/>
        <v>0</v>
      </c>
      <c r="H145" s="231">
        <f t="shared" si="16"/>
        <v>1</v>
      </c>
      <c r="I145" s="178">
        <f t="shared" si="17"/>
        <v>0.99999999473365442</v>
      </c>
    </row>
    <row r="146" spans="1:9" x14ac:dyDescent="0.3">
      <c r="A146" s="233">
        <v>0.91</v>
      </c>
      <c r="B146" s="216">
        <f t="shared" si="10"/>
        <v>-4121.5920595900006</v>
      </c>
      <c r="C146" s="234" t="b">
        <f t="shared" si="12"/>
        <v>0</v>
      </c>
      <c r="D146" s="231">
        <f t="shared" si="13"/>
        <v>1</v>
      </c>
      <c r="E146" s="178">
        <f t="shared" si="14"/>
        <v>0.99999999523175498</v>
      </c>
      <c r="F146" s="216">
        <f t="shared" si="11"/>
        <v>-3794.7593525455013</v>
      </c>
      <c r="G146" s="234" t="b">
        <f t="shared" si="15"/>
        <v>0</v>
      </c>
      <c r="H146" s="231">
        <f t="shared" si="16"/>
        <v>1</v>
      </c>
      <c r="I146" s="178">
        <f t="shared" si="17"/>
        <v>0.99999999523175498</v>
      </c>
    </row>
    <row r="147" spans="1:9" x14ac:dyDescent="0.3">
      <c r="A147" s="233">
        <v>0.92</v>
      </c>
      <c r="B147" s="216">
        <f t="shared" si="10"/>
        <v>-4178.5354515899999</v>
      </c>
      <c r="C147" s="234" t="b">
        <f t="shared" si="12"/>
        <v>0</v>
      </c>
      <c r="D147" s="231">
        <f t="shared" si="13"/>
        <v>1</v>
      </c>
      <c r="E147" s="178">
        <f t="shared" si="14"/>
        <v>0.9999999956792297</v>
      </c>
      <c r="F147" s="216">
        <f t="shared" si="11"/>
        <v>-3873.8685920160015</v>
      </c>
      <c r="G147" s="234" t="b">
        <f t="shared" si="15"/>
        <v>0</v>
      </c>
      <c r="H147" s="231">
        <f t="shared" si="16"/>
        <v>1</v>
      </c>
      <c r="I147" s="178">
        <f t="shared" si="17"/>
        <v>0.9999999956792297</v>
      </c>
    </row>
    <row r="148" spans="1:9" x14ac:dyDescent="0.3">
      <c r="A148" s="233">
        <v>0.93</v>
      </c>
      <c r="B148" s="216">
        <f t="shared" si="10"/>
        <v>-4235.4788435900009</v>
      </c>
      <c r="C148" s="234" t="b">
        <f t="shared" si="12"/>
        <v>0</v>
      </c>
      <c r="D148" s="231">
        <f t="shared" si="13"/>
        <v>1</v>
      </c>
      <c r="E148" s="178">
        <f t="shared" si="14"/>
        <v>0.99999999608158141</v>
      </c>
      <c r="F148" s="216">
        <f t="shared" si="11"/>
        <v>-3952.9778314865007</v>
      </c>
      <c r="G148" s="234" t="b">
        <f t="shared" si="15"/>
        <v>0</v>
      </c>
      <c r="H148" s="231">
        <f t="shared" si="16"/>
        <v>1</v>
      </c>
      <c r="I148" s="178">
        <f t="shared" si="17"/>
        <v>0.99999999608158141</v>
      </c>
    </row>
    <row r="149" spans="1:9" x14ac:dyDescent="0.3">
      <c r="A149" s="233">
        <v>0.94</v>
      </c>
      <c r="B149" s="216">
        <f t="shared" si="10"/>
        <v>-4292.4222355900001</v>
      </c>
      <c r="C149" s="234" t="b">
        <f t="shared" si="12"/>
        <v>0</v>
      </c>
      <c r="D149" s="231">
        <f t="shared" si="13"/>
        <v>1</v>
      </c>
      <c r="E149" s="178">
        <f t="shared" si="14"/>
        <v>0.99999999644367632</v>
      </c>
      <c r="F149" s="216">
        <f t="shared" si="11"/>
        <v>-4032.0870709569999</v>
      </c>
      <c r="G149" s="234" t="b">
        <f t="shared" si="15"/>
        <v>0</v>
      </c>
      <c r="H149" s="231">
        <f t="shared" si="16"/>
        <v>1</v>
      </c>
      <c r="I149" s="178">
        <f t="shared" si="17"/>
        <v>0.99999999644367632</v>
      </c>
    </row>
    <row r="150" spans="1:9" x14ac:dyDescent="0.3">
      <c r="A150" s="233">
        <v>0.95</v>
      </c>
      <c r="B150" s="216">
        <f t="shared" si="10"/>
        <v>-4349.3656275899993</v>
      </c>
      <c r="C150" s="234" t="b">
        <f t="shared" si="12"/>
        <v>0</v>
      </c>
      <c r="D150" s="231">
        <f t="shared" si="13"/>
        <v>1</v>
      </c>
      <c r="E150" s="178">
        <f t="shared" si="14"/>
        <v>0.99999999676982154</v>
      </c>
      <c r="F150" s="216">
        <f t="shared" si="11"/>
        <v>-4111.1963104275001</v>
      </c>
      <c r="G150" s="234" t="b">
        <f t="shared" si="15"/>
        <v>0</v>
      </c>
      <c r="H150" s="231">
        <f t="shared" si="16"/>
        <v>1</v>
      </c>
      <c r="I150" s="178">
        <f t="shared" si="17"/>
        <v>0.99999999676982154</v>
      </c>
    </row>
    <row r="151" spans="1:9" x14ac:dyDescent="0.3">
      <c r="A151" s="233">
        <v>0.96</v>
      </c>
      <c r="B151" s="216">
        <f t="shared" si="10"/>
        <v>-4406.3090195900004</v>
      </c>
      <c r="C151" s="234" t="b">
        <f t="shared" si="12"/>
        <v>0</v>
      </c>
      <c r="D151" s="231">
        <f t="shared" si="13"/>
        <v>1</v>
      </c>
      <c r="E151" s="178">
        <f t="shared" si="14"/>
        <v>0.99999999706383358</v>
      </c>
      <c r="F151" s="216">
        <f t="shared" si="11"/>
        <v>-4190.3055498980002</v>
      </c>
      <c r="G151" s="234" t="b">
        <f t="shared" si="15"/>
        <v>0</v>
      </c>
      <c r="H151" s="231">
        <f t="shared" si="16"/>
        <v>1</v>
      </c>
      <c r="I151" s="178">
        <f t="shared" si="17"/>
        <v>0.99999999706383358</v>
      </c>
    </row>
    <row r="152" spans="1:9" x14ac:dyDescent="0.3">
      <c r="A152" s="233">
        <v>0.97</v>
      </c>
      <c r="B152" s="216">
        <f t="shared" si="10"/>
        <v>-4463.2524115899996</v>
      </c>
      <c r="C152" s="234" t="b">
        <f t="shared" si="12"/>
        <v>0</v>
      </c>
      <c r="D152" s="231">
        <f t="shared" si="13"/>
        <v>1</v>
      </c>
      <c r="E152" s="178">
        <f t="shared" si="14"/>
        <v>0.99999999732909761</v>
      </c>
      <c r="F152" s="216">
        <f t="shared" si="11"/>
        <v>-4269.4147893685004</v>
      </c>
      <c r="G152" s="234" t="b">
        <f t="shared" si="15"/>
        <v>0</v>
      </c>
      <c r="H152" s="231">
        <f t="shared" si="16"/>
        <v>1</v>
      </c>
      <c r="I152" s="178">
        <f t="shared" si="17"/>
        <v>0.99999999732909761</v>
      </c>
    </row>
    <row r="153" spans="1:9" x14ac:dyDescent="0.3">
      <c r="A153" s="233">
        <v>0.98</v>
      </c>
      <c r="B153" s="216">
        <f t="shared" si="10"/>
        <v>-4520.1958035900007</v>
      </c>
      <c r="C153" s="234" t="b">
        <f t="shared" si="12"/>
        <v>0</v>
      </c>
      <c r="D153" s="231">
        <f t="shared" si="13"/>
        <v>1</v>
      </c>
      <c r="E153" s="178">
        <f t="shared" si="14"/>
        <v>0.99999999756861901</v>
      </c>
      <c r="F153" s="216">
        <f t="shared" si="11"/>
        <v>-4348.5240288390005</v>
      </c>
      <c r="G153" s="234" t="b">
        <f t="shared" si="15"/>
        <v>0</v>
      </c>
      <c r="H153" s="231">
        <f t="shared" si="16"/>
        <v>1</v>
      </c>
      <c r="I153" s="178">
        <f t="shared" si="17"/>
        <v>0.99999999756861901</v>
      </c>
    </row>
    <row r="154" spans="1:9" x14ac:dyDescent="0.3">
      <c r="A154" s="233">
        <v>0.99</v>
      </c>
      <c r="B154" s="216">
        <f t="shared" si="10"/>
        <v>-4577.1391955899999</v>
      </c>
      <c r="C154" s="234" t="b">
        <f t="shared" si="12"/>
        <v>0</v>
      </c>
      <c r="D154" s="231">
        <f t="shared" si="13"/>
        <v>1</v>
      </c>
      <c r="E154" s="178">
        <f t="shared" si="14"/>
        <v>0.99999999778506887</v>
      </c>
      <c r="F154" s="216">
        <f t="shared" si="11"/>
        <v>-4427.6332683095006</v>
      </c>
      <c r="G154" s="234" t="b">
        <f t="shared" si="15"/>
        <v>0</v>
      </c>
      <c r="H154" s="231">
        <f t="shared" si="16"/>
        <v>1</v>
      </c>
      <c r="I154" s="178">
        <f t="shared" si="17"/>
        <v>0.99999999778506887</v>
      </c>
    </row>
    <row r="155" spans="1:9" x14ac:dyDescent="0.3">
      <c r="A155" s="233">
        <v>1</v>
      </c>
      <c r="B155" s="216">
        <f t="shared" si="10"/>
        <v>-4634.0825875900009</v>
      </c>
      <c r="C155" s="234" t="b">
        <f t="shared" si="12"/>
        <v>0</v>
      </c>
      <c r="D155" s="231">
        <f t="shared" si="13"/>
        <v>1</v>
      </c>
      <c r="E155" s="178">
        <f t="shared" si="14"/>
        <v>0.99999999798082284</v>
      </c>
      <c r="F155" s="216">
        <f t="shared" si="11"/>
        <v>-4506.7425077800008</v>
      </c>
      <c r="G155" s="234" t="b">
        <f t="shared" si="15"/>
        <v>0</v>
      </c>
      <c r="H155" s="231">
        <f t="shared" si="16"/>
        <v>1</v>
      </c>
      <c r="I155" s="178">
        <f t="shared" si="17"/>
        <v>0.99999999798082284</v>
      </c>
    </row>
    <row r="156" spans="1:9" x14ac:dyDescent="0.3">
      <c r="B156" s="230"/>
      <c r="C156" s="234"/>
      <c r="E156" s="178"/>
      <c r="F156" s="230"/>
      <c r="G156" s="234"/>
      <c r="I156" s="178"/>
    </row>
    <row r="157" spans="1:9" x14ac:dyDescent="0.3">
      <c r="B157" s="230"/>
      <c r="C157" s="234"/>
      <c r="E157" s="178"/>
      <c r="F157" s="230"/>
      <c r="G157" s="234"/>
      <c r="I157" s="178"/>
    </row>
    <row r="158" spans="1:9" x14ac:dyDescent="0.3">
      <c r="B158" s="230"/>
      <c r="C158" s="234"/>
      <c r="E158" s="178"/>
      <c r="F158" s="230"/>
      <c r="G158" s="234"/>
      <c r="I158" s="178"/>
    </row>
    <row r="159" spans="1:9" x14ac:dyDescent="0.3">
      <c r="B159" s="230"/>
      <c r="C159" s="234"/>
      <c r="E159" s="178"/>
      <c r="F159" s="230"/>
      <c r="G159" s="234"/>
      <c r="I159" s="178"/>
    </row>
    <row r="160" spans="1:9" x14ac:dyDescent="0.3">
      <c r="B160" s="230"/>
      <c r="C160" s="234"/>
      <c r="E160" s="178"/>
      <c r="F160" s="230"/>
      <c r="G160" s="234"/>
      <c r="I160" s="178"/>
    </row>
    <row r="161" spans="2:9" x14ac:dyDescent="0.3">
      <c r="B161" s="230"/>
      <c r="C161" s="234"/>
      <c r="E161" s="178"/>
      <c r="F161" s="230"/>
      <c r="G161" s="234"/>
      <c r="I161" s="178"/>
    </row>
    <row r="162" spans="2:9" x14ac:dyDescent="0.3">
      <c r="B162" s="230"/>
      <c r="C162" s="234"/>
      <c r="E162" s="178"/>
      <c r="F162" s="230"/>
      <c r="G162" s="234"/>
      <c r="I162" s="178"/>
    </row>
    <row r="163" spans="2:9" x14ac:dyDescent="0.3">
      <c r="B163" s="230"/>
      <c r="C163" s="234"/>
      <c r="E163" s="178"/>
      <c r="F163" s="230"/>
      <c r="G163" s="234"/>
      <c r="I163" s="17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7"/>
  <sheetViews>
    <sheetView showGridLines="0" zoomScale="36" zoomScaleNormal="36" workbookViewId="0">
      <pane xSplit="1" ySplit="4" topLeftCell="B50" activePane="bottomRight" state="frozen"/>
      <selection activeCell="D69" sqref="D69"/>
      <selection pane="topRight" activeCell="D69" sqref="D69"/>
      <selection pane="bottomLeft" activeCell="D69" sqref="D69"/>
      <selection pane="bottomRight" activeCell="K70" sqref="K70"/>
    </sheetView>
  </sheetViews>
  <sheetFormatPr defaultColWidth="9.08203125" defaultRowHeight="17.5" x14ac:dyDescent="0.35"/>
  <cols>
    <col min="1" max="1" width="18.08203125" style="323" bestFit="1" customWidth="1"/>
    <col min="2" max="2" width="34" style="324" customWidth="1"/>
    <col min="3" max="5" width="34" style="325" customWidth="1"/>
    <col min="6" max="6" width="36" style="326" customWidth="1"/>
    <col min="7" max="7" width="24.83203125" style="326" bestFit="1" customWidth="1"/>
    <col min="8" max="9" width="30.58203125" style="326" customWidth="1"/>
    <col min="10" max="10" width="34.33203125" style="320" customWidth="1"/>
    <col min="11" max="11" width="18.58203125" style="320" customWidth="1"/>
    <col min="12" max="13" width="30.58203125" style="320" customWidth="1"/>
    <col min="14" max="14" width="34.33203125" style="321" bestFit="1" customWidth="1"/>
    <col min="15" max="15" width="34" style="258" bestFit="1" customWidth="1"/>
    <col min="16" max="16" width="36.25" style="258" bestFit="1" customWidth="1"/>
    <col min="17" max="17" width="34.83203125" style="258" bestFit="1" customWidth="1"/>
    <col min="18" max="18" width="32.33203125" style="322" bestFit="1" customWidth="1"/>
    <col min="19" max="19" width="18.08203125" style="259" bestFit="1" customWidth="1"/>
    <col min="20" max="20" width="30.58203125" style="259" bestFit="1" customWidth="1"/>
    <col min="21" max="21" width="30.08203125" style="259" customWidth="1"/>
    <col min="22" max="22" width="39.83203125" style="244" bestFit="1" customWidth="1"/>
    <col min="23" max="23" width="23.58203125" style="244" bestFit="1" customWidth="1"/>
    <col min="24" max="25" width="28.08203125" style="244" bestFit="1" customWidth="1"/>
    <col min="26" max="26" width="19.08203125" style="245" bestFit="1" customWidth="1"/>
    <col min="27" max="27" width="18" style="245" bestFit="1" customWidth="1"/>
    <col min="28" max="28" width="9.08203125" style="245"/>
    <col min="29" max="29" width="11" style="245" customWidth="1"/>
    <col min="30" max="30" width="26.75" style="245" bestFit="1" customWidth="1"/>
    <col min="31" max="31" width="10.25" style="245" customWidth="1"/>
    <col min="32" max="16384" width="9.08203125" style="245"/>
  </cols>
  <sheetData>
    <row r="1" spans="1:31" x14ac:dyDescent="0.35">
      <c r="A1" s="238" t="s">
        <v>135</v>
      </c>
      <c r="B1" s="239"/>
      <c r="C1" s="240">
        <f>'Output&amp;Input'!D101</f>
        <v>0.8</v>
      </c>
      <c r="D1" s="241"/>
      <c r="E1" s="241"/>
      <c r="F1" s="238"/>
      <c r="G1" s="238"/>
      <c r="H1" s="238"/>
      <c r="I1" s="238" t="s">
        <v>136</v>
      </c>
      <c r="J1" s="239">
        <v>1</v>
      </c>
      <c r="K1" s="239"/>
      <c r="L1" s="239"/>
      <c r="M1" s="239"/>
      <c r="N1" s="238"/>
      <c r="O1" s="241"/>
      <c r="P1" s="241"/>
      <c r="Q1" s="241"/>
      <c r="R1" s="242" t="s">
        <v>83</v>
      </c>
      <c r="S1" s="242" t="e">
        <f>'Output&amp;Input'!#REF!</f>
        <v>#REF!</v>
      </c>
      <c r="T1" s="242"/>
      <c r="U1" s="242"/>
      <c r="V1" s="243"/>
      <c r="Z1" s="245" t="s">
        <v>103</v>
      </c>
      <c r="AA1" s="245" t="s">
        <v>137</v>
      </c>
    </row>
    <row r="2" spans="1:31" ht="18" thickBot="1" x14ac:dyDescent="0.4">
      <c r="A2" s="238"/>
      <c r="B2" s="239"/>
      <c r="C2" s="241"/>
      <c r="D2" s="241"/>
      <c r="E2" s="241"/>
      <c r="F2" s="238"/>
      <c r="G2" s="238"/>
      <c r="H2" s="238"/>
      <c r="I2" s="238"/>
      <c r="J2" s="239"/>
      <c r="K2" s="239"/>
      <c r="L2" s="239"/>
      <c r="M2" s="239"/>
      <c r="N2" s="238"/>
      <c r="O2" s="241"/>
      <c r="P2" s="241"/>
      <c r="Q2" s="241"/>
      <c r="R2" s="242"/>
      <c r="S2" s="242"/>
      <c r="T2" s="242"/>
      <c r="U2" s="242"/>
      <c r="V2" s="243"/>
    </row>
    <row r="3" spans="1:31" ht="18.75" customHeight="1" x14ac:dyDescent="0.35">
      <c r="A3" s="606" t="s">
        <v>124</v>
      </c>
      <c r="B3" s="246" t="s">
        <v>138</v>
      </c>
      <c r="C3" s="607" t="s">
        <v>139</v>
      </c>
      <c r="D3" s="607" t="s">
        <v>140</v>
      </c>
      <c r="E3" s="607" t="s">
        <v>141</v>
      </c>
      <c r="F3" s="247" t="s">
        <v>138</v>
      </c>
      <c r="G3" s="609" t="s">
        <v>139</v>
      </c>
      <c r="H3" s="609" t="s">
        <v>140</v>
      </c>
      <c r="I3" s="609" t="s">
        <v>141</v>
      </c>
      <c r="J3" s="248" t="s">
        <v>242</v>
      </c>
      <c r="K3" s="607" t="s">
        <v>139</v>
      </c>
      <c r="L3" s="607" t="s">
        <v>140</v>
      </c>
      <c r="M3" s="611" t="s">
        <v>141</v>
      </c>
      <c r="N3" s="248" t="s">
        <v>242</v>
      </c>
      <c r="O3" s="604" t="s">
        <v>139</v>
      </c>
      <c r="P3" s="604" t="s">
        <v>140</v>
      </c>
      <c r="Q3" s="617" t="s">
        <v>141</v>
      </c>
      <c r="R3" s="248" t="s">
        <v>12</v>
      </c>
      <c r="S3" s="619" t="s">
        <v>139</v>
      </c>
      <c r="T3" s="619" t="s">
        <v>140</v>
      </c>
      <c r="U3" s="621" t="s">
        <v>141</v>
      </c>
      <c r="V3" s="248" t="s">
        <v>12</v>
      </c>
      <c r="W3" s="619" t="s">
        <v>139</v>
      </c>
      <c r="X3" s="619" t="s">
        <v>140</v>
      </c>
      <c r="Y3" s="619" t="s">
        <v>141</v>
      </c>
      <c r="Z3" s="615" t="str">
        <f>Z1</f>
        <v>Yield to Kbank</v>
      </c>
      <c r="AA3" s="613" t="str">
        <f>AA1</f>
        <v>Premium fee</v>
      </c>
    </row>
    <row r="4" spans="1:31" ht="18" thickBot="1" x14ac:dyDescent="0.4">
      <c r="A4" s="606"/>
      <c r="B4" s="249" t="s">
        <v>142</v>
      </c>
      <c r="C4" s="608"/>
      <c r="D4" s="608"/>
      <c r="E4" s="608"/>
      <c r="F4" s="250" t="s">
        <v>143</v>
      </c>
      <c r="G4" s="610"/>
      <c r="H4" s="610"/>
      <c r="I4" s="610"/>
      <c r="J4" s="249" t="s">
        <v>142</v>
      </c>
      <c r="K4" s="608"/>
      <c r="L4" s="608"/>
      <c r="M4" s="612"/>
      <c r="N4" s="250" t="s">
        <v>143</v>
      </c>
      <c r="O4" s="605"/>
      <c r="P4" s="605"/>
      <c r="Q4" s="618"/>
      <c r="R4" s="249" t="s">
        <v>142</v>
      </c>
      <c r="S4" s="620"/>
      <c r="T4" s="620"/>
      <c r="U4" s="622"/>
      <c r="V4" s="250" t="s">
        <v>145</v>
      </c>
      <c r="W4" s="620"/>
      <c r="X4" s="620"/>
      <c r="Y4" s="620"/>
      <c r="Z4" s="616"/>
      <c r="AA4" s="614"/>
    </row>
    <row r="5" spans="1:31" x14ac:dyDescent="0.35">
      <c r="A5" s="251">
        <v>42005</v>
      </c>
      <c r="B5" s="252" t="e">
        <f ca="1">IFERROR(INDEX(INDIRECT(""&amp;B$3&amp;"!$D$3:$BZ$130"),MATCH($B$4,INDIRECT(""&amp;B$3&amp;"!$B$3:$B$130"),0),MATCH(A5,INDIRECT(""&amp;B$3&amp;"!$D$2:$BZ$2"),0)),NA())</f>
        <v>#N/A</v>
      </c>
      <c r="C5" s="253"/>
      <c r="D5" s="253"/>
      <c r="E5" s="253"/>
      <c r="F5" s="254" t="e">
        <f ca="1">IFERROR(INDEX(INDIRECT(""&amp;F$3&amp;"!$D$3:$BZ$130"),MATCH($F$4,INDIRECT(""&amp;F$3&amp;"!$B$3:$B$130"),0),MATCH(A5,INDIRECT(""&amp;F$3&amp;"!$D$2:$BZ$2"),0)),NA())</f>
        <v>#N/A</v>
      </c>
      <c r="G5" s="254"/>
      <c r="H5" s="254"/>
      <c r="I5" s="254"/>
      <c r="J5" s="255" t="e">
        <f ca="1">IFERROR(INDEX(INDIRECT(""&amp;J$3&amp;"!$D$3:$BZ$130"),MATCH($J$4,INDIRECT(""&amp;J$3&amp;"!$B$3:$B$130"),0),MATCH(A5,INDIRECT(""&amp;J$3&amp;"!$D$2:$BZ$2"),0)),NA())</f>
        <v>#N/A</v>
      </c>
      <c r="K5" s="256"/>
      <c r="L5" s="256"/>
      <c r="M5" s="257"/>
      <c r="N5" s="258" t="e">
        <f t="shared" ref="N5:N68" ca="1" si="0">IFERROR(INDEX(INDIRECT(""&amp;N$3&amp;"!$D$3:$BZ$90"),MATCH($N$4,INDIRECT(""&amp;N$3&amp;"!$B$3:$B$90"),0),MATCH(A5,INDIRECT(""&amp;N$3&amp;"!$D$2:$BZ$2"),0)),NA())</f>
        <v>#N/A</v>
      </c>
      <c r="R5" s="244" t="e">
        <f ca="1">IFERROR(INDEX(INDIRECT(""&amp;R$3&amp;"!$D$3:$BZ$90"),MATCH($R$4,INDIRECT(""&amp;R$3&amp;"!$B$3:$B$90"),0),MATCH(A5,INDIRECT(""&amp;R$3&amp;"!$D$2:$BZ$2"),0)),NA())</f>
        <v>#N/A</v>
      </c>
      <c r="V5" s="244" t="e">
        <f ca="1">IFERROR(INDEX(INDIRECT(""&amp;V$3&amp;"!$D$3:$BZ$90"),MATCH($V$4,INDIRECT(""&amp;V$3&amp;"!$B$3:$B$90"),0),MATCH(A5,INDIRECT(""&amp;V$3&amp;"!$D$2:$BZ$2"),0)),NA())</f>
        <v>#N/A</v>
      </c>
      <c r="Z5" s="260">
        <f>AE10</f>
        <v>7.1999999999999995E-2</v>
      </c>
      <c r="AA5" s="261">
        <f>AE8+AE9</f>
        <v>6.0000000000000001E-3</v>
      </c>
    </row>
    <row r="6" spans="1:31" x14ac:dyDescent="0.35">
      <c r="A6" s="251">
        <v>42036</v>
      </c>
      <c r="B6" s="252" t="e">
        <f t="shared" ref="B6:B69" ca="1" si="1">IFERROR(INDEX(INDIRECT(""&amp;B$3&amp;"!$D$3:$BZ$130"),MATCH($B$4,INDIRECT(""&amp;B$3&amp;"!$B$3:$B$130"),0),MATCH(A6,INDIRECT(""&amp;B$3&amp;"!$D$2:$BZ$2"),0)),NA())</f>
        <v>#N/A</v>
      </c>
      <c r="C6" s="253"/>
      <c r="D6" s="253"/>
      <c r="E6" s="253"/>
      <c r="F6" s="254" t="e">
        <f t="shared" ref="F6:F69" ca="1" si="2">IFERROR(INDEX(INDIRECT(""&amp;F$3&amp;"!$D$3:$BZ$130"),MATCH($F$4,INDIRECT(""&amp;F$3&amp;"!$B$3:$B$130"),0),MATCH(A6,INDIRECT(""&amp;F$3&amp;"!$D$2:$BZ$2"),0)),NA())</f>
        <v>#N/A</v>
      </c>
      <c r="G6" s="262"/>
      <c r="H6" s="262"/>
      <c r="I6" s="262"/>
      <c r="J6" s="255" t="e">
        <f t="shared" ref="J6:J69" ca="1" si="3">IFERROR(INDEX(INDIRECT(""&amp;J$3&amp;"!$D$3:$BZ$130"),MATCH($J$4,INDIRECT(""&amp;J$3&amp;"!$B$3:$B$130"),0),MATCH(A6,INDIRECT(""&amp;J$3&amp;"!$D$2:$BZ$2"),0)),NA())</f>
        <v>#N/A</v>
      </c>
      <c r="K6" s="256"/>
      <c r="L6" s="256"/>
      <c r="M6" s="257"/>
      <c r="N6" s="258" t="e">
        <f t="shared" ca="1" si="0"/>
        <v>#N/A</v>
      </c>
      <c r="R6" s="244" t="e">
        <f t="shared" ref="R6:R42" ca="1" si="4">IFERROR(INDEX(INDIRECT(""&amp;R$3&amp;"!$D$3:$BZ$90"),MATCH($R$4,INDIRECT(""&amp;R$3&amp;"!$B$3:$B$90"),0),MATCH(A6,INDIRECT(""&amp;R$3&amp;"!$D$2:$BZ$2"),0)),NA())</f>
        <v>#N/A</v>
      </c>
      <c r="V6" s="244" t="e">
        <f t="shared" ref="V6:V69" ca="1" si="5">IFERROR(INDEX(INDIRECT(""&amp;V$3&amp;"!$D$3:$BZ$90"),MATCH($V$4,INDIRECT(""&amp;V$3&amp;"!$B$3:$B$90"),0),MATCH(A6,INDIRECT(""&amp;V$3&amp;"!$D$2:$BZ$2"),0)),NA())</f>
        <v>#N/A</v>
      </c>
      <c r="Z6" s="263">
        <f>Z5</f>
        <v>7.1999999999999995E-2</v>
      </c>
      <c r="AA6" s="264">
        <f>AA5</f>
        <v>6.0000000000000001E-3</v>
      </c>
      <c r="AD6" s="265" t="str">
        <f>'Output&amp;Input'!A173</f>
        <v>Trigger</v>
      </c>
      <c r="AE6" s="266" t="str">
        <f>'Output&amp;Input'!D5</f>
        <v>Da Qin</v>
      </c>
    </row>
    <row r="7" spans="1:31" ht="18.75" customHeight="1" x14ac:dyDescent="0.35">
      <c r="A7" s="251">
        <v>42064</v>
      </c>
      <c r="B7" s="252" t="e">
        <f t="shared" ca="1" si="1"/>
        <v>#N/A</v>
      </c>
      <c r="C7" s="253"/>
      <c r="D7" s="253"/>
      <c r="E7" s="253"/>
      <c r="F7" s="254" t="e">
        <f t="shared" ca="1" si="2"/>
        <v>#N/A</v>
      </c>
      <c r="G7" s="254"/>
      <c r="H7" s="254"/>
      <c r="I7" s="254"/>
      <c r="J7" s="255" t="e">
        <f t="shared" ca="1" si="3"/>
        <v>#N/A</v>
      </c>
      <c r="K7" s="267"/>
      <c r="L7" s="267"/>
      <c r="M7" s="268"/>
      <c r="N7" s="258" t="e">
        <f t="shared" ca="1" si="0"/>
        <v>#N/A</v>
      </c>
      <c r="O7" s="269"/>
      <c r="P7" s="269"/>
      <c r="Q7" s="269"/>
      <c r="R7" s="244" t="e">
        <f t="shared" ca="1" si="4"/>
        <v>#N/A</v>
      </c>
      <c r="S7" s="270"/>
      <c r="T7" s="270"/>
      <c r="U7" s="270"/>
      <c r="V7" s="244" t="e">
        <f t="shared" ca="1" si="5"/>
        <v>#N/A</v>
      </c>
      <c r="W7" s="271"/>
      <c r="Z7" s="263">
        <f t="shared" ref="Z7:AA22" si="6">Z6</f>
        <v>7.1999999999999995E-2</v>
      </c>
      <c r="AA7" s="264">
        <f t="shared" si="6"/>
        <v>6.0000000000000001E-3</v>
      </c>
      <c r="AD7" s="272"/>
      <c r="AE7" s="274" t="str">
        <f>'Output&amp;Input'!D4</f>
        <v>OffCN</v>
      </c>
    </row>
    <row r="8" spans="1:31" ht="18.75" customHeight="1" x14ac:dyDescent="0.35">
      <c r="A8" s="251">
        <v>42095</v>
      </c>
      <c r="B8" s="252" t="e">
        <f t="shared" ca="1" si="1"/>
        <v>#N/A</v>
      </c>
      <c r="C8" s="253"/>
      <c r="D8" s="253"/>
      <c r="E8" s="253"/>
      <c r="F8" s="254" t="e">
        <f t="shared" ca="1" si="2"/>
        <v>#N/A</v>
      </c>
      <c r="G8" s="262"/>
      <c r="H8" s="262"/>
      <c r="I8" s="275"/>
      <c r="J8" s="255" t="e">
        <f t="shared" ca="1" si="3"/>
        <v>#N/A</v>
      </c>
      <c r="K8" s="267"/>
      <c r="L8" s="267"/>
      <c r="M8" s="268"/>
      <c r="N8" s="258" t="e">
        <f t="shared" ca="1" si="0"/>
        <v>#N/A</v>
      </c>
      <c r="O8" s="269"/>
      <c r="P8" s="269"/>
      <c r="Q8" s="269"/>
      <c r="R8" s="244" t="e">
        <f t="shared" ca="1" si="4"/>
        <v>#N/A</v>
      </c>
      <c r="S8" s="276"/>
      <c r="T8" s="277"/>
      <c r="U8" s="277"/>
      <c r="V8" s="244" t="e">
        <f t="shared" ca="1" si="5"/>
        <v>#N/A</v>
      </c>
      <c r="Z8" s="263">
        <f t="shared" si="6"/>
        <v>7.1999999999999995E-2</v>
      </c>
      <c r="AA8" s="264">
        <f t="shared" si="6"/>
        <v>6.0000000000000001E-3</v>
      </c>
      <c r="AD8" s="273" t="s">
        <v>147</v>
      </c>
      <c r="AE8" s="278">
        <f>'Output&amp;Input'!D13</f>
        <v>0</v>
      </c>
    </row>
    <row r="9" spans="1:31" x14ac:dyDescent="0.35">
      <c r="A9" s="251">
        <v>42125</v>
      </c>
      <c r="B9" s="252" t="e">
        <f t="shared" ca="1" si="1"/>
        <v>#N/A</v>
      </c>
      <c r="C9" s="253"/>
      <c r="D9" s="253"/>
      <c r="E9" s="253"/>
      <c r="F9" s="254" t="e">
        <f t="shared" ca="1" si="2"/>
        <v>#N/A</v>
      </c>
      <c r="G9" s="254"/>
      <c r="H9" s="254"/>
      <c r="I9" s="254"/>
      <c r="J9" s="255" t="e">
        <f t="shared" ca="1" si="3"/>
        <v>#N/A</v>
      </c>
      <c r="K9" s="256"/>
      <c r="L9" s="256"/>
      <c r="M9" s="257"/>
      <c r="N9" s="258" t="e">
        <f t="shared" ca="1" si="0"/>
        <v>#N/A</v>
      </c>
      <c r="R9" s="244" t="e">
        <f t="shared" ca="1" si="4"/>
        <v>#N/A</v>
      </c>
      <c r="S9" s="276"/>
      <c r="T9" s="277"/>
      <c r="U9" s="277"/>
      <c r="V9" s="244" t="e">
        <f t="shared" ca="1" si="5"/>
        <v>#N/A</v>
      </c>
      <c r="Z9" s="263">
        <f t="shared" si="6"/>
        <v>7.1999999999999995E-2</v>
      </c>
      <c r="AA9" s="264">
        <f t="shared" si="6"/>
        <v>6.0000000000000001E-3</v>
      </c>
      <c r="AD9" s="273" t="s">
        <v>148</v>
      </c>
      <c r="AE9" s="279">
        <f>'Output&amp;Input'!D11</f>
        <v>6.0000000000000001E-3</v>
      </c>
    </row>
    <row r="10" spans="1:31" x14ac:dyDescent="0.35">
      <c r="A10" s="251">
        <v>42156</v>
      </c>
      <c r="B10" s="252" t="e">
        <f t="shared" ca="1" si="1"/>
        <v>#N/A</v>
      </c>
      <c r="C10" s="253"/>
      <c r="D10" s="253"/>
      <c r="E10" s="253"/>
      <c r="F10" s="254" t="e">
        <f t="shared" ca="1" si="2"/>
        <v>#N/A</v>
      </c>
      <c r="G10" s="262"/>
      <c r="H10" s="262"/>
      <c r="I10" s="262"/>
      <c r="J10" s="255" t="e">
        <f t="shared" ca="1" si="3"/>
        <v>#N/A</v>
      </c>
      <c r="K10" s="256"/>
      <c r="L10" s="256"/>
      <c r="M10" s="257"/>
      <c r="N10" s="258" t="e">
        <f t="shared" ca="1" si="0"/>
        <v>#N/A</v>
      </c>
      <c r="R10" s="244" t="e">
        <f t="shared" ca="1" si="4"/>
        <v>#N/A</v>
      </c>
      <c r="S10" s="276"/>
      <c r="T10" s="277"/>
      <c r="U10" s="277"/>
      <c r="V10" s="244" t="e">
        <f t="shared" ca="1" si="5"/>
        <v>#N/A</v>
      </c>
      <c r="Z10" s="263">
        <f t="shared" si="6"/>
        <v>7.1999999999999995E-2</v>
      </c>
      <c r="AA10" s="264">
        <f t="shared" si="6"/>
        <v>6.0000000000000001E-3</v>
      </c>
      <c r="AD10" s="273" t="str">
        <f>'Output&amp;Input'!A176</f>
        <v>Yield Kbank</v>
      </c>
      <c r="AE10" s="278">
        <f>'Output&amp;Input'!D10</f>
        <v>7.1999999999999995E-2</v>
      </c>
    </row>
    <row r="11" spans="1:31" x14ac:dyDescent="0.35">
      <c r="A11" s="251">
        <v>42186</v>
      </c>
      <c r="B11" s="252" t="e">
        <f t="shared" ca="1" si="1"/>
        <v>#N/A</v>
      </c>
      <c r="C11" s="253"/>
      <c r="D11" s="253"/>
      <c r="E11" s="253"/>
      <c r="F11" s="254" t="e">
        <f t="shared" ca="1" si="2"/>
        <v>#N/A</v>
      </c>
      <c r="G11" s="254"/>
      <c r="H11" s="254"/>
      <c r="I11" s="254"/>
      <c r="J11" s="255" t="e">
        <f t="shared" ca="1" si="3"/>
        <v>#N/A</v>
      </c>
      <c r="K11" s="256"/>
      <c r="L11" s="256"/>
      <c r="M11" s="257"/>
      <c r="N11" s="258" t="e">
        <f t="shared" ca="1" si="0"/>
        <v>#N/A</v>
      </c>
      <c r="R11" s="244" t="e">
        <f t="shared" ca="1" si="4"/>
        <v>#N/A</v>
      </c>
      <c r="S11" s="276"/>
      <c r="T11" s="277"/>
      <c r="U11" s="277"/>
      <c r="V11" s="244" t="e">
        <f t="shared" ca="1" si="5"/>
        <v>#N/A</v>
      </c>
      <c r="Z11" s="263">
        <f t="shared" si="6"/>
        <v>7.1999999999999995E-2</v>
      </c>
      <c r="AA11" s="264">
        <f t="shared" si="6"/>
        <v>6.0000000000000001E-3</v>
      </c>
    </row>
    <row r="12" spans="1:31" x14ac:dyDescent="0.35">
      <c r="A12" s="251">
        <v>42217</v>
      </c>
      <c r="B12" s="252" t="e">
        <f t="shared" ca="1" si="1"/>
        <v>#N/A</v>
      </c>
      <c r="C12" s="253"/>
      <c r="D12" s="253"/>
      <c r="E12" s="253"/>
      <c r="F12" s="254" t="e">
        <f t="shared" ca="1" si="2"/>
        <v>#N/A</v>
      </c>
      <c r="G12" s="262"/>
      <c r="H12" s="262"/>
      <c r="I12" s="262"/>
      <c r="J12" s="255" t="e">
        <f t="shared" ca="1" si="3"/>
        <v>#N/A</v>
      </c>
      <c r="K12" s="256"/>
      <c r="L12" s="256"/>
      <c r="M12" s="257"/>
      <c r="N12" s="258" t="e">
        <f t="shared" ca="1" si="0"/>
        <v>#N/A</v>
      </c>
      <c r="R12" s="244" t="e">
        <f t="shared" ca="1" si="4"/>
        <v>#N/A</v>
      </c>
      <c r="S12" s="276"/>
      <c r="T12" s="277"/>
      <c r="U12" s="277"/>
      <c r="V12" s="244" t="e">
        <f t="shared" ca="1" si="5"/>
        <v>#N/A</v>
      </c>
      <c r="Z12" s="263">
        <f t="shared" si="6"/>
        <v>7.1999999999999995E-2</v>
      </c>
      <c r="AA12" s="264">
        <f t="shared" si="6"/>
        <v>6.0000000000000001E-3</v>
      </c>
    </row>
    <row r="13" spans="1:31" x14ac:dyDescent="0.35">
      <c r="A13" s="251">
        <v>42248</v>
      </c>
      <c r="B13" s="252" t="e">
        <f t="shared" ca="1" si="1"/>
        <v>#N/A</v>
      </c>
      <c r="C13" s="253"/>
      <c r="D13" s="253"/>
      <c r="E13" s="253"/>
      <c r="F13" s="254" t="e">
        <f t="shared" ca="1" si="2"/>
        <v>#N/A</v>
      </c>
      <c r="G13" s="254"/>
      <c r="H13" s="254"/>
      <c r="I13" s="254"/>
      <c r="J13" s="255" t="e">
        <f t="shared" ca="1" si="3"/>
        <v>#N/A</v>
      </c>
      <c r="K13" s="256"/>
      <c r="L13" s="256"/>
      <c r="M13" s="257"/>
      <c r="N13" s="258" t="e">
        <f t="shared" ca="1" si="0"/>
        <v>#N/A</v>
      </c>
      <c r="R13" s="244" t="e">
        <f t="shared" ca="1" si="4"/>
        <v>#N/A</v>
      </c>
      <c r="S13" s="276"/>
      <c r="T13" s="277"/>
      <c r="U13" s="277"/>
      <c r="V13" s="244" t="e">
        <f t="shared" ca="1" si="5"/>
        <v>#N/A</v>
      </c>
      <c r="Z13" s="263">
        <f t="shared" si="6"/>
        <v>7.1999999999999995E-2</v>
      </c>
      <c r="AA13" s="264">
        <f t="shared" si="6"/>
        <v>6.0000000000000001E-3</v>
      </c>
    </row>
    <row r="14" spans="1:31" x14ac:dyDescent="0.35">
      <c r="A14" s="251">
        <v>42278</v>
      </c>
      <c r="B14" s="252" t="e">
        <f t="shared" ca="1" si="1"/>
        <v>#N/A</v>
      </c>
      <c r="C14" s="253"/>
      <c r="D14" s="253"/>
      <c r="E14" s="253"/>
      <c r="F14" s="254" t="e">
        <f t="shared" ca="1" si="2"/>
        <v>#N/A</v>
      </c>
      <c r="G14" s="262"/>
      <c r="H14" s="262"/>
      <c r="I14" s="262"/>
      <c r="J14" s="255" t="e">
        <f t="shared" ca="1" si="3"/>
        <v>#N/A</v>
      </c>
      <c r="K14" s="256"/>
      <c r="L14" s="256"/>
      <c r="M14" s="257"/>
      <c r="N14" s="258" t="e">
        <f t="shared" ca="1" si="0"/>
        <v>#N/A</v>
      </c>
      <c r="R14" s="244" t="e">
        <f t="shared" ca="1" si="4"/>
        <v>#N/A</v>
      </c>
      <c r="S14" s="276"/>
      <c r="T14" s="277"/>
      <c r="U14" s="277"/>
      <c r="V14" s="244" t="e">
        <f t="shared" ca="1" si="5"/>
        <v>#N/A</v>
      </c>
      <c r="Z14" s="263">
        <f t="shared" si="6"/>
        <v>7.1999999999999995E-2</v>
      </c>
      <c r="AA14" s="264">
        <f t="shared" si="6"/>
        <v>6.0000000000000001E-3</v>
      </c>
    </row>
    <row r="15" spans="1:31" x14ac:dyDescent="0.35">
      <c r="A15" s="251">
        <v>42309</v>
      </c>
      <c r="B15" s="252" t="e">
        <f t="shared" ca="1" si="1"/>
        <v>#N/A</v>
      </c>
      <c r="C15" s="253"/>
      <c r="D15" s="253"/>
      <c r="E15" s="253"/>
      <c r="F15" s="254" t="e">
        <f t="shared" ca="1" si="2"/>
        <v>#N/A</v>
      </c>
      <c r="G15" s="254"/>
      <c r="H15" s="254"/>
      <c r="I15" s="254"/>
      <c r="J15" s="255" t="e">
        <f t="shared" ca="1" si="3"/>
        <v>#N/A</v>
      </c>
      <c r="K15" s="256"/>
      <c r="L15" s="256"/>
      <c r="M15" s="257"/>
      <c r="N15" s="258" t="e">
        <f t="shared" ca="1" si="0"/>
        <v>#N/A</v>
      </c>
      <c r="R15" s="244" t="e">
        <f t="shared" ca="1" si="4"/>
        <v>#N/A</v>
      </c>
      <c r="S15" s="276"/>
      <c r="T15" s="277"/>
      <c r="U15" s="277"/>
      <c r="V15" s="244" t="e">
        <f t="shared" ca="1" si="5"/>
        <v>#N/A</v>
      </c>
      <c r="Z15" s="263">
        <f t="shared" si="6"/>
        <v>7.1999999999999995E-2</v>
      </c>
      <c r="AA15" s="264">
        <f t="shared" si="6"/>
        <v>6.0000000000000001E-3</v>
      </c>
    </row>
    <row r="16" spans="1:31" x14ac:dyDescent="0.35">
      <c r="A16" s="251">
        <v>42339</v>
      </c>
      <c r="B16" s="252" t="e">
        <f t="shared" ca="1" si="1"/>
        <v>#N/A</v>
      </c>
      <c r="C16" s="253"/>
      <c r="D16" s="253"/>
      <c r="E16" s="253"/>
      <c r="F16" s="254" t="e">
        <f t="shared" ca="1" si="2"/>
        <v>#N/A</v>
      </c>
      <c r="G16" s="262"/>
      <c r="H16" s="262"/>
      <c r="I16" s="262"/>
      <c r="J16" s="255" t="e">
        <f t="shared" ca="1" si="3"/>
        <v>#N/A</v>
      </c>
      <c r="K16" s="256"/>
      <c r="L16" s="256"/>
      <c r="M16" s="257"/>
      <c r="N16" s="258" t="e">
        <f t="shared" ca="1" si="0"/>
        <v>#N/A</v>
      </c>
      <c r="O16" s="280"/>
      <c r="R16" s="244" t="e">
        <f t="shared" ca="1" si="4"/>
        <v>#N/A</v>
      </c>
      <c r="S16" s="276"/>
      <c r="T16" s="277"/>
      <c r="U16" s="277"/>
      <c r="V16" s="244" t="e">
        <f t="shared" ca="1" si="5"/>
        <v>#N/A</v>
      </c>
      <c r="Z16" s="263">
        <f t="shared" si="6"/>
        <v>7.1999999999999995E-2</v>
      </c>
      <c r="AA16" s="264">
        <f t="shared" si="6"/>
        <v>6.0000000000000001E-3</v>
      </c>
    </row>
    <row r="17" spans="1:27" x14ac:dyDescent="0.35">
      <c r="A17" s="251">
        <v>42370</v>
      </c>
      <c r="B17" s="252" t="e">
        <f t="shared" ca="1" si="1"/>
        <v>#N/A</v>
      </c>
      <c r="C17" s="252"/>
      <c r="D17" s="252"/>
      <c r="E17" s="252"/>
      <c r="F17" s="254" t="e">
        <f t="shared" ca="1" si="2"/>
        <v>#N/A</v>
      </c>
      <c r="G17" s="254"/>
      <c r="H17" s="254"/>
      <c r="I17" s="254"/>
      <c r="J17" s="255" t="e">
        <f t="shared" ca="1" si="3"/>
        <v>#N/A</v>
      </c>
      <c r="K17" s="256"/>
      <c r="L17" s="256"/>
      <c r="M17" s="257"/>
      <c r="N17" s="258" t="e">
        <f t="shared" ca="1" si="0"/>
        <v>#N/A</v>
      </c>
      <c r="R17" s="244" t="e">
        <f t="shared" ca="1" si="4"/>
        <v>#N/A</v>
      </c>
      <c r="S17" s="276"/>
      <c r="T17" s="277"/>
      <c r="U17" s="277"/>
      <c r="V17" s="244" t="e">
        <f t="shared" ca="1" si="5"/>
        <v>#N/A</v>
      </c>
      <c r="Z17" s="263">
        <f t="shared" si="6"/>
        <v>7.1999999999999995E-2</v>
      </c>
      <c r="AA17" s="264">
        <f t="shared" si="6"/>
        <v>6.0000000000000001E-3</v>
      </c>
    </row>
    <row r="18" spans="1:27" x14ac:dyDescent="0.35">
      <c r="A18" s="251">
        <v>42401</v>
      </c>
      <c r="B18" s="252" t="e">
        <f t="shared" ca="1" si="1"/>
        <v>#N/A</v>
      </c>
      <c r="C18" s="252"/>
      <c r="D18" s="252"/>
      <c r="E18" s="252"/>
      <c r="F18" s="254" t="e">
        <f t="shared" ca="1" si="2"/>
        <v>#N/A</v>
      </c>
      <c r="G18" s="262"/>
      <c r="H18" s="262"/>
      <c r="I18" s="262"/>
      <c r="J18" s="255" t="e">
        <f t="shared" ca="1" si="3"/>
        <v>#N/A</v>
      </c>
      <c r="K18" s="256"/>
      <c r="L18" s="256"/>
      <c r="M18" s="257"/>
      <c r="N18" s="258" t="e">
        <f t="shared" ca="1" si="0"/>
        <v>#N/A</v>
      </c>
      <c r="R18" s="244" t="e">
        <f t="shared" ca="1" si="4"/>
        <v>#N/A</v>
      </c>
      <c r="S18" s="276"/>
      <c r="T18" s="277"/>
      <c r="U18" s="277"/>
      <c r="V18" s="244" t="e">
        <f t="shared" ca="1" si="5"/>
        <v>#N/A</v>
      </c>
      <c r="Z18" s="263">
        <f t="shared" si="6"/>
        <v>7.1999999999999995E-2</v>
      </c>
      <c r="AA18" s="264">
        <f t="shared" si="6"/>
        <v>6.0000000000000001E-3</v>
      </c>
    </row>
    <row r="19" spans="1:27" x14ac:dyDescent="0.35">
      <c r="A19" s="251">
        <v>42430</v>
      </c>
      <c r="B19" s="252" t="e">
        <f t="shared" ca="1" si="1"/>
        <v>#N/A</v>
      </c>
      <c r="C19" s="252"/>
      <c r="D19" s="252"/>
      <c r="E19" s="252"/>
      <c r="F19" s="254" t="e">
        <f t="shared" ca="1" si="2"/>
        <v>#N/A</v>
      </c>
      <c r="G19" s="254"/>
      <c r="H19" s="254"/>
      <c r="I19" s="254"/>
      <c r="J19" s="255" t="e">
        <f t="shared" ca="1" si="3"/>
        <v>#N/A</v>
      </c>
      <c r="K19" s="256"/>
      <c r="L19" s="256"/>
      <c r="M19" s="257"/>
      <c r="N19" s="258" t="e">
        <f t="shared" ca="1" si="0"/>
        <v>#N/A</v>
      </c>
      <c r="R19" s="244" t="e">
        <f t="shared" ca="1" si="4"/>
        <v>#N/A</v>
      </c>
      <c r="S19" s="276"/>
      <c r="T19" s="277"/>
      <c r="U19" s="277"/>
      <c r="V19" s="244" t="e">
        <f t="shared" ca="1" si="5"/>
        <v>#N/A</v>
      </c>
      <c r="Z19" s="263">
        <f t="shared" si="6"/>
        <v>7.1999999999999995E-2</v>
      </c>
      <c r="AA19" s="264">
        <f t="shared" si="6"/>
        <v>6.0000000000000001E-3</v>
      </c>
    </row>
    <row r="20" spans="1:27" x14ac:dyDescent="0.35">
      <c r="A20" s="251">
        <v>42461</v>
      </c>
      <c r="B20" s="252" t="e">
        <f t="shared" ca="1" si="1"/>
        <v>#N/A</v>
      </c>
      <c r="C20" s="252"/>
      <c r="D20" s="252"/>
      <c r="E20" s="252"/>
      <c r="F20" s="254" t="e">
        <f t="shared" ca="1" si="2"/>
        <v>#N/A</v>
      </c>
      <c r="G20" s="262"/>
      <c r="H20" s="262"/>
      <c r="I20" s="262"/>
      <c r="J20" s="255" t="e">
        <f t="shared" ca="1" si="3"/>
        <v>#N/A</v>
      </c>
      <c r="K20" s="256"/>
      <c r="L20" s="256"/>
      <c r="M20" s="257"/>
      <c r="N20" s="258" t="e">
        <f t="shared" ca="1" si="0"/>
        <v>#N/A</v>
      </c>
      <c r="R20" s="244" t="e">
        <f t="shared" ca="1" si="4"/>
        <v>#N/A</v>
      </c>
      <c r="S20" s="276"/>
      <c r="T20" s="277"/>
      <c r="U20" s="277"/>
      <c r="V20" s="244" t="e">
        <f t="shared" ca="1" si="5"/>
        <v>#N/A</v>
      </c>
      <c r="Z20" s="263">
        <f t="shared" si="6"/>
        <v>7.1999999999999995E-2</v>
      </c>
      <c r="AA20" s="264">
        <f t="shared" si="6"/>
        <v>6.0000000000000001E-3</v>
      </c>
    </row>
    <row r="21" spans="1:27" x14ac:dyDescent="0.35">
      <c r="A21" s="251">
        <v>42491</v>
      </c>
      <c r="B21" s="252" t="e">
        <f t="shared" ca="1" si="1"/>
        <v>#N/A</v>
      </c>
      <c r="C21" s="252"/>
      <c r="D21" s="252"/>
      <c r="E21" s="252"/>
      <c r="F21" s="254" t="e">
        <f t="shared" ca="1" si="2"/>
        <v>#N/A</v>
      </c>
      <c r="G21" s="254"/>
      <c r="H21" s="254"/>
      <c r="I21" s="254"/>
      <c r="J21" s="255" t="e">
        <f t="shared" ca="1" si="3"/>
        <v>#N/A</v>
      </c>
      <c r="K21" s="256"/>
      <c r="L21" s="256"/>
      <c r="M21" s="257"/>
      <c r="N21" s="258" t="e">
        <f t="shared" ca="1" si="0"/>
        <v>#N/A</v>
      </c>
      <c r="R21" s="244" t="e">
        <f t="shared" ca="1" si="4"/>
        <v>#N/A</v>
      </c>
      <c r="S21" s="276"/>
      <c r="T21" s="277"/>
      <c r="U21" s="277"/>
      <c r="V21" s="244" t="e">
        <f t="shared" ca="1" si="5"/>
        <v>#N/A</v>
      </c>
      <c r="Z21" s="263">
        <f t="shared" si="6"/>
        <v>7.1999999999999995E-2</v>
      </c>
      <c r="AA21" s="264">
        <f t="shared" si="6"/>
        <v>6.0000000000000001E-3</v>
      </c>
    </row>
    <row r="22" spans="1:27" x14ac:dyDescent="0.35">
      <c r="A22" s="251">
        <v>42522</v>
      </c>
      <c r="B22" s="252" t="e">
        <f t="shared" ca="1" si="1"/>
        <v>#N/A</v>
      </c>
      <c r="C22" s="252"/>
      <c r="D22" s="252"/>
      <c r="E22" s="252"/>
      <c r="F22" s="254" t="e">
        <f t="shared" ca="1" si="2"/>
        <v>#N/A</v>
      </c>
      <c r="G22" s="262"/>
      <c r="H22" s="262"/>
      <c r="I22" s="262"/>
      <c r="J22" s="255" t="e">
        <f t="shared" ca="1" si="3"/>
        <v>#N/A</v>
      </c>
      <c r="K22" s="256"/>
      <c r="L22" s="256"/>
      <c r="M22" s="257"/>
      <c r="N22" s="258" t="e">
        <f t="shared" ca="1" si="0"/>
        <v>#N/A</v>
      </c>
      <c r="R22" s="244" t="e">
        <f t="shared" ca="1" si="4"/>
        <v>#N/A</v>
      </c>
      <c r="S22" s="276"/>
      <c r="T22" s="277"/>
      <c r="U22" s="277"/>
      <c r="V22" s="244" t="e">
        <f t="shared" ca="1" si="5"/>
        <v>#N/A</v>
      </c>
      <c r="Z22" s="263">
        <f t="shared" si="6"/>
        <v>7.1999999999999995E-2</v>
      </c>
      <c r="AA22" s="264">
        <f t="shared" si="6"/>
        <v>6.0000000000000001E-3</v>
      </c>
    </row>
    <row r="23" spans="1:27" x14ac:dyDescent="0.35">
      <c r="A23" s="251">
        <v>42552</v>
      </c>
      <c r="B23" s="252" t="e">
        <f t="shared" ca="1" si="1"/>
        <v>#N/A</v>
      </c>
      <c r="C23" s="252"/>
      <c r="D23" s="252"/>
      <c r="E23" s="252"/>
      <c r="F23" s="254" t="e">
        <f t="shared" ca="1" si="2"/>
        <v>#N/A</v>
      </c>
      <c r="G23" s="254"/>
      <c r="H23" s="254"/>
      <c r="I23" s="254"/>
      <c r="J23" s="255" t="e">
        <f t="shared" ca="1" si="3"/>
        <v>#N/A</v>
      </c>
      <c r="K23" s="256"/>
      <c r="L23" s="256"/>
      <c r="M23" s="257"/>
      <c r="N23" s="258" t="e">
        <f t="shared" ca="1" si="0"/>
        <v>#N/A</v>
      </c>
      <c r="R23" s="244" t="e">
        <f t="shared" ca="1" si="4"/>
        <v>#N/A</v>
      </c>
      <c r="S23" s="276"/>
      <c r="T23" s="277"/>
      <c r="U23" s="277"/>
      <c r="V23" s="244" t="e">
        <f t="shared" ca="1" si="5"/>
        <v>#N/A</v>
      </c>
      <c r="Z23" s="263">
        <f t="shared" ref="Z23:AA38" si="7">Z22</f>
        <v>7.1999999999999995E-2</v>
      </c>
      <c r="AA23" s="264">
        <f t="shared" si="7"/>
        <v>6.0000000000000001E-3</v>
      </c>
    </row>
    <row r="24" spans="1:27" x14ac:dyDescent="0.35">
      <c r="A24" s="251">
        <v>42583</v>
      </c>
      <c r="B24" s="252" t="e">
        <f t="shared" ca="1" si="1"/>
        <v>#N/A</v>
      </c>
      <c r="C24" s="252"/>
      <c r="D24" s="252"/>
      <c r="E24" s="252"/>
      <c r="F24" s="254" t="e">
        <f t="shared" ca="1" si="2"/>
        <v>#N/A</v>
      </c>
      <c r="G24" s="262"/>
      <c r="H24" s="262"/>
      <c r="I24" s="262"/>
      <c r="J24" s="255" t="e">
        <f t="shared" ca="1" si="3"/>
        <v>#N/A</v>
      </c>
      <c r="K24" s="256"/>
      <c r="L24" s="256"/>
      <c r="M24" s="257"/>
      <c r="N24" s="258" t="e">
        <f t="shared" ca="1" si="0"/>
        <v>#N/A</v>
      </c>
      <c r="R24" s="244" t="e">
        <f t="shared" ca="1" si="4"/>
        <v>#N/A</v>
      </c>
      <c r="S24" s="276"/>
      <c r="T24" s="277"/>
      <c r="U24" s="277"/>
      <c r="V24" s="244" t="e">
        <f t="shared" ca="1" si="5"/>
        <v>#N/A</v>
      </c>
      <c r="Z24" s="263">
        <f t="shared" si="7"/>
        <v>7.1999999999999995E-2</v>
      </c>
      <c r="AA24" s="264">
        <f t="shared" si="7"/>
        <v>6.0000000000000001E-3</v>
      </c>
    </row>
    <row r="25" spans="1:27" x14ac:dyDescent="0.35">
      <c r="A25" s="251">
        <v>42614</v>
      </c>
      <c r="B25" s="252" t="e">
        <f t="shared" ca="1" si="1"/>
        <v>#N/A</v>
      </c>
      <c r="C25" s="252"/>
      <c r="D25" s="252"/>
      <c r="E25" s="252"/>
      <c r="F25" s="254" t="e">
        <f t="shared" ca="1" si="2"/>
        <v>#N/A</v>
      </c>
      <c r="G25" s="254"/>
      <c r="H25" s="254"/>
      <c r="I25" s="254"/>
      <c r="J25" s="255" t="e">
        <f t="shared" ca="1" si="3"/>
        <v>#N/A</v>
      </c>
      <c r="K25" s="256"/>
      <c r="L25" s="256"/>
      <c r="M25" s="257"/>
      <c r="N25" s="258" t="e">
        <f t="shared" ca="1" si="0"/>
        <v>#N/A</v>
      </c>
      <c r="R25" s="244" t="e">
        <f t="shared" ca="1" si="4"/>
        <v>#N/A</v>
      </c>
      <c r="S25" s="276"/>
      <c r="T25" s="277"/>
      <c r="U25" s="277"/>
      <c r="V25" s="244" t="e">
        <f t="shared" ca="1" si="5"/>
        <v>#N/A</v>
      </c>
      <c r="Y25" s="281"/>
      <c r="Z25" s="263">
        <f t="shared" si="7"/>
        <v>7.1999999999999995E-2</v>
      </c>
      <c r="AA25" s="264">
        <f t="shared" si="7"/>
        <v>6.0000000000000001E-3</v>
      </c>
    </row>
    <row r="26" spans="1:27" x14ac:dyDescent="0.35">
      <c r="A26" s="251">
        <v>42644</v>
      </c>
      <c r="B26" s="252" t="e">
        <f t="shared" ca="1" si="1"/>
        <v>#N/A</v>
      </c>
      <c r="C26" s="252"/>
      <c r="D26" s="252"/>
      <c r="E26" s="252"/>
      <c r="F26" s="254" t="e">
        <f t="shared" ca="1" si="2"/>
        <v>#N/A</v>
      </c>
      <c r="G26" s="262"/>
      <c r="H26" s="262"/>
      <c r="I26" s="262"/>
      <c r="J26" s="255" t="e">
        <f t="shared" ca="1" si="3"/>
        <v>#N/A</v>
      </c>
      <c r="K26" s="256"/>
      <c r="L26" s="256"/>
      <c r="M26" s="257"/>
      <c r="N26" s="258" t="e">
        <f t="shared" ca="1" si="0"/>
        <v>#N/A</v>
      </c>
      <c r="R26" s="244" t="e">
        <f t="shared" ca="1" si="4"/>
        <v>#N/A</v>
      </c>
      <c r="S26" s="276"/>
      <c r="T26" s="277"/>
      <c r="U26" s="277"/>
      <c r="V26" s="244" t="e">
        <f t="shared" ca="1" si="5"/>
        <v>#N/A</v>
      </c>
      <c r="Y26" s="283"/>
      <c r="Z26" s="263">
        <f t="shared" si="7"/>
        <v>7.1999999999999995E-2</v>
      </c>
      <c r="AA26" s="264">
        <f t="shared" si="7"/>
        <v>6.0000000000000001E-3</v>
      </c>
    </row>
    <row r="27" spans="1:27" x14ac:dyDescent="0.35">
      <c r="A27" s="251">
        <v>42675</v>
      </c>
      <c r="B27" s="252" t="e">
        <f t="shared" ca="1" si="1"/>
        <v>#N/A</v>
      </c>
      <c r="C27" s="252"/>
      <c r="D27" s="252"/>
      <c r="E27" s="252"/>
      <c r="F27" s="254" t="e">
        <f t="shared" ca="1" si="2"/>
        <v>#N/A</v>
      </c>
      <c r="G27" s="254"/>
      <c r="H27" s="254"/>
      <c r="I27" s="254"/>
      <c r="J27" s="255" t="e">
        <f t="shared" ca="1" si="3"/>
        <v>#N/A</v>
      </c>
      <c r="K27" s="256"/>
      <c r="L27" s="256"/>
      <c r="M27" s="257"/>
      <c r="N27" s="258" t="e">
        <f t="shared" ca="1" si="0"/>
        <v>#N/A</v>
      </c>
      <c r="R27" s="244" t="e">
        <f t="shared" ca="1" si="4"/>
        <v>#N/A</v>
      </c>
      <c r="S27" s="276"/>
      <c r="T27" s="277"/>
      <c r="U27" s="277"/>
      <c r="V27" s="244" t="e">
        <f t="shared" ca="1" si="5"/>
        <v>#N/A</v>
      </c>
      <c r="Y27" s="286"/>
      <c r="Z27" s="263">
        <f t="shared" si="7"/>
        <v>7.1999999999999995E-2</v>
      </c>
      <c r="AA27" s="264">
        <f t="shared" si="7"/>
        <v>6.0000000000000001E-3</v>
      </c>
    </row>
    <row r="28" spans="1:27" x14ac:dyDescent="0.35">
      <c r="A28" s="251">
        <v>42705</v>
      </c>
      <c r="B28" s="252" t="e">
        <f t="shared" ca="1" si="1"/>
        <v>#N/A</v>
      </c>
      <c r="C28" s="252"/>
      <c r="D28" s="252"/>
      <c r="E28" s="252"/>
      <c r="F28" s="254" t="e">
        <f t="shared" ca="1" si="2"/>
        <v>#N/A</v>
      </c>
      <c r="G28" s="262"/>
      <c r="H28" s="262"/>
      <c r="I28" s="262"/>
      <c r="J28" s="255" t="e">
        <f t="shared" ca="1" si="3"/>
        <v>#N/A</v>
      </c>
      <c r="K28" s="256"/>
      <c r="L28" s="256"/>
      <c r="M28" s="257"/>
      <c r="N28" s="258" t="e">
        <f t="shared" ca="1" si="0"/>
        <v>#N/A</v>
      </c>
      <c r="R28" s="244" t="e">
        <f t="shared" ca="1" si="4"/>
        <v>#N/A</v>
      </c>
      <c r="S28" s="276"/>
      <c r="T28" s="277"/>
      <c r="U28" s="277"/>
      <c r="V28" s="244" t="e">
        <f t="shared" ca="1" si="5"/>
        <v>#N/A</v>
      </c>
      <c r="Y28" s="283"/>
      <c r="Z28" s="263">
        <f t="shared" si="7"/>
        <v>7.1999999999999995E-2</v>
      </c>
      <c r="AA28" s="264">
        <f t="shared" si="7"/>
        <v>6.0000000000000001E-3</v>
      </c>
    </row>
    <row r="29" spans="1:27" x14ac:dyDescent="0.35">
      <c r="A29" s="251">
        <v>42736</v>
      </c>
      <c r="B29" s="252" t="e">
        <f t="shared" ca="1" si="1"/>
        <v>#N/A</v>
      </c>
      <c r="C29" s="252"/>
      <c r="D29" s="252"/>
      <c r="E29" s="252"/>
      <c r="F29" s="254" t="e">
        <f t="shared" ca="1" si="2"/>
        <v>#N/A</v>
      </c>
      <c r="G29" s="254"/>
      <c r="H29" s="254"/>
      <c r="I29" s="254"/>
      <c r="J29" s="255" t="e">
        <f t="shared" ca="1" si="3"/>
        <v>#N/A</v>
      </c>
      <c r="K29" s="256"/>
      <c r="L29" s="256"/>
      <c r="M29" s="257"/>
      <c r="N29" s="258" t="e">
        <f t="shared" ca="1" si="0"/>
        <v>#N/A</v>
      </c>
      <c r="R29" s="244" t="e">
        <f t="shared" ca="1" si="4"/>
        <v>#N/A</v>
      </c>
      <c r="S29" s="276"/>
      <c r="T29" s="277"/>
      <c r="U29" s="277"/>
      <c r="V29" s="244" t="e">
        <f t="shared" ca="1" si="5"/>
        <v>#N/A</v>
      </c>
      <c r="Y29" s="286"/>
      <c r="Z29" s="263">
        <f t="shared" si="7"/>
        <v>7.1999999999999995E-2</v>
      </c>
      <c r="AA29" s="264">
        <f t="shared" si="7"/>
        <v>6.0000000000000001E-3</v>
      </c>
    </row>
    <row r="30" spans="1:27" x14ac:dyDescent="0.35">
      <c r="A30" s="251">
        <v>42767</v>
      </c>
      <c r="B30" s="252" t="e">
        <f t="shared" ca="1" si="1"/>
        <v>#N/A</v>
      </c>
      <c r="C30" s="252"/>
      <c r="D30" s="252"/>
      <c r="E30" s="252"/>
      <c r="F30" s="254" t="e">
        <f t="shared" ca="1" si="2"/>
        <v>#N/A</v>
      </c>
      <c r="G30" s="262"/>
      <c r="H30" s="262"/>
      <c r="I30" s="262"/>
      <c r="J30" s="255" t="e">
        <f t="shared" ca="1" si="3"/>
        <v>#N/A</v>
      </c>
      <c r="K30" s="256"/>
      <c r="L30" s="256"/>
      <c r="M30" s="257"/>
      <c r="N30" s="258" t="e">
        <f t="shared" ca="1" si="0"/>
        <v>#N/A</v>
      </c>
      <c r="R30" s="244" t="e">
        <f t="shared" ca="1" si="4"/>
        <v>#N/A</v>
      </c>
      <c r="S30" s="276"/>
      <c r="T30" s="277"/>
      <c r="U30" s="277"/>
      <c r="V30" s="244" t="e">
        <f t="shared" ca="1" si="5"/>
        <v>#N/A</v>
      </c>
      <c r="Y30" s="283"/>
      <c r="Z30" s="263">
        <f t="shared" si="7"/>
        <v>7.1999999999999995E-2</v>
      </c>
      <c r="AA30" s="264">
        <f t="shared" si="7"/>
        <v>6.0000000000000001E-3</v>
      </c>
    </row>
    <row r="31" spans="1:27" x14ac:dyDescent="0.35">
      <c r="A31" s="251">
        <v>42795</v>
      </c>
      <c r="B31" s="252" t="e">
        <f t="shared" ca="1" si="1"/>
        <v>#N/A</v>
      </c>
      <c r="C31" s="252"/>
      <c r="D31" s="252"/>
      <c r="E31" s="252"/>
      <c r="F31" s="254" t="e">
        <f t="shared" ca="1" si="2"/>
        <v>#N/A</v>
      </c>
      <c r="G31" s="262"/>
      <c r="H31" s="254"/>
      <c r="I31" s="254"/>
      <c r="J31" s="255" t="e">
        <f t="shared" ca="1" si="3"/>
        <v>#N/A</v>
      </c>
      <c r="K31" s="252"/>
      <c r="L31" s="289"/>
      <c r="M31" s="290"/>
      <c r="N31" s="258" t="e">
        <f t="shared" ca="1" si="0"/>
        <v>#N/A</v>
      </c>
      <c r="R31" s="244" t="e">
        <f t="shared" ca="1" si="4"/>
        <v>#N/A</v>
      </c>
      <c r="S31" s="276"/>
      <c r="T31" s="277"/>
      <c r="U31" s="277"/>
      <c r="V31" s="244" t="e">
        <f t="shared" ca="1" si="5"/>
        <v>#N/A</v>
      </c>
      <c r="Y31" s="283"/>
      <c r="Z31" s="263">
        <f t="shared" si="7"/>
        <v>7.1999999999999995E-2</v>
      </c>
      <c r="AA31" s="264">
        <f t="shared" si="7"/>
        <v>6.0000000000000001E-3</v>
      </c>
    </row>
    <row r="32" spans="1:27" x14ac:dyDescent="0.35">
      <c r="A32" s="251">
        <v>42826</v>
      </c>
      <c r="B32" s="252" t="e">
        <f t="shared" ca="1" si="1"/>
        <v>#N/A</v>
      </c>
      <c r="C32" s="252"/>
      <c r="D32" s="252"/>
      <c r="E32" s="252"/>
      <c r="F32" s="254" t="e">
        <f t="shared" ca="1" si="2"/>
        <v>#N/A</v>
      </c>
      <c r="G32" s="262"/>
      <c r="H32" s="254"/>
      <c r="I32" s="254"/>
      <c r="J32" s="255" t="e">
        <f t="shared" ca="1" si="3"/>
        <v>#N/A</v>
      </c>
      <c r="K32" s="252"/>
      <c r="L32" s="289"/>
      <c r="M32" s="290"/>
      <c r="N32" s="258" t="e">
        <f t="shared" ca="1" si="0"/>
        <v>#N/A</v>
      </c>
      <c r="O32" s="253"/>
      <c r="P32" s="291"/>
      <c r="Q32" s="291"/>
      <c r="R32" s="244" t="e">
        <f t="shared" ca="1" si="4"/>
        <v>#N/A</v>
      </c>
      <c r="S32" s="276"/>
      <c r="T32" s="277"/>
      <c r="U32" s="277"/>
      <c r="V32" s="244" t="e">
        <f t="shared" ca="1" si="5"/>
        <v>#N/A</v>
      </c>
      <c r="Y32" s="283"/>
      <c r="Z32" s="263">
        <f t="shared" si="7"/>
        <v>7.1999999999999995E-2</v>
      </c>
      <c r="AA32" s="264">
        <f t="shared" si="7"/>
        <v>6.0000000000000001E-3</v>
      </c>
    </row>
    <row r="33" spans="1:40" x14ac:dyDescent="0.35">
      <c r="A33" s="251">
        <v>42856</v>
      </c>
      <c r="B33" s="252" t="e">
        <f t="shared" ca="1" si="1"/>
        <v>#N/A</v>
      </c>
      <c r="C33" s="252"/>
      <c r="D33" s="252"/>
      <c r="E33" s="252"/>
      <c r="F33" s="254" t="e">
        <f t="shared" ca="1" si="2"/>
        <v>#N/A</v>
      </c>
      <c r="G33" s="262"/>
      <c r="H33" s="254"/>
      <c r="I33" s="254"/>
      <c r="J33" s="255" t="e">
        <f t="shared" ca="1" si="3"/>
        <v>#N/A</v>
      </c>
      <c r="K33" s="252"/>
      <c r="L33" s="289"/>
      <c r="M33" s="290"/>
      <c r="N33" s="258" t="e">
        <f t="shared" ca="1" si="0"/>
        <v>#N/A</v>
      </c>
      <c r="O33" s="253"/>
      <c r="P33" s="291"/>
      <c r="Q33" s="291"/>
      <c r="R33" s="244" t="e">
        <f t="shared" ca="1" si="4"/>
        <v>#N/A</v>
      </c>
      <c r="S33" s="276"/>
      <c r="T33" s="277"/>
      <c r="U33" s="277"/>
      <c r="V33" s="244" t="e">
        <f t="shared" ca="1" si="5"/>
        <v>#N/A</v>
      </c>
      <c r="Y33" s="283"/>
      <c r="Z33" s="263">
        <f t="shared" si="7"/>
        <v>7.1999999999999995E-2</v>
      </c>
      <c r="AA33" s="264">
        <f t="shared" si="7"/>
        <v>6.0000000000000001E-3</v>
      </c>
    </row>
    <row r="34" spans="1:40" x14ac:dyDescent="0.35">
      <c r="A34" s="251">
        <v>42887</v>
      </c>
      <c r="B34" s="252" t="e">
        <f t="shared" ca="1" si="1"/>
        <v>#N/A</v>
      </c>
      <c r="C34" s="252"/>
      <c r="D34" s="252"/>
      <c r="E34" s="252"/>
      <c r="F34" s="254" t="e">
        <f t="shared" ca="1" si="2"/>
        <v>#N/A</v>
      </c>
      <c r="G34" s="262"/>
      <c r="H34" s="254"/>
      <c r="I34" s="254"/>
      <c r="J34" s="255" t="e">
        <f t="shared" ca="1" si="3"/>
        <v>#N/A</v>
      </c>
      <c r="K34" s="252"/>
      <c r="L34" s="289"/>
      <c r="M34" s="290"/>
      <c r="N34" s="258" t="e">
        <f t="shared" ca="1" si="0"/>
        <v>#N/A</v>
      </c>
      <c r="O34" s="253"/>
      <c r="P34" s="291"/>
      <c r="Q34" s="291"/>
      <c r="R34" s="244" t="e">
        <f t="shared" ca="1" si="4"/>
        <v>#N/A</v>
      </c>
      <c r="S34" s="276"/>
      <c r="T34" s="277"/>
      <c r="U34" s="277"/>
      <c r="V34" s="244" t="e">
        <f t="shared" ca="1" si="5"/>
        <v>#N/A</v>
      </c>
      <c r="Y34" s="283"/>
      <c r="Z34" s="263">
        <f t="shared" si="7"/>
        <v>7.1999999999999995E-2</v>
      </c>
      <c r="AA34" s="264">
        <f t="shared" si="7"/>
        <v>6.0000000000000001E-3</v>
      </c>
    </row>
    <row r="35" spans="1:40" x14ac:dyDescent="0.35">
      <c r="A35" s="251">
        <v>42917</v>
      </c>
      <c r="B35" s="252" t="e">
        <f t="shared" ca="1" si="1"/>
        <v>#N/A</v>
      </c>
      <c r="C35" s="252"/>
      <c r="D35" s="252"/>
      <c r="E35" s="252"/>
      <c r="F35" s="254" t="e">
        <f t="shared" ca="1" si="2"/>
        <v>#N/A</v>
      </c>
      <c r="G35" s="262"/>
      <c r="H35" s="254"/>
      <c r="I35" s="254"/>
      <c r="J35" s="255" t="e">
        <f t="shared" ca="1" si="3"/>
        <v>#N/A</v>
      </c>
      <c r="K35" s="252"/>
      <c r="L35" s="289"/>
      <c r="M35" s="290"/>
      <c r="N35" s="258" t="e">
        <f t="shared" ca="1" si="0"/>
        <v>#N/A</v>
      </c>
      <c r="O35" s="253"/>
      <c r="P35" s="291"/>
      <c r="Q35" s="291"/>
      <c r="R35" s="244" t="e">
        <f t="shared" ca="1" si="4"/>
        <v>#N/A</v>
      </c>
      <c r="S35" s="276"/>
      <c r="T35" s="277"/>
      <c r="U35" s="277"/>
      <c r="V35" s="244" t="e">
        <f t="shared" ca="1" si="5"/>
        <v>#N/A</v>
      </c>
      <c r="Y35" s="283"/>
      <c r="Z35" s="263">
        <f t="shared" si="7"/>
        <v>7.1999999999999995E-2</v>
      </c>
      <c r="AA35" s="264">
        <f t="shared" si="7"/>
        <v>6.0000000000000001E-3</v>
      </c>
      <c r="AN35" s="292"/>
    </row>
    <row r="36" spans="1:40" x14ac:dyDescent="0.35">
      <c r="A36" s="251">
        <v>42948</v>
      </c>
      <c r="B36" s="252" t="e">
        <f t="shared" ca="1" si="1"/>
        <v>#N/A</v>
      </c>
      <c r="C36" s="252"/>
      <c r="D36" s="252"/>
      <c r="E36" s="252"/>
      <c r="F36" s="254" t="e">
        <f t="shared" ca="1" si="2"/>
        <v>#N/A</v>
      </c>
      <c r="G36" s="262"/>
      <c r="H36" s="254"/>
      <c r="I36" s="254"/>
      <c r="J36" s="255" t="e">
        <f t="shared" ca="1" si="3"/>
        <v>#N/A</v>
      </c>
      <c r="K36" s="252"/>
      <c r="L36" s="289"/>
      <c r="M36" s="290"/>
      <c r="N36" s="258" t="e">
        <f t="shared" ca="1" si="0"/>
        <v>#N/A</v>
      </c>
      <c r="O36" s="253"/>
      <c r="P36" s="291"/>
      <c r="Q36" s="291"/>
      <c r="R36" s="244" t="e">
        <f t="shared" ca="1" si="4"/>
        <v>#N/A</v>
      </c>
      <c r="S36" s="276"/>
      <c r="T36" s="277"/>
      <c r="U36" s="277"/>
      <c r="V36" s="244" t="e">
        <f t="shared" ca="1" si="5"/>
        <v>#N/A</v>
      </c>
      <c r="Y36" s="283"/>
      <c r="Z36" s="263">
        <f t="shared" si="7"/>
        <v>7.1999999999999995E-2</v>
      </c>
      <c r="AA36" s="264">
        <f t="shared" si="7"/>
        <v>6.0000000000000001E-3</v>
      </c>
    </row>
    <row r="37" spans="1:40" x14ac:dyDescent="0.35">
      <c r="A37" s="251">
        <v>42979</v>
      </c>
      <c r="B37" s="252" t="e">
        <f t="shared" ca="1" si="1"/>
        <v>#N/A</v>
      </c>
      <c r="C37" s="252"/>
      <c r="D37" s="252"/>
      <c r="E37" s="252"/>
      <c r="F37" s="254" t="e">
        <f t="shared" ca="1" si="2"/>
        <v>#N/A</v>
      </c>
      <c r="G37" s="262"/>
      <c r="H37" s="254"/>
      <c r="I37" s="254"/>
      <c r="J37" s="255" t="e">
        <f t="shared" ca="1" si="3"/>
        <v>#N/A</v>
      </c>
      <c r="K37" s="252"/>
      <c r="L37" s="289"/>
      <c r="M37" s="290"/>
      <c r="N37" s="258" t="e">
        <f t="shared" ca="1" si="0"/>
        <v>#N/A</v>
      </c>
      <c r="O37" s="253"/>
      <c r="P37" s="291"/>
      <c r="Q37" s="291"/>
      <c r="R37" s="244" t="e">
        <f t="shared" ca="1" si="4"/>
        <v>#N/A</v>
      </c>
      <c r="S37" s="276"/>
      <c r="T37" s="277"/>
      <c r="U37" s="277"/>
      <c r="V37" s="244" t="e">
        <f t="shared" ca="1" si="5"/>
        <v>#N/A</v>
      </c>
      <c r="Y37" s="283"/>
      <c r="Z37" s="263">
        <f t="shared" si="7"/>
        <v>7.1999999999999995E-2</v>
      </c>
      <c r="AA37" s="264">
        <f t="shared" si="7"/>
        <v>6.0000000000000001E-3</v>
      </c>
    </row>
    <row r="38" spans="1:40" x14ac:dyDescent="0.35">
      <c r="A38" s="251">
        <v>43009</v>
      </c>
      <c r="B38" s="252" t="e">
        <f t="shared" ca="1" si="1"/>
        <v>#N/A</v>
      </c>
      <c r="C38" s="252"/>
      <c r="D38" s="252"/>
      <c r="E38" s="252"/>
      <c r="F38" s="254" t="e">
        <f t="shared" ca="1" si="2"/>
        <v>#N/A</v>
      </c>
      <c r="G38" s="262"/>
      <c r="H38" s="254"/>
      <c r="I38" s="254"/>
      <c r="J38" s="255" t="e">
        <f t="shared" ca="1" si="3"/>
        <v>#N/A</v>
      </c>
      <c r="K38" s="252"/>
      <c r="L38" s="289"/>
      <c r="M38" s="290"/>
      <c r="N38" s="258" t="e">
        <f t="shared" ca="1" si="0"/>
        <v>#N/A</v>
      </c>
      <c r="O38" s="253"/>
      <c r="P38" s="291"/>
      <c r="Q38" s="291"/>
      <c r="R38" s="244" t="e">
        <f t="shared" ca="1" si="4"/>
        <v>#N/A</v>
      </c>
      <c r="S38" s="276"/>
      <c r="T38" s="277"/>
      <c r="U38" s="277"/>
      <c r="V38" s="244" t="e">
        <f t="shared" ca="1" si="5"/>
        <v>#N/A</v>
      </c>
      <c r="Y38" s="283"/>
      <c r="Z38" s="263">
        <f t="shared" si="7"/>
        <v>7.1999999999999995E-2</v>
      </c>
      <c r="AA38" s="264">
        <f t="shared" si="7"/>
        <v>6.0000000000000001E-3</v>
      </c>
    </row>
    <row r="39" spans="1:40" x14ac:dyDescent="0.35">
      <c r="A39" s="251">
        <v>43040</v>
      </c>
      <c r="B39" s="252" t="e">
        <f t="shared" ca="1" si="1"/>
        <v>#N/A</v>
      </c>
      <c r="C39" s="252"/>
      <c r="D39" s="252"/>
      <c r="E39" s="252"/>
      <c r="F39" s="254" t="e">
        <f t="shared" ca="1" si="2"/>
        <v>#N/A</v>
      </c>
      <c r="G39" s="262"/>
      <c r="H39" s="254"/>
      <c r="I39" s="254"/>
      <c r="J39" s="255" t="e">
        <f t="shared" ca="1" si="3"/>
        <v>#N/A</v>
      </c>
      <c r="K39" s="252"/>
      <c r="L39" s="289"/>
      <c r="M39" s="290"/>
      <c r="N39" s="258" t="e">
        <f t="shared" ca="1" si="0"/>
        <v>#N/A</v>
      </c>
      <c r="O39" s="253"/>
      <c r="P39" s="291"/>
      <c r="Q39" s="291"/>
      <c r="R39" s="244" t="e">
        <f t="shared" ca="1" si="4"/>
        <v>#N/A</v>
      </c>
      <c r="S39" s="276"/>
      <c r="T39" s="277"/>
      <c r="U39" s="277"/>
      <c r="V39" s="244" t="e">
        <f t="shared" ca="1" si="5"/>
        <v>#N/A</v>
      </c>
      <c r="Y39" s="283"/>
      <c r="Z39" s="263">
        <f t="shared" ref="Z39:AA54" si="8">Z38</f>
        <v>7.1999999999999995E-2</v>
      </c>
      <c r="AA39" s="264">
        <f t="shared" si="8"/>
        <v>6.0000000000000001E-3</v>
      </c>
    </row>
    <row r="40" spans="1:40" x14ac:dyDescent="0.35">
      <c r="A40" s="251">
        <v>43070</v>
      </c>
      <c r="B40" s="252" t="e">
        <f t="shared" ca="1" si="1"/>
        <v>#N/A</v>
      </c>
      <c r="C40" s="252"/>
      <c r="D40" s="252"/>
      <c r="E40" s="252"/>
      <c r="F40" s="254" t="e">
        <f t="shared" ca="1" si="2"/>
        <v>#N/A</v>
      </c>
      <c r="G40" s="262"/>
      <c r="H40" s="254"/>
      <c r="I40" s="254"/>
      <c r="J40" s="255" t="e">
        <f t="shared" ca="1" si="3"/>
        <v>#N/A</v>
      </c>
      <c r="K40" s="252"/>
      <c r="L40" s="289"/>
      <c r="M40" s="290"/>
      <c r="N40" s="258" t="e">
        <f t="shared" ca="1" si="0"/>
        <v>#N/A</v>
      </c>
      <c r="O40" s="253"/>
      <c r="P40" s="291"/>
      <c r="Q40" s="291"/>
      <c r="R40" s="244" t="e">
        <f t="shared" ca="1" si="4"/>
        <v>#N/A</v>
      </c>
      <c r="S40" s="276"/>
      <c r="T40" s="277"/>
      <c r="U40" s="277"/>
      <c r="V40" s="244" t="e">
        <f t="shared" ca="1" si="5"/>
        <v>#N/A</v>
      </c>
      <c r="Y40" s="283"/>
      <c r="Z40" s="263">
        <f t="shared" si="8"/>
        <v>7.1999999999999995E-2</v>
      </c>
      <c r="AA40" s="264">
        <f t="shared" si="8"/>
        <v>6.0000000000000001E-3</v>
      </c>
    </row>
    <row r="41" spans="1:40" s="308" customFormat="1" x14ac:dyDescent="0.35">
      <c r="A41" s="293">
        <v>43101</v>
      </c>
      <c r="B41" s="294" t="e">
        <f t="shared" ca="1" si="1"/>
        <v>#N/A</v>
      </c>
      <c r="C41" s="294"/>
      <c r="D41" s="294"/>
      <c r="E41" s="294"/>
      <c r="F41" s="295" t="e">
        <f t="shared" ca="1" si="2"/>
        <v>#N/A</v>
      </c>
      <c r="G41" s="296"/>
      <c r="H41" s="295"/>
      <c r="I41" s="295"/>
      <c r="J41" s="294" t="e">
        <f t="shared" ca="1" si="3"/>
        <v>#N/A</v>
      </c>
      <c r="K41" s="294"/>
      <c r="L41" s="297"/>
      <c r="M41" s="298"/>
      <c r="N41" s="299" t="e">
        <f t="shared" ca="1" si="0"/>
        <v>#N/A</v>
      </c>
      <c r="O41" s="300"/>
      <c r="P41" s="301"/>
      <c r="Q41" s="301"/>
      <c r="R41" s="302" t="e">
        <f t="shared" ca="1" si="4"/>
        <v>#N/A</v>
      </c>
      <c r="S41" s="303"/>
      <c r="T41" s="304"/>
      <c r="U41" s="304"/>
      <c r="V41" s="302" t="e">
        <f t="shared" ca="1" si="5"/>
        <v>#N/A</v>
      </c>
      <c r="W41" s="302"/>
      <c r="X41" s="302"/>
      <c r="Y41" s="305"/>
      <c r="Z41" s="306">
        <f t="shared" si="8"/>
        <v>7.1999999999999995E-2</v>
      </c>
      <c r="AA41" s="307">
        <f t="shared" si="8"/>
        <v>6.0000000000000001E-3</v>
      </c>
    </row>
    <row r="42" spans="1:40" x14ac:dyDescent="0.35">
      <c r="A42" s="251">
        <v>43132</v>
      </c>
      <c r="B42" s="252" t="e">
        <f t="shared" ca="1" si="1"/>
        <v>#N/A</v>
      </c>
      <c r="C42" s="252"/>
      <c r="D42" s="252"/>
      <c r="E42" s="252"/>
      <c r="F42" s="254" t="e">
        <f t="shared" ca="1" si="2"/>
        <v>#N/A</v>
      </c>
      <c r="G42" s="262"/>
      <c r="H42" s="254"/>
      <c r="I42" s="254"/>
      <c r="J42" s="255" t="e">
        <f t="shared" ca="1" si="3"/>
        <v>#N/A</v>
      </c>
      <c r="K42" s="252"/>
      <c r="L42" s="289"/>
      <c r="M42" s="290"/>
      <c r="N42" s="258" t="e">
        <f t="shared" ca="1" si="0"/>
        <v>#N/A</v>
      </c>
      <c r="O42" s="253"/>
      <c r="P42" s="291"/>
      <c r="Q42" s="291"/>
      <c r="R42" s="244" t="e">
        <f t="shared" ca="1" si="4"/>
        <v>#N/A</v>
      </c>
      <c r="S42" s="276"/>
      <c r="T42" s="277"/>
      <c r="U42" s="277"/>
      <c r="V42" s="244" t="e">
        <f t="shared" ca="1" si="5"/>
        <v>#N/A</v>
      </c>
      <c r="Y42" s="283"/>
      <c r="Z42" s="263">
        <f t="shared" si="8"/>
        <v>7.1999999999999995E-2</v>
      </c>
      <c r="AA42" s="264">
        <f t="shared" si="8"/>
        <v>6.0000000000000001E-3</v>
      </c>
    </row>
    <row r="43" spans="1:40" s="308" customFormat="1" x14ac:dyDescent="0.35">
      <c r="A43" s="293">
        <v>43160</v>
      </c>
      <c r="B43" s="294" t="e">
        <f t="shared" ca="1" si="1"/>
        <v>#N/A</v>
      </c>
      <c r="C43" s="294"/>
      <c r="D43" s="294"/>
      <c r="E43" s="294"/>
      <c r="F43" s="295" t="e">
        <f t="shared" ca="1" si="2"/>
        <v>#N/A</v>
      </c>
      <c r="G43" s="296"/>
      <c r="H43" s="295"/>
      <c r="I43" s="295"/>
      <c r="J43" s="294" t="e">
        <f t="shared" ca="1" si="3"/>
        <v>#N/A</v>
      </c>
      <c r="K43" s="294"/>
      <c r="L43" s="297"/>
      <c r="M43" s="298"/>
      <c r="N43" s="299" t="e">
        <f t="shared" ca="1" si="0"/>
        <v>#N/A</v>
      </c>
      <c r="O43" s="300"/>
      <c r="P43" s="301"/>
      <c r="Q43" s="301"/>
      <c r="R43" s="302" t="e">
        <f ca="1">IFERROR(INDEX(INDIRECT(""&amp;R$3&amp;"!$D$3:$BZ$90"),MATCH($R$4,INDIRECT(""&amp;R$3&amp;"!$B$3:$B$90"),0),MATCH(A43,INDIRECT(""&amp;R$3&amp;"!$D$2:$BZ$2"),0))*$S$1,NA())</f>
        <v>#N/A</v>
      </c>
      <c r="S43" s="303"/>
      <c r="T43" s="304"/>
      <c r="U43" s="304"/>
      <c r="V43" s="302" t="e">
        <f t="shared" ca="1" si="5"/>
        <v>#N/A</v>
      </c>
      <c r="W43" s="302"/>
      <c r="X43" s="302"/>
      <c r="Y43" s="305"/>
      <c r="Z43" s="306">
        <f t="shared" si="8"/>
        <v>7.1999999999999995E-2</v>
      </c>
      <c r="AA43" s="307">
        <f t="shared" si="8"/>
        <v>6.0000000000000001E-3</v>
      </c>
    </row>
    <row r="44" spans="1:40" x14ac:dyDescent="0.35">
      <c r="A44" s="251">
        <v>43191</v>
      </c>
      <c r="B44" s="252" t="e">
        <f t="shared" ca="1" si="1"/>
        <v>#N/A</v>
      </c>
      <c r="C44" s="252"/>
      <c r="D44" s="252"/>
      <c r="E44" s="252"/>
      <c r="F44" s="254" t="e">
        <f t="shared" ca="1" si="2"/>
        <v>#N/A</v>
      </c>
      <c r="G44" s="262"/>
      <c r="H44" s="254"/>
      <c r="I44" s="254"/>
      <c r="J44" s="255" t="e">
        <f t="shared" ca="1" si="3"/>
        <v>#N/A</v>
      </c>
      <c r="K44" s="252"/>
      <c r="L44" s="289"/>
      <c r="M44" s="290"/>
      <c r="N44" s="258" t="e">
        <f t="shared" ca="1" si="0"/>
        <v>#N/A</v>
      </c>
      <c r="O44" s="253"/>
      <c r="P44" s="291"/>
      <c r="Q44" s="291"/>
      <c r="R44" s="302" t="e">
        <f t="shared" ref="R44:R100" ca="1" si="9">IFERROR(INDEX(INDIRECT(""&amp;R$3&amp;"!$D$3:$BZ$90"),MATCH($R$4,INDIRECT(""&amp;R$3&amp;"!$B$3:$B$90"),0),MATCH(A44,INDIRECT(""&amp;R$3&amp;"!$D$2:$BZ$2"),0))*$S$1,NA())</f>
        <v>#N/A</v>
      </c>
      <c r="S44" s="276"/>
      <c r="T44" s="277"/>
      <c r="U44" s="277"/>
      <c r="V44" s="244" t="e">
        <f t="shared" ca="1" si="5"/>
        <v>#N/A</v>
      </c>
      <c r="Y44" s="283"/>
      <c r="Z44" s="263">
        <f t="shared" si="8"/>
        <v>7.1999999999999995E-2</v>
      </c>
      <c r="AA44" s="264">
        <f t="shared" si="8"/>
        <v>6.0000000000000001E-3</v>
      </c>
    </row>
    <row r="45" spans="1:40" x14ac:dyDescent="0.35">
      <c r="A45" s="251">
        <v>43221</v>
      </c>
      <c r="B45" s="252" t="e">
        <f t="shared" ca="1" si="1"/>
        <v>#N/A</v>
      </c>
      <c r="C45" s="252"/>
      <c r="D45" s="252"/>
      <c r="E45" s="252"/>
      <c r="F45" s="254" t="e">
        <f t="shared" ca="1" si="2"/>
        <v>#N/A</v>
      </c>
      <c r="G45" s="262"/>
      <c r="H45" s="254"/>
      <c r="I45" s="254"/>
      <c r="J45" s="255" t="e">
        <f t="shared" ca="1" si="3"/>
        <v>#N/A</v>
      </c>
      <c r="K45" s="252"/>
      <c r="L45" s="289"/>
      <c r="M45" s="290"/>
      <c r="N45" s="258" t="e">
        <f t="shared" ca="1" si="0"/>
        <v>#N/A</v>
      </c>
      <c r="O45" s="253"/>
      <c r="P45" s="291"/>
      <c r="Q45" s="291"/>
      <c r="R45" s="302" t="e">
        <f t="shared" ca="1" si="9"/>
        <v>#N/A</v>
      </c>
      <c r="S45" s="276"/>
      <c r="T45" s="277"/>
      <c r="U45" s="277"/>
      <c r="V45" s="244" t="e">
        <f t="shared" ca="1" si="5"/>
        <v>#N/A</v>
      </c>
      <c r="Y45" s="283"/>
      <c r="Z45" s="263">
        <f t="shared" si="8"/>
        <v>7.1999999999999995E-2</v>
      </c>
      <c r="AA45" s="264">
        <f t="shared" si="8"/>
        <v>6.0000000000000001E-3</v>
      </c>
    </row>
    <row r="46" spans="1:40" x14ac:dyDescent="0.35">
      <c r="A46" s="251">
        <v>43252</v>
      </c>
      <c r="B46" s="252" t="e">
        <f t="shared" ca="1" si="1"/>
        <v>#N/A</v>
      </c>
      <c r="C46" s="252"/>
      <c r="D46" s="252"/>
      <c r="E46" s="252"/>
      <c r="F46" s="254" t="e">
        <f t="shared" ca="1" si="2"/>
        <v>#N/A</v>
      </c>
      <c r="G46" s="262"/>
      <c r="H46" s="254"/>
      <c r="I46" s="254"/>
      <c r="J46" s="255" t="e">
        <f t="shared" ca="1" si="3"/>
        <v>#N/A</v>
      </c>
      <c r="K46" s="252"/>
      <c r="L46" s="289"/>
      <c r="M46" s="290"/>
      <c r="N46" s="258" t="e">
        <f t="shared" ca="1" si="0"/>
        <v>#N/A</v>
      </c>
      <c r="O46" s="253"/>
      <c r="P46" s="291"/>
      <c r="Q46" s="291"/>
      <c r="R46" s="302" t="e">
        <f t="shared" ca="1" si="9"/>
        <v>#N/A</v>
      </c>
      <c r="S46" s="276"/>
      <c r="T46" s="277"/>
      <c r="U46" s="277"/>
      <c r="V46" s="244" t="e">
        <f t="shared" ca="1" si="5"/>
        <v>#N/A</v>
      </c>
      <c r="Y46" s="283"/>
      <c r="Z46" s="263">
        <f t="shared" si="8"/>
        <v>7.1999999999999995E-2</v>
      </c>
      <c r="AA46" s="264">
        <f t="shared" si="8"/>
        <v>6.0000000000000001E-3</v>
      </c>
    </row>
    <row r="47" spans="1:40" x14ac:dyDescent="0.35">
      <c r="A47" s="251">
        <v>43282</v>
      </c>
      <c r="B47" s="252" t="e">
        <f t="shared" ca="1" si="1"/>
        <v>#N/A</v>
      </c>
      <c r="C47" s="252"/>
      <c r="D47" s="252"/>
      <c r="E47" s="252"/>
      <c r="F47" s="254" t="e">
        <f t="shared" ca="1" si="2"/>
        <v>#N/A</v>
      </c>
      <c r="G47" s="262"/>
      <c r="H47" s="254"/>
      <c r="I47" s="254"/>
      <c r="J47" s="255" t="e">
        <f t="shared" ca="1" si="3"/>
        <v>#N/A</v>
      </c>
      <c r="K47" s="252"/>
      <c r="L47" s="289"/>
      <c r="M47" s="290"/>
      <c r="N47" s="258" t="e">
        <f t="shared" ca="1" si="0"/>
        <v>#N/A</v>
      </c>
      <c r="O47" s="253"/>
      <c r="P47" s="291"/>
      <c r="Q47" s="291"/>
      <c r="R47" s="302" t="e">
        <f t="shared" ca="1" si="9"/>
        <v>#N/A</v>
      </c>
      <c r="S47" s="276"/>
      <c r="T47" s="277"/>
      <c r="U47" s="277"/>
      <c r="V47" s="244" t="e">
        <f t="shared" ca="1" si="5"/>
        <v>#N/A</v>
      </c>
      <c r="Y47" s="283"/>
      <c r="Z47" s="263">
        <f t="shared" si="8"/>
        <v>7.1999999999999995E-2</v>
      </c>
      <c r="AA47" s="264">
        <f t="shared" si="8"/>
        <v>6.0000000000000001E-3</v>
      </c>
    </row>
    <row r="48" spans="1:40" x14ac:dyDescent="0.35">
      <c r="A48" s="251">
        <v>43313</v>
      </c>
      <c r="B48" s="252" t="e">
        <f t="shared" ca="1" si="1"/>
        <v>#N/A</v>
      </c>
      <c r="C48" s="252"/>
      <c r="D48" s="252"/>
      <c r="E48" s="252"/>
      <c r="F48" s="254" t="e">
        <f t="shared" ca="1" si="2"/>
        <v>#N/A</v>
      </c>
      <c r="G48" s="262"/>
      <c r="H48" s="254"/>
      <c r="I48" s="254"/>
      <c r="J48" s="255" t="e">
        <f t="shared" ca="1" si="3"/>
        <v>#N/A</v>
      </c>
      <c r="K48" s="252"/>
      <c r="L48" s="289"/>
      <c r="M48" s="290"/>
      <c r="N48" s="258" t="e">
        <f t="shared" ca="1" si="0"/>
        <v>#N/A</v>
      </c>
      <c r="O48" s="253"/>
      <c r="P48" s="291"/>
      <c r="Q48" s="291"/>
      <c r="R48" s="302" t="e">
        <f t="shared" ca="1" si="9"/>
        <v>#N/A</v>
      </c>
      <c r="S48" s="276"/>
      <c r="T48" s="277"/>
      <c r="U48" s="277"/>
      <c r="V48" s="244" t="e">
        <f t="shared" ca="1" si="5"/>
        <v>#N/A</v>
      </c>
      <c r="Y48" s="283"/>
      <c r="Z48" s="263">
        <f t="shared" si="8"/>
        <v>7.1999999999999995E-2</v>
      </c>
      <c r="AA48" s="264">
        <f t="shared" si="8"/>
        <v>6.0000000000000001E-3</v>
      </c>
    </row>
    <row r="49" spans="1:43" x14ac:dyDescent="0.35">
      <c r="A49" s="251">
        <v>43344</v>
      </c>
      <c r="B49" s="252" t="e">
        <f t="shared" ca="1" si="1"/>
        <v>#N/A</v>
      </c>
      <c r="C49" s="252"/>
      <c r="D49" s="252"/>
      <c r="E49" s="252"/>
      <c r="F49" s="254" t="e">
        <f t="shared" ca="1" si="2"/>
        <v>#N/A</v>
      </c>
      <c r="G49" s="262"/>
      <c r="H49" s="254"/>
      <c r="I49" s="254"/>
      <c r="J49" s="255" t="e">
        <f t="shared" ca="1" si="3"/>
        <v>#N/A</v>
      </c>
      <c r="K49" s="252"/>
      <c r="L49" s="289"/>
      <c r="M49" s="290"/>
      <c r="N49" s="258" t="e">
        <f t="shared" ca="1" si="0"/>
        <v>#N/A</v>
      </c>
      <c r="O49" s="253"/>
      <c r="P49" s="291"/>
      <c r="Q49" s="291"/>
      <c r="R49" s="302" t="e">
        <f t="shared" ca="1" si="9"/>
        <v>#N/A</v>
      </c>
      <c r="S49" s="276"/>
      <c r="T49" s="277"/>
      <c r="U49" s="277"/>
      <c r="V49" s="244" t="e">
        <f t="shared" ca="1" si="5"/>
        <v>#N/A</v>
      </c>
      <c r="Y49" s="283"/>
      <c r="Z49" s="263">
        <f t="shared" si="8"/>
        <v>7.1999999999999995E-2</v>
      </c>
      <c r="AA49" s="264">
        <f t="shared" si="8"/>
        <v>6.0000000000000001E-3</v>
      </c>
    </row>
    <row r="50" spans="1:43" x14ac:dyDescent="0.35">
      <c r="A50" s="251">
        <v>43374</v>
      </c>
      <c r="B50" s="252" t="e">
        <f t="shared" ca="1" si="1"/>
        <v>#N/A</v>
      </c>
      <c r="C50" s="252"/>
      <c r="D50" s="252"/>
      <c r="E50" s="252"/>
      <c r="F50" s="254" t="e">
        <f t="shared" ca="1" si="2"/>
        <v>#N/A</v>
      </c>
      <c r="G50" s="262"/>
      <c r="H50" s="254"/>
      <c r="I50" s="254"/>
      <c r="J50" s="255" t="e">
        <f t="shared" ca="1" si="3"/>
        <v>#N/A</v>
      </c>
      <c r="K50" s="252"/>
      <c r="L50" s="289"/>
      <c r="M50" s="290"/>
      <c r="N50" s="258" t="e">
        <f t="shared" ca="1" si="0"/>
        <v>#N/A</v>
      </c>
      <c r="O50" s="253"/>
      <c r="P50" s="291"/>
      <c r="Q50" s="291"/>
      <c r="R50" s="302" t="e">
        <f t="shared" ca="1" si="9"/>
        <v>#N/A</v>
      </c>
      <c r="S50" s="276"/>
      <c r="T50" s="277"/>
      <c r="U50" s="277"/>
      <c r="V50" s="244" t="e">
        <f t="shared" ca="1" si="5"/>
        <v>#N/A</v>
      </c>
      <c r="Y50" s="283"/>
      <c r="Z50" s="263">
        <f t="shared" si="8"/>
        <v>7.1999999999999995E-2</v>
      </c>
      <c r="AA50" s="264">
        <f t="shared" si="8"/>
        <v>6.0000000000000001E-3</v>
      </c>
    </row>
    <row r="51" spans="1:43" x14ac:dyDescent="0.35">
      <c r="A51" s="251">
        <v>43405</v>
      </c>
      <c r="B51" s="252" t="e">
        <f t="shared" ca="1" si="1"/>
        <v>#N/A</v>
      </c>
      <c r="C51" s="252"/>
      <c r="D51" s="252"/>
      <c r="E51" s="252"/>
      <c r="F51" s="254" t="e">
        <f t="shared" ca="1" si="2"/>
        <v>#N/A</v>
      </c>
      <c r="G51" s="262"/>
      <c r="H51" s="254"/>
      <c r="I51" s="254"/>
      <c r="J51" s="255" t="e">
        <f t="shared" ca="1" si="3"/>
        <v>#N/A</v>
      </c>
      <c r="K51" s="252"/>
      <c r="L51" s="289"/>
      <c r="M51" s="290"/>
      <c r="N51" s="258" t="e">
        <f t="shared" ca="1" si="0"/>
        <v>#N/A</v>
      </c>
      <c r="O51" s="253"/>
      <c r="P51" s="291"/>
      <c r="Q51" s="291"/>
      <c r="R51" s="302" t="e">
        <f t="shared" ca="1" si="9"/>
        <v>#N/A</v>
      </c>
      <c r="S51" s="276"/>
      <c r="T51" s="277"/>
      <c r="U51" s="277"/>
      <c r="V51" s="244" t="e">
        <f t="shared" ca="1" si="5"/>
        <v>#N/A</v>
      </c>
      <c r="Y51" s="283"/>
      <c r="Z51" s="263">
        <f t="shared" si="8"/>
        <v>7.1999999999999995E-2</v>
      </c>
      <c r="AA51" s="264">
        <f t="shared" si="8"/>
        <v>6.0000000000000001E-3</v>
      </c>
    </row>
    <row r="52" spans="1:43" x14ac:dyDescent="0.35">
      <c r="A52" s="251">
        <v>43435</v>
      </c>
      <c r="B52" s="252" t="e">
        <f t="shared" ca="1" si="1"/>
        <v>#N/A</v>
      </c>
      <c r="C52" s="252"/>
      <c r="D52" s="252"/>
      <c r="E52" s="252"/>
      <c r="F52" s="254" t="e">
        <f t="shared" ca="1" si="2"/>
        <v>#N/A</v>
      </c>
      <c r="G52" s="262"/>
      <c r="H52" s="254"/>
      <c r="I52" s="254"/>
      <c r="J52" s="255" t="e">
        <f t="shared" ca="1" si="3"/>
        <v>#N/A</v>
      </c>
      <c r="K52" s="252"/>
      <c r="L52" s="289"/>
      <c r="M52" s="290"/>
      <c r="N52" s="258" t="e">
        <f t="shared" ca="1" si="0"/>
        <v>#N/A</v>
      </c>
      <c r="O52" s="253"/>
      <c r="P52" s="291"/>
      <c r="Q52" s="291"/>
      <c r="R52" s="302" t="e">
        <f t="shared" ca="1" si="9"/>
        <v>#N/A</v>
      </c>
      <c r="S52" s="276"/>
      <c r="T52" s="277"/>
      <c r="U52" s="277"/>
      <c r="V52" s="244" t="e">
        <f t="shared" ca="1" si="5"/>
        <v>#N/A</v>
      </c>
      <c r="Y52" s="283"/>
      <c r="Z52" s="263">
        <f t="shared" si="8"/>
        <v>7.1999999999999995E-2</v>
      </c>
      <c r="AA52" s="264">
        <f t="shared" si="8"/>
        <v>6.0000000000000001E-3</v>
      </c>
    </row>
    <row r="53" spans="1:43" x14ac:dyDescent="0.35">
      <c r="A53" s="251">
        <v>43466</v>
      </c>
      <c r="B53" s="252" t="e">
        <f t="shared" ca="1" si="1"/>
        <v>#N/A</v>
      </c>
      <c r="C53" s="252"/>
      <c r="D53" s="252"/>
      <c r="E53" s="252"/>
      <c r="F53" s="254" t="e">
        <f t="shared" ca="1" si="2"/>
        <v>#N/A</v>
      </c>
      <c r="G53" s="262"/>
      <c r="H53" s="254"/>
      <c r="I53" s="254"/>
      <c r="J53" s="255" t="e">
        <f t="shared" ca="1" si="3"/>
        <v>#N/A</v>
      </c>
      <c r="K53" s="252"/>
      <c r="L53" s="289"/>
      <c r="M53" s="290"/>
      <c r="N53" s="258" t="e">
        <f t="shared" ca="1" si="0"/>
        <v>#N/A</v>
      </c>
      <c r="O53" s="253"/>
      <c r="P53" s="291"/>
      <c r="Q53" s="291"/>
      <c r="R53" s="302" t="e">
        <f t="shared" ca="1" si="9"/>
        <v>#N/A</v>
      </c>
      <c r="S53" s="276"/>
      <c r="T53" s="277"/>
      <c r="U53" s="277"/>
      <c r="V53" s="244" t="e">
        <f t="shared" ca="1" si="5"/>
        <v>#N/A</v>
      </c>
      <c r="Y53" s="283"/>
      <c r="Z53" s="263">
        <f t="shared" si="8"/>
        <v>7.1999999999999995E-2</v>
      </c>
      <c r="AA53" s="264">
        <f t="shared" si="8"/>
        <v>6.0000000000000001E-3</v>
      </c>
      <c r="AP53" s="282"/>
      <c r="AQ53" s="282"/>
    </row>
    <row r="54" spans="1:43" x14ac:dyDescent="0.35">
      <c r="A54" s="251">
        <v>43497</v>
      </c>
      <c r="B54" s="252" t="e">
        <f t="shared" ca="1" si="1"/>
        <v>#N/A</v>
      </c>
      <c r="C54" s="252"/>
      <c r="D54" s="252"/>
      <c r="E54" s="252"/>
      <c r="F54" s="254" t="e">
        <f t="shared" ca="1" si="2"/>
        <v>#N/A</v>
      </c>
      <c r="G54" s="262"/>
      <c r="H54" s="254"/>
      <c r="I54" s="254"/>
      <c r="J54" s="255" t="e">
        <f t="shared" ca="1" si="3"/>
        <v>#N/A</v>
      </c>
      <c r="K54" s="252"/>
      <c r="L54" s="289"/>
      <c r="M54" s="290"/>
      <c r="N54" s="258" t="e">
        <f t="shared" ca="1" si="0"/>
        <v>#N/A</v>
      </c>
      <c r="O54" s="253"/>
      <c r="P54" s="291"/>
      <c r="Q54" s="291"/>
      <c r="R54" s="302" t="e">
        <f t="shared" ca="1" si="9"/>
        <v>#N/A</v>
      </c>
      <c r="S54" s="276"/>
      <c r="T54" s="277"/>
      <c r="U54" s="277"/>
      <c r="V54" s="244" t="e">
        <f t="shared" ca="1" si="5"/>
        <v>#N/A</v>
      </c>
      <c r="Y54" s="283"/>
      <c r="Z54" s="263">
        <f t="shared" si="8"/>
        <v>7.1999999999999995E-2</v>
      </c>
      <c r="AA54" s="264">
        <f t="shared" si="8"/>
        <v>6.0000000000000001E-3</v>
      </c>
      <c r="AP54" s="284"/>
      <c r="AQ54" s="285"/>
    </row>
    <row r="55" spans="1:43" x14ac:dyDescent="0.35">
      <c r="A55" s="251">
        <v>43525</v>
      </c>
      <c r="B55" s="252" t="e">
        <f t="shared" ca="1" si="1"/>
        <v>#N/A</v>
      </c>
      <c r="C55" s="252"/>
      <c r="D55" s="252"/>
      <c r="E55" s="252"/>
      <c r="F55" s="254" t="e">
        <f t="shared" ca="1" si="2"/>
        <v>#N/A</v>
      </c>
      <c r="G55" s="262"/>
      <c r="H55" s="254"/>
      <c r="I55" s="254"/>
      <c r="J55" s="255" t="e">
        <f t="shared" ca="1" si="3"/>
        <v>#N/A</v>
      </c>
      <c r="K55" s="252"/>
      <c r="L55" s="289"/>
      <c r="M55" s="290"/>
      <c r="N55" s="258" t="e">
        <f t="shared" ca="1" si="0"/>
        <v>#N/A</v>
      </c>
      <c r="O55" s="253"/>
      <c r="P55" s="291"/>
      <c r="Q55" s="291"/>
      <c r="R55" s="302" t="e">
        <f t="shared" ca="1" si="9"/>
        <v>#N/A</v>
      </c>
      <c r="S55" s="276"/>
      <c r="T55" s="277"/>
      <c r="U55" s="277"/>
      <c r="V55" s="244" t="e">
        <f t="shared" ca="1" si="5"/>
        <v>#N/A</v>
      </c>
      <c r="Y55" s="283"/>
      <c r="Z55" s="263">
        <f t="shared" ref="Z55:AA70" si="10">Z54</f>
        <v>7.1999999999999995E-2</v>
      </c>
      <c r="AA55" s="264">
        <f t="shared" si="10"/>
        <v>6.0000000000000001E-3</v>
      </c>
      <c r="AP55" s="287"/>
      <c r="AQ55" s="288"/>
    </row>
    <row r="56" spans="1:43" x14ac:dyDescent="0.35">
      <c r="A56" s="251">
        <v>43556</v>
      </c>
      <c r="B56" s="252" t="e">
        <f t="shared" ca="1" si="1"/>
        <v>#N/A</v>
      </c>
      <c r="C56" s="252"/>
      <c r="D56" s="252"/>
      <c r="E56" s="252"/>
      <c r="F56" s="254" t="e">
        <f t="shared" ca="1" si="2"/>
        <v>#N/A</v>
      </c>
      <c r="G56" s="262"/>
      <c r="H56" s="254"/>
      <c r="I56" s="254"/>
      <c r="J56" s="255" t="e">
        <f t="shared" ca="1" si="3"/>
        <v>#N/A</v>
      </c>
      <c r="K56" s="252"/>
      <c r="L56" s="289"/>
      <c r="M56" s="290"/>
      <c r="N56" s="258" t="e">
        <f t="shared" ca="1" si="0"/>
        <v>#N/A</v>
      </c>
      <c r="O56" s="253"/>
      <c r="P56" s="291"/>
      <c r="Q56" s="291"/>
      <c r="R56" s="302" t="e">
        <f t="shared" ca="1" si="9"/>
        <v>#N/A</v>
      </c>
      <c r="S56" s="276"/>
      <c r="T56" s="277"/>
      <c r="U56" s="277"/>
      <c r="V56" s="244" t="e">
        <f t="shared" ca="1" si="5"/>
        <v>#N/A</v>
      </c>
      <c r="Y56" s="283"/>
      <c r="Z56" s="263">
        <f t="shared" si="10"/>
        <v>7.1999999999999995E-2</v>
      </c>
      <c r="AA56" s="264">
        <f t="shared" si="10"/>
        <v>6.0000000000000001E-3</v>
      </c>
      <c r="AP56" s="284"/>
      <c r="AQ56" s="285"/>
    </row>
    <row r="57" spans="1:43" x14ac:dyDescent="0.35">
      <c r="A57" s="251">
        <v>43586</v>
      </c>
      <c r="B57" s="252">
        <f t="shared" ca="1" si="1"/>
        <v>0</v>
      </c>
      <c r="C57" s="252"/>
      <c r="D57" s="252"/>
      <c r="E57" s="252"/>
      <c r="F57" s="254">
        <f t="shared" ca="1" si="2"/>
        <v>9874300</v>
      </c>
      <c r="G57" s="262"/>
      <c r="H57" s="254"/>
      <c r="I57" s="254"/>
      <c r="J57" s="255">
        <f t="shared" ca="1" si="3"/>
        <v>0</v>
      </c>
      <c r="K57" s="252"/>
      <c r="L57" s="289"/>
      <c r="M57" s="290"/>
      <c r="N57" s="258">
        <f t="shared" ca="1" si="0"/>
        <v>9874300</v>
      </c>
      <c r="O57" s="253"/>
      <c r="P57" s="291"/>
      <c r="Q57" s="291"/>
      <c r="R57" s="302" t="e">
        <f t="shared" ca="1" si="9"/>
        <v>#N/A</v>
      </c>
      <c r="S57" s="276"/>
      <c r="T57" s="277"/>
      <c r="U57" s="277"/>
      <c r="V57" s="244" t="e">
        <f t="shared" ca="1" si="5"/>
        <v>#N/A</v>
      </c>
      <c r="Y57" s="283"/>
      <c r="Z57" s="263">
        <f t="shared" si="10"/>
        <v>7.1999999999999995E-2</v>
      </c>
      <c r="AA57" s="264">
        <f t="shared" si="10"/>
        <v>6.0000000000000001E-3</v>
      </c>
      <c r="AP57" s="287"/>
      <c r="AQ57" s="288"/>
    </row>
    <row r="58" spans="1:43" x14ac:dyDescent="0.35">
      <c r="A58" s="251">
        <v>43617</v>
      </c>
      <c r="B58" s="252">
        <f t="shared" ca="1" si="1"/>
        <v>0</v>
      </c>
      <c r="C58" s="252"/>
      <c r="D58" s="252"/>
      <c r="E58" s="252"/>
      <c r="F58" s="254">
        <f t="shared" ca="1" si="2"/>
        <v>121716537.09999999</v>
      </c>
      <c r="G58" s="262"/>
      <c r="H58" s="254"/>
      <c r="I58" s="254"/>
      <c r="J58" s="255">
        <f t="shared" ca="1" si="3"/>
        <v>0</v>
      </c>
      <c r="K58" s="252"/>
      <c r="L58" s="289"/>
      <c r="M58" s="290"/>
      <c r="N58" s="258">
        <f t="shared" ca="1" si="0"/>
        <v>121716537.09999999</v>
      </c>
      <c r="O58" s="253"/>
      <c r="P58" s="291"/>
      <c r="Q58" s="291"/>
      <c r="R58" s="302" t="e">
        <f t="shared" ca="1" si="9"/>
        <v>#N/A</v>
      </c>
      <c r="S58" s="276"/>
      <c r="T58" s="277"/>
      <c r="U58" s="277"/>
      <c r="V58" s="244" t="e">
        <f t="shared" ca="1" si="5"/>
        <v>#N/A</v>
      </c>
      <c r="Y58" s="283"/>
      <c r="Z58" s="263">
        <f t="shared" si="10"/>
        <v>7.1999999999999995E-2</v>
      </c>
      <c r="AA58" s="264">
        <f t="shared" si="10"/>
        <v>6.0000000000000001E-3</v>
      </c>
      <c r="AP58" s="284"/>
      <c r="AQ58" s="285"/>
    </row>
    <row r="59" spans="1:43" x14ac:dyDescent="0.35">
      <c r="A59" s="251">
        <v>43647</v>
      </c>
      <c r="B59" s="252">
        <f t="shared" ca="1" si="1"/>
        <v>0</v>
      </c>
      <c r="C59" s="252"/>
      <c r="D59" s="252"/>
      <c r="E59" s="252"/>
      <c r="F59" s="254">
        <f t="shared" ca="1" si="2"/>
        <v>120675449.09999999</v>
      </c>
      <c r="G59" s="262"/>
      <c r="H59" s="254"/>
      <c r="I59" s="254"/>
      <c r="J59" s="255">
        <f t="shared" ca="1" si="3"/>
        <v>0</v>
      </c>
      <c r="K59" s="252"/>
      <c r="L59" s="289"/>
      <c r="M59" s="290"/>
      <c r="N59" s="258">
        <f t="shared" ca="1" si="0"/>
        <v>120675449.09999999</v>
      </c>
      <c r="O59" s="253"/>
      <c r="P59" s="291"/>
      <c r="Q59" s="291"/>
      <c r="R59" s="302" t="e">
        <f t="shared" ca="1" si="9"/>
        <v>#N/A</v>
      </c>
      <c r="S59" s="276"/>
      <c r="T59" s="277"/>
      <c r="U59" s="277"/>
      <c r="V59" s="244" t="e">
        <f t="shared" ca="1" si="5"/>
        <v>#N/A</v>
      </c>
      <c r="Y59" s="283"/>
      <c r="Z59" s="263">
        <f t="shared" si="10"/>
        <v>7.1999999999999995E-2</v>
      </c>
      <c r="AA59" s="264">
        <f t="shared" si="10"/>
        <v>6.0000000000000001E-3</v>
      </c>
      <c r="AP59" s="287"/>
      <c r="AQ59" s="288"/>
    </row>
    <row r="60" spans="1:43" s="316" customFormat="1" x14ac:dyDescent="0.35">
      <c r="A60" s="309">
        <v>43678</v>
      </c>
      <c r="B60" s="512">
        <f t="shared" ca="1" si="1"/>
        <v>0</v>
      </c>
      <c r="C60" s="512"/>
      <c r="D60" s="512"/>
      <c r="E60" s="512"/>
      <c r="F60" s="513">
        <f t="shared" ca="1" si="2"/>
        <v>122380851.09999999</v>
      </c>
      <c r="G60" s="275"/>
      <c r="H60" s="513"/>
      <c r="I60" s="513"/>
      <c r="J60" s="514">
        <f t="shared" ca="1" si="3"/>
        <v>0</v>
      </c>
      <c r="K60" s="512"/>
      <c r="L60" s="313"/>
      <c r="M60" s="515"/>
      <c r="N60" s="310">
        <f t="shared" ca="1" si="0"/>
        <v>122380851.09999999</v>
      </c>
      <c r="O60" s="516"/>
      <c r="P60" s="517"/>
      <c r="Q60" s="517"/>
      <c r="R60" s="518" t="e">
        <f t="shared" ca="1" si="9"/>
        <v>#N/A</v>
      </c>
      <c r="S60" s="519"/>
      <c r="T60" s="312"/>
      <c r="U60" s="312"/>
      <c r="V60" s="311" t="e">
        <f t="shared" ca="1" si="5"/>
        <v>#N/A</v>
      </c>
      <c r="W60" s="311"/>
      <c r="X60" s="311"/>
      <c r="Y60" s="312"/>
      <c r="Z60" s="314">
        <f t="shared" si="10"/>
        <v>7.1999999999999995E-2</v>
      </c>
      <c r="AA60" s="315">
        <f t="shared" si="10"/>
        <v>6.0000000000000001E-3</v>
      </c>
      <c r="AP60" s="520"/>
      <c r="AQ60" s="521"/>
    </row>
    <row r="61" spans="1:43" x14ac:dyDescent="0.35">
      <c r="A61" s="251">
        <v>43709</v>
      </c>
      <c r="B61" s="252">
        <f t="shared" ca="1" si="1"/>
        <v>0</v>
      </c>
      <c r="C61" s="252"/>
      <c r="D61" s="252"/>
      <c r="E61" s="252"/>
      <c r="F61" s="254">
        <f t="shared" ca="1" si="2"/>
        <v>95054485.099999994</v>
      </c>
      <c r="G61" s="262"/>
      <c r="H61" s="254"/>
      <c r="I61" s="254"/>
      <c r="J61" s="255">
        <f t="shared" ca="1" si="3"/>
        <v>0</v>
      </c>
      <c r="K61" s="252"/>
      <c r="L61" s="289"/>
      <c r="M61" s="290"/>
      <c r="N61" s="258">
        <f t="shared" ca="1" si="0"/>
        <v>95054485.099999994</v>
      </c>
      <c r="O61" s="253"/>
      <c r="P61" s="291"/>
      <c r="Q61" s="291"/>
      <c r="R61" s="302" t="e">
        <f t="shared" ca="1" si="9"/>
        <v>#N/A</v>
      </c>
      <c r="S61" s="276"/>
      <c r="T61" s="277"/>
      <c r="U61" s="277"/>
      <c r="V61" s="244" t="e">
        <f t="shared" ca="1" si="5"/>
        <v>#N/A</v>
      </c>
      <c r="Y61" s="283"/>
      <c r="Z61" s="263">
        <f t="shared" si="10"/>
        <v>7.1999999999999995E-2</v>
      </c>
      <c r="AA61" s="264">
        <f t="shared" si="10"/>
        <v>6.0000000000000001E-3</v>
      </c>
    </row>
    <row r="62" spans="1:43" x14ac:dyDescent="0.35">
      <c r="A62" s="251">
        <v>43739</v>
      </c>
      <c r="B62" s="252">
        <f t="shared" ca="1" si="1"/>
        <v>0</v>
      </c>
      <c r="C62" s="252"/>
      <c r="D62" s="252"/>
      <c r="E62" s="252"/>
      <c r="F62" s="254">
        <f t="shared" ca="1" si="2"/>
        <v>67508652.25</v>
      </c>
      <c r="G62" s="262"/>
      <c r="H62" s="254"/>
      <c r="I62" s="254"/>
      <c r="J62" s="255">
        <f t="shared" ca="1" si="3"/>
        <v>0</v>
      </c>
      <c r="K62" s="252"/>
      <c r="L62" s="289"/>
      <c r="M62" s="290"/>
      <c r="N62" s="258">
        <f t="shared" ca="1" si="0"/>
        <v>67508652.25</v>
      </c>
      <c r="O62" s="253"/>
      <c r="P62" s="291"/>
      <c r="Q62" s="291"/>
      <c r="R62" s="302" t="e">
        <f t="shared" ca="1" si="9"/>
        <v>#N/A</v>
      </c>
      <c r="S62" s="276"/>
      <c r="T62" s="277"/>
      <c r="U62" s="277"/>
      <c r="V62" s="244" t="e">
        <f t="shared" ca="1" si="5"/>
        <v>#N/A</v>
      </c>
      <c r="Y62" s="283"/>
      <c r="Z62" s="263">
        <f t="shared" si="10"/>
        <v>7.1999999999999995E-2</v>
      </c>
      <c r="AA62" s="264">
        <f t="shared" si="10"/>
        <v>6.0000000000000001E-3</v>
      </c>
    </row>
    <row r="63" spans="1:43" x14ac:dyDescent="0.35">
      <c r="A63" s="251">
        <v>43770</v>
      </c>
      <c r="B63" s="252">
        <f t="shared" ca="1" si="1"/>
        <v>0</v>
      </c>
      <c r="C63" s="252"/>
      <c r="D63" s="252"/>
      <c r="E63" s="252"/>
      <c r="F63" s="254">
        <f t="shared" ca="1" si="2"/>
        <v>113763985.31999999</v>
      </c>
      <c r="G63" s="262"/>
      <c r="H63" s="254"/>
      <c r="I63" s="254"/>
      <c r="J63" s="255">
        <f t="shared" ca="1" si="3"/>
        <v>0</v>
      </c>
      <c r="K63" s="252"/>
      <c r="L63" s="289"/>
      <c r="M63" s="290"/>
      <c r="N63" s="258">
        <f t="shared" ca="1" si="0"/>
        <v>113763985.31999999</v>
      </c>
      <c r="O63" s="253"/>
      <c r="P63" s="291"/>
      <c r="Q63" s="291"/>
      <c r="R63" s="302" t="e">
        <f t="shared" ca="1" si="9"/>
        <v>#N/A</v>
      </c>
      <c r="S63" s="276"/>
      <c r="T63" s="277"/>
      <c r="U63" s="277"/>
      <c r="V63" s="244" t="e">
        <f t="shared" ca="1" si="5"/>
        <v>#N/A</v>
      </c>
      <c r="Y63" s="283"/>
      <c r="Z63" s="263">
        <f t="shared" si="10"/>
        <v>7.1999999999999995E-2</v>
      </c>
      <c r="AA63" s="264">
        <f t="shared" si="10"/>
        <v>6.0000000000000001E-3</v>
      </c>
    </row>
    <row r="64" spans="1:43" x14ac:dyDescent="0.35">
      <c r="A64" s="251">
        <v>43800</v>
      </c>
      <c r="B64" s="252">
        <f t="shared" ca="1" si="1"/>
        <v>4.3725267930450652E-3</v>
      </c>
      <c r="C64" s="252"/>
      <c r="D64" s="252"/>
      <c r="E64" s="252"/>
      <c r="F64" s="254">
        <f t="shared" ca="1" si="2"/>
        <v>894644921.88999999</v>
      </c>
      <c r="G64" s="262"/>
      <c r="H64" s="254"/>
      <c r="I64" s="254"/>
      <c r="J64" s="255">
        <f t="shared" ca="1" si="3"/>
        <v>3.24499829928834E-4</v>
      </c>
      <c r="K64" s="252"/>
      <c r="L64" s="289"/>
      <c r="M64" s="290"/>
      <c r="N64" s="258">
        <f t="shared" ca="1" si="0"/>
        <v>894644921.88999999</v>
      </c>
      <c r="O64" s="253"/>
      <c r="P64" s="291"/>
      <c r="Q64" s="291"/>
      <c r="R64" s="302" t="e">
        <f t="shared" ca="1" si="9"/>
        <v>#N/A</v>
      </c>
      <c r="S64" s="276"/>
      <c r="T64" s="277"/>
      <c r="U64" s="277"/>
      <c r="V64" s="244" t="e">
        <f t="shared" ca="1" si="5"/>
        <v>#N/A</v>
      </c>
      <c r="Y64" s="283"/>
      <c r="Z64" s="263">
        <f t="shared" si="10"/>
        <v>7.1999999999999995E-2</v>
      </c>
      <c r="AA64" s="264">
        <f t="shared" si="10"/>
        <v>6.0000000000000001E-3</v>
      </c>
    </row>
    <row r="65" spans="1:27" x14ac:dyDescent="0.35">
      <c r="A65" s="251">
        <v>43831</v>
      </c>
      <c r="B65" s="252">
        <f t="shared" ca="1" si="1"/>
        <v>1.5282863360399156E-2</v>
      </c>
      <c r="C65" s="252"/>
      <c r="D65" s="252"/>
      <c r="E65" s="252"/>
      <c r="F65" s="254">
        <f t="shared" ca="1" si="2"/>
        <v>1159942338.72</v>
      </c>
      <c r="G65" s="262"/>
      <c r="H65" s="254"/>
      <c r="I65" s="254"/>
      <c r="J65" s="255">
        <f t="shared" ca="1" si="3"/>
        <v>8.1861422615871248E-4</v>
      </c>
      <c r="K65" s="252"/>
      <c r="L65" s="289"/>
      <c r="M65" s="290"/>
      <c r="N65" s="258">
        <f t="shared" ca="1" si="0"/>
        <v>1159942338.72</v>
      </c>
      <c r="O65" s="253"/>
      <c r="P65" s="291"/>
      <c r="Q65" s="291"/>
      <c r="R65" s="302" t="e">
        <f t="shared" ca="1" si="9"/>
        <v>#N/A</v>
      </c>
      <c r="S65" s="276"/>
      <c r="T65" s="277"/>
      <c r="U65" s="277"/>
      <c r="V65" s="244" t="e">
        <f t="shared" ca="1" si="5"/>
        <v>#N/A</v>
      </c>
      <c r="Y65" s="283"/>
      <c r="Z65" s="263">
        <f t="shared" si="10"/>
        <v>7.1999999999999995E-2</v>
      </c>
      <c r="AA65" s="264">
        <f t="shared" si="10"/>
        <v>6.0000000000000001E-3</v>
      </c>
    </row>
    <row r="66" spans="1:27" x14ac:dyDescent="0.35">
      <c r="A66" s="251">
        <v>43862</v>
      </c>
      <c r="B66" s="252">
        <f t="shared" ca="1" si="1"/>
        <v>5.980482054614069E-2</v>
      </c>
      <c r="C66" s="252"/>
      <c r="D66" s="252"/>
      <c r="E66" s="252"/>
      <c r="F66" s="254">
        <f t="shared" ca="1" si="2"/>
        <v>2005232926.72</v>
      </c>
      <c r="G66" s="262"/>
      <c r="H66" s="254"/>
      <c r="I66" s="254"/>
      <c r="J66" s="255">
        <f t="shared" ca="1" si="3"/>
        <v>4.0734621854434413E-4</v>
      </c>
      <c r="K66" s="252"/>
      <c r="L66" s="289"/>
      <c r="M66" s="290"/>
      <c r="N66" s="258">
        <f t="shared" ca="1" si="0"/>
        <v>2005232926.72</v>
      </c>
      <c r="O66" s="253"/>
      <c r="P66" s="291"/>
      <c r="Q66" s="291"/>
      <c r="R66" s="302" t="e">
        <f t="shared" ca="1" si="9"/>
        <v>#N/A</v>
      </c>
      <c r="S66" s="276"/>
      <c r="T66" s="277"/>
      <c r="U66" s="277"/>
      <c r="V66" s="244" t="e">
        <f t="shared" ca="1" si="5"/>
        <v>#N/A</v>
      </c>
      <c r="Y66" s="283"/>
      <c r="Z66" s="263">
        <f t="shared" si="10"/>
        <v>7.1999999999999995E-2</v>
      </c>
      <c r="AA66" s="264">
        <f t="shared" si="10"/>
        <v>6.0000000000000001E-3</v>
      </c>
    </row>
    <row r="67" spans="1:27" x14ac:dyDescent="0.35">
      <c r="A67" s="251">
        <v>43891</v>
      </c>
      <c r="B67" s="252">
        <f t="shared" ca="1" si="1"/>
        <v>3.5082252064934736E-3</v>
      </c>
      <c r="C67" s="252"/>
      <c r="D67" s="252"/>
      <c r="E67" s="252"/>
      <c r="F67" s="254">
        <f t="shared" ca="1" si="2"/>
        <v>4675725612.7600002</v>
      </c>
      <c r="G67" s="262"/>
      <c r="H67" s="254"/>
      <c r="I67" s="254"/>
      <c r="J67" s="255">
        <f t="shared" ca="1" si="3"/>
        <v>1.7135541440103005E-4</v>
      </c>
      <c r="K67" s="252"/>
      <c r="L67" s="289"/>
      <c r="M67" s="290"/>
      <c r="N67" s="258">
        <f t="shared" ca="1" si="0"/>
        <v>4675725612.7600002</v>
      </c>
      <c r="O67" s="253"/>
      <c r="P67" s="291"/>
      <c r="Q67" s="291"/>
      <c r="R67" s="302" t="e">
        <f t="shared" ca="1" si="9"/>
        <v>#N/A</v>
      </c>
      <c r="S67" s="276"/>
      <c r="T67" s="277"/>
      <c r="U67" s="277"/>
      <c r="V67" s="244" t="e">
        <f t="shared" ca="1" si="5"/>
        <v>#N/A</v>
      </c>
      <c r="Y67" s="283"/>
      <c r="Z67" s="263">
        <f t="shared" si="10"/>
        <v>7.1999999999999995E-2</v>
      </c>
      <c r="AA67" s="264">
        <f t="shared" si="10"/>
        <v>6.0000000000000001E-3</v>
      </c>
    </row>
    <row r="68" spans="1:27" x14ac:dyDescent="0.35">
      <c r="A68" s="251">
        <v>43922</v>
      </c>
      <c r="B68" s="252">
        <f t="shared" ca="1" si="1"/>
        <v>6.1058979522346513E-3</v>
      </c>
      <c r="C68" s="252"/>
      <c r="D68" s="252"/>
      <c r="E68" s="252"/>
      <c r="F68" s="254">
        <f t="shared" ca="1" si="2"/>
        <v>4712790130.5299997</v>
      </c>
      <c r="G68" s="262"/>
      <c r="H68" s="254"/>
      <c r="I68" s="254"/>
      <c r="J68" s="255">
        <f t="shared" ca="1" si="3"/>
        <v>1.3306305450301828E-4</v>
      </c>
      <c r="K68" s="252"/>
      <c r="L68" s="289"/>
      <c r="M68" s="290"/>
      <c r="N68" s="258">
        <f t="shared" ca="1" si="0"/>
        <v>4712790130.5299997</v>
      </c>
      <c r="O68" s="253"/>
      <c r="P68" s="291"/>
      <c r="Q68" s="291"/>
      <c r="R68" s="302" t="e">
        <f t="shared" ca="1" si="9"/>
        <v>#N/A</v>
      </c>
      <c r="S68" s="276"/>
      <c r="T68" s="277"/>
      <c r="U68" s="277"/>
      <c r="V68" s="244" t="e">
        <f t="shared" ca="1" si="5"/>
        <v>#N/A</v>
      </c>
      <c r="Y68" s="283"/>
      <c r="Z68" s="263">
        <f t="shared" si="10"/>
        <v>7.1999999999999995E-2</v>
      </c>
      <c r="AA68" s="264">
        <f t="shared" si="10"/>
        <v>6.0000000000000001E-3</v>
      </c>
    </row>
    <row r="69" spans="1:27" x14ac:dyDescent="0.35">
      <c r="A69" s="251">
        <v>43952</v>
      </c>
      <c r="B69" s="252">
        <f t="shared" ca="1" si="1"/>
        <v>3.5896858753820152E-3</v>
      </c>
      <c r="C69" s="252"/>
      <c r="D69" s="252"/>
      <c r="E69" s="252"/>
      <c r="F69" s="254">
        <f t="shared" ca="1" si="2"/>
        <v>4561793630.4399996</v>
      </c>
      <c r="G69" s="262"/>
      <c r="H69" s="254"/>
      <c r="I69" s="254"/>
      <c r="J69" s="255">
        <f t="shared" ca="1" si="3"/>
        <v>1.2493366012811702E-4</v>
      </c>
      <c r="K69" s="252"/>
      <c r="L69" s="289"/>
      <c r="M69" s="290"/>
      <c r="N69" s="258">
        <f t="shared" ref="N69:N100" ca="1" si="11">IFERROR(INDEX(INDIRECT(""&amp;N$3&amp;"!$D$3:$BZ$90"),MATCH($N$4,INDIRECT(""&amp;N$3&amp;"!$B$3:$B$90"),0),MATCH(A69,INDIRECT(""&amp;N$3&amp;"!$D$2:$BZ$2"),0)),NA())</f>
        <v>4561793630.4399996</v>
      </c>
      <c r="O69" s="253"/>
      <c r="P69" s="291"/>
      <c r="Q69" s="291"/>
      <c r="R69" s="302" t="e">
        <f t="shared" ca="1" si="9"/>
        <v>#N/A</v>
      </c>
      <c r="S69" s="276"/>
      <c r="T69" s="277"/>
      <c r="U69" s="277"/>
      <c r="V69" s="244" t="e">
        <f t="shared" ca="1" si="5"/>
        <v>#N/A</v>
      </c>
      <c r="Y69" s="283"/>
      <c r="Z69" s="263">
        <f t="shared" si="10"/>
        <v>7.1999999999999995E-2</v>
      </c>
      <c r="AA69" s="264">
        <f t="shared" si="10"/>
        <v>6.0000000000000001E-3</v>
      </c>
    </row>
    <row r="70" spans="1:27" x14ac:dyDescent="0.35">
      <c r="A70" s="251">
        <v>43983</v>
      </c>
      <c r="B70" s="252">
        <f t="shared" ref="B70:B100" ca="1" si="12">IFERROR(INDEX(INDIRECT(""&amp;B$3&amp;"!$D$3:$BZ$130"),MATCH($B$4,INDIRECT(""&amp;B$3&amp;"!$B$3:$B$130"),0),MATCH(A70,INDIRECT(""&amp;B$3&amp;"!$D$2:$BZ$2"),0)),NA())</f>
        <v>9.5013294032914269E-4</v>
      </c>
      <c r="C70" s="252"/>
      <c r="D70" s="252"/>
      <c r="E70" s="252"/>
      <c r="F70" s="254">
        <f t="shared" ref="F70:F100" ca="1" si="13">IFERROR(INDEX(INDIRECT(""&amp;F$3&amp;"!$D$3:$BZ$130"),MATCH($F$4,INDIRECT(""&amp;F$3&amp;"!$B$3:$B$130"),0),MATCH(A70,INDIRECT(""&amp;F$3&amp;"!$D$2:$BZ$2"),0)),NA())</f>
        <v>4337371488.6700001</v>
      </c>
      <c r="G70" s="262"/>
      <c r="H70" s="254"/>
      <c r="I70" s="254"/>
      <c r="J70" s="255">
        <f t="shared" ref="J70:J100" ca="1" si="14">IFERROR(INDEX(INDIRECT(""&amp;J$3&amp;"!$D$3:$BZ$130"),MATCH($J$4,INDIRECT(""&amp;J$3&amp;"!$B$3:$B$130"),0),MATCH(A70,INDIRECT(""&amp;J$3&amp;"!$D$2:$BZ$2"),0)),NA())</f>
        <v>1.2309267292290733E-4</v>
      </c>
      <c r="K70" s="252"/>
      <c r="L70" s="289"/>
      <c r="M70" s="290"/>
      <c r="N70" s="258">
        <f t="shared" ca="1" si="11"/>
        <v>4337371488.6700001</v>
      </c>
      <c r="O70" s="253"/>
      <c r="P70" s="291"/>
      <c r="Q70" s="291"/>
      <c r="R70" s="302" t="e">
        <f t="shared" ca="1" si="9"/>
        <v>#N/A</v>
      </c>
      <c r="S70" s="276"/>
      <c r="T70" s="277"/>
      <c r="U70" s="277"/>
      <c r="V70" s="244" t="e">
        <f t="shared" ref="V70:V100" ca="1" si="15">IFERROR(INDEX(INDIRECT(""&amp;V$3&amp;"!$D$3:$BZ$90"),MATCH($V$4,INDIRECT(""&amp;V$3&amp;"!$B$3:$B$90"),0),MATCH(A70,INDIRECT(""&amp;V$3&amp;"!$D$2:$BZ$2"),0)),NA())</f>
        <v>#N/A</v>
      </c>
      <c r="Y70" s="283"/>
      <c r="Z70" s="263">
        <f t="shared" si="10"/>
        <v>7.1999999999999995E-2</v>
      </c>
      <c r="AA70" s="264">
        <f t="shared" si="10"/>
        <v>6.0000000000000001E-3</v>
      </c>
    </row>
    <row r="71" spans="1:27" x14ac:dyDescent="0.35">
      <c r="A71" s="251">
        <v>44013</v>
      </c>
      <c r="B71" s="252">
        <f t="shared" ca="1" si="12"/>
        <v>2.8683432061202686E-4</v>
      </c>
      <c r="C71" s="252"/>
      <c r="D71" s="252"/>
      <c r="E71" s="252"/>
      <c r="F71" s="254">
        <f t="shared" ca="1" si="13"/>
        <v>4245123758.1100001</v>
      </c>
      <c r="G71" s="262"/>
      <c r="H71" s="254"/>
      <c r="I71" s="254"/>
      <c r="J71" s="255">
        <f t="shared" ca="1" si="14"/>
        <v>1.453434010778284E-4</v>
      </c>
      <c r="K71" s="252"/>
      <c r="L71" s="289"/>
      <c r="M71" s="290"/>
      <c r="N71" s="258">
        <f t="shared" ca="1" si="11"/>
        <v>4245123758.1100001</v>
      </c>
      <c r="O71" s="253"/>
      <c r="P71" s="291"/>
      <c r="Q71" s="291"/>
      <c r="R71" s="302" t="e">
        <f t="shared" ca="1" si="9"/>
        <v>#N/A</v>
      </c>
      <c r="S71" s="276"/>
      <c r="T71" s="277"/>
      <c r="U71" s="277"/>
      <c r="V71" s="244" t="e">
        <f t="shared" ca="1" si="15"/>
        <v>#N/A</v>
      </c>
      <c r="Y71" s="283"/>
      <c r="Z71" s="263">
        <f t="shared" ref="Z71:AA86" si="16">Z70</f>
        <v>7.1999999999999995E-2</v>
      </c>
      <c r="AA71" s="264">
        <f t="shared" si="16"/>
        <v>6.0000000000000001E-3</v>
      </c>
    </row>
    <row r="72" spans="1:27" x14ac:dyDescent="0.35">
      <c r="A72" s="251">
        <v>44044</v>
      </c>
      <c r="B72" s="252">
        <f t="shared" ca="1" si="12"/>
        <v>2.5229565802668799E-3</v>
      </c>
      <c r="C72" s="252"/>
      <c r="D72" s="252"/>
      <c r="E72" s="252"/>
      <c r="F72" s="254">
        <f t="shared" ca="1" si="13"/>
        <v>4076209521.3600001</v>
      </c>
      <c r="G72" s="262"/>
      <c r="H72" s="254"/>
      <c r="I72" s="254"/>
      <c r="J72" s="255">
        <f t="shared" ca="1" si="14"/>
        <v>1.7341111179293867E-4</v>
      </c>
      <c r="K72" s="252"/>
      <c r="L72" s="289"/>
      <c r="M72" s="290"/>
      <c r="N72" s="258">
        <f t="shared" ca="1" si="11"/>
        <v>4076209521.3600001</v>
      </c>
      <c r="O72" s="253"/>
      <c r="P72" s="291"/>
      <c r="Q72" s="291"/>
      <c r="R72" s="302" t="e">
        <f t="shared" ca="1" si="9"/>
        <v>#N/A</v>
      </c>
      <c r="S72" s="276"/>
      <c r="T72" s="277"/>
      <c r="U72" s="277"/>
      <c r="V72" s="244" t="e">
        <f t="shared" ca="1" si="15"/>
        <v>#N/A</v>
      </c>
      <c r="Y72" s="283"/>
      <c r="Z72" s="263">
        <f t="shared" si="16"/>
        <v>7.1999999999999995E-2</v>
      </c>
      <c r="AA72" s="264">
        <f t="shared" si="16"/>
        <v>6.0000000000000001E-3</v>
      </c>
    </row>
    <row r="73" spans="1:27" x14ac:dyDescent="0.35">
      <c r="A73" s="251">
        <v>44075</v>
      </c>
      <c r="B73" s="252">
        <f t="shared" ca="1" si="12"/>
        <v>2.2817414045066357E-4</v>
      </c>
      <c r="C73" s="252"/>
      <c r="D73" s="252"/>
      <c r="E73" s="252"/>
      <c r="F73" s="254">
        <f t="shared" ca="1" si="13"/>
        <v>3436480301.7600002</v>
      </c>
      <c r="G73" s="262"/>
      <c r="H73" s="254"/>
      <c r="I73" s="254"/>
      <c r="J73" s="255">
        <f t="shared" ca="1" si="14"/>
        <v>3.0048707087630986E-4</v>
      </c>
      <c r="K73" s="252"/>
      <c r="L73" s="289"/>
      <c r="M73" s="290"/>
      <c r="N73" s="258">
        <f t="shared" ca="1" si="11"/>
        <v>3436480301.7600002</v>
      </c>
      <c r="O73" s="253"/>
      <c r="P73" s="291"/>
      <c r="Q73" s="291"/>
      <c r="R73" s="302" t="e">
        <f t="shared" ca="1" si="9"/>
        <v>#N/A</v>
      </c>
      <c r="S73" s="276" t="e">
        <f ca="1">_xlfn.IFNA(R73,_xlfn.FORECAST.ETS(Forecast!$A73,OFFSET($R$43,,,COUNT($R$43:$R$9989),),OFFSET($A$43,,,COUNT($R$43:$R$9986),),1,1))</f>
        <v>#REF!</v>
      </c>
      <c r="T73" s="277" t="e">
        <f t="shared" ref="T73:T100" ca="1" si="17">_xlfn.IFNA(R73,S73-_xlfn.FORECAST.ETS.CONFINT(A73,OFFSET($R$43,,,COUNT($R$43:$R$10037),),OFFSET($A$43,,,COUNT($R$43:$R$10034),),0.95))</f>
        <v>#REF!</v>
      </c>
      <c r="U73" s="277" t="e">
        <f t="shared" ref="U73:U100" ca="1" si="18">_xlfn.IFNA(R73,S73+_xlfn.FORECAST.ETS.CONFINT(A73,OFFSET($R$43,,,COUNT($R$43:$R$10037),),OFFSET($A$43,,,COUNT($R$43:$R$10034),),0.95))</f>
        <v>#REF!</v>
      </c>
      <c r="V73" s="244" t="e">
        <f t="shared" ca="1" si="15"/>
        <v>#N/A</v>
      </c>
      <c r="W73" s="244" t="e">
        <f ca="1">_xlfn.IFNA(V73,_xlfn.FORECAST.ETS(Forecast!$A73,OFFSET($V$43,,,COUNT($V$43:$V$9989),),OFFSET($A$43,,,COUNT($V$43:$V$9986),),1,1))</f>
        <v>#REF!</v>
      </c>
      <c r="X73" s="244" t="e">
        <f t="shared" ref="X73:X100" ca="1" si="19">_xlfn.IFNA(V73,W73-_xlfn.FORECAST.ETS.CONFINT(A73,OFFSET($V$43,,,COUNT($V$43:$V$10037),),OFFSET($A$43,,,COUNT($V$43:$V$10034),),0.95))</f>
        <v>#REF!</v>
      </c>
      <c r="Y73" s="283" t="e">
        <f t="shared" ref="Y73:Y100" ca="1" si="20">_xlfn.IFNA(V73,W73+_xlfn.FORECAST.ETS.CONFINT(A73,OFFSET($V$43,,,COUNT($V$43:$V$10037),),OFFSET($A$43,,,COUNT($V$43:$V$10034),),0.95))</f>
        <v>#REF!</v>
      </c>
      <c r="Z73" s="263">
        <f t="shared" si="16"/>
        <v>7.1999999999999995E-2</v>
      </c>
      <c r="AA73" s="264">
        <f t="shared" si="16"/>
        <v>6.0000000000000001E-3</v>
      </c>
    </row>
    <row r="74" spans="1:27" x14ac:dyDescent="0.35">
      <c r="A74" s="251">
        <v>44105</v>
      </c>
      <c r="B74" s="252">
        <f t="shared" ca="1" si="12"/>
        <v>8.8856278218169091E-4</v>
      </c>
      <c r="C74" s="252"/>
      <c r="D74" s="252"/>
      <c r="E74" s="252"/>
      <c r="F74" s="254">
        <f t="shared" ca="1" si="13"/>
        <v>2702101400.04</v>
      </c>
      <c r="G74" s="262"/>
      <c r="H74" s="254"/>
      <c r="I74" s="254"/>
      <c r="J74" s="255">
        <f t="shared" ca="1" si="14"/>
        <v>3.0830649064008769E-4</v>
      </c>
      <c r="K74" s="252"/>
      <c r="L74" s="289"/>
      <c r="M74" s="290"/>
      <c r="N74" s="258">
        <f t="shared" ca="1" si="11"/>
        <v>2702101400.04</v>
      </c>
      <c r="O74" s="253"/>
      <c r="P74" s="291"/>
      <c r="Q74" s="291"/>
      <c r="R74" s="302" t="e">
        <f t="shared" ca="1" si="9"/>
        <v>#N/A</v>
      </c>
      <c r="S74" s="276" t="e">
        <f ca="1">_xlfn.IFNA(R74,_xlfn.FORECAST.ETS(Forecast!$A74,OFFSET($R$43,,,COUNT($R$43:$R$9989),),OFFSET($A$43,,,COUNT($R$43:$R$9986),),1,1))</f>
        <v>#REF!</v>
      </c>
      <c r="T74" s="277" t="e">
        <f t="shared" ca="1" si="17"/>
        <v>#REF!</v>
      </c>
      <c r="U74" s="277" t="e">
        <f t="shared" ca="1" si="18"/>
        <v>#REF!</v>
      </c>
      <c r="V74" s="244" t="e">
        <f t="shared" ca="1" si="15"/>
        <v>#N/A</v>
      </c>
      <c r="W74" s="244" t="e">
        <f ca="1">_xlfn.IFNA(V74,_xlfn.FORECAST.ETS(Forecast!$A74,OFFSET($V$43,,,COUNT($V$43:$V$9989),),OFFSET($A$43,,,COUNT($V$43:$V$9986),),1,1))</f>
        <v>#REF!</v>
      </c>
      <c r="X74" s="244" t="e">
        <f t="shared" ca="1" si="19"/>
        <v>#REF!</v>
      </c>
      <c r="Y74" s="283" t="e">
        <f t="shared" ca="1" si="20"/>
        <v>#REF!</v>
      </c>
      <c r="Z74" s="263">
        <f t="shared" si="16"/>
        <v>7.1999999999999995E-2</v>
      </c>
      <c r="AA74" s="264">
        <f t="shared" si="16"/>
        <v>6.0000000000000001E-3</v>
      </c>
    </row>
    <row r="75" spans="1:27" x14ac:dyDescent="0.35">
      <c r="A75" s="251">
        <v>44136</v>
      </c>
      <c r="B75" s="252">
        <f t="shared" ca="1" si="12"/>
        <v>5.9828461237307808E-3</v>
      </c>
      <c r="C75" s="252"/>
      <c r="D75" s="252"/>
      <c r="E75" s="252"/>
      <c r="F75" s="254">
        <f t="shared" ca="1" si="13"/>
        <v>3514015815.5799999</v>
      </c>
      <c r="G75" s="262"/>
      <c r="H75" s="254"/>
      <c r="I75" s="254"/>
      <c r="J75" s="255">
        <f t="shared" ca="1" si="14"/>
        <v>6.7514861187624258E-4</v>
      </c>
      <c r="K75" s="252"/>
      <c r="L75" s="289"/>
      <c r="M75" s="290"/>
      <c r="N75" s="258">
        <f t="shared" ca="1" si="11"/>
        <v>3514015815.5799999</v>
      </c>
      <c r="O75" s="253"/>
      <c r="P75" s="291"/>
      <c r="Q75" s="291"/>
      <c r="R75" s="302" t="e">
        <f t="shared" ca="1" si="9"/>
        <v>#N/A</v>
      </c>
      <c r="S75" s="276" t="e">
        <f ca="1">_xlfn.IFNA(R75,_xlfn.FORECAST.ETS(Forecast!$A75,OFFSET($R$43,,,COUNT($R$43:$R$9989),),OFFSET($A$43,,,COUNT($R$43:$R$9986),),1,1))</f>
        <v>#REF!</v>
      </c>
      <c r="T75" s="277" t="e">
        <f t="shared" ca="1" si="17"/>
        <v>#REF!</v>
      </c>
      <c r="U75" s="277" t="e">
        <f t="shared" ca="1" si="18"/>
        <v>#REF!</v>
      </c>
      <c r="V75" s="244" t="e">
        <f t="shared" ca="1" si="15"/>
        <v>#N/A</v>
      </c>
      <c r="W75" s="244" t="e">
        <f ca="1">_xlfn.IFNA(V75,_xlfn.FORECAST.ETS(Forecast!$A75,OFFSET($V$43,,,COUNT($V$43:$V$9989),),OFFSET($A$43,,,COUNT($V$43:$V$9986),),1,1))</f>
        <v>#REF!</v>
      </c>
      <c r="X75" s="244" t="e">
        <f t="shared" ca="1" si="19"/>
        <v>#REF!</v>
      </c>
      <c r="Y75" s="283" t="e">
        <f t="shared" ca="1" si="20"/>
        <v>#REF!</v>
      </c>
      <c r="Z75" s="263">
        <f t="shared" si="16"/>
        <v>7.1999999999999995E-2</v>
      </c>
      <c r="AA75" s="264">
        <f t="shared" si="16"/>
        <v>6.0000000000000001E-3</v>
      </c>
    </row>
    <row r="76" spans="1:27" x14ac:dyDescent="0.35">
      <c r="A76" s="251">
        <v>44166</v>
      </c>
      <c r="B76" s="252">
        <f t="shared" ca="1" si="12"/>
        <v>6.2968148990353667E-4</v>
      </c>
      <c r="C76" s="252">
        <f ca="1">_xlfn.IFNA(B76,_xlfn.FORECAST.ETS(Forecast!$A76,OFFSET($B$60,,,COUNT($B$60:$B$9999),),OFFSET($A$60,,,COUNT($B$60:$B$9977),),0,1))</f>
        <v>6.2968148990353667E-4</v>
      </c>
      <c r="D76" s="252">
        <f ca="1">_xlfn.IFNA(B76,C76-_xlfn.FORECAST.ETS.CONFINT(A76,OFFSET($B$60,,,COUNT($B$60:$B$9980),),OFFSET($A$60,,,COUNT($B$60:$B$9977),),0.95))</f>
        <v>6.2968148990353667E-4</v>
      </c>
      <c r="E76" s="252">
        <f ca="1">_xlfn.IFNA(B76,C76+_xlfn.FORECAST.ETS.CONFINT(A76,OFFSET($B$60,,,COUNT($B$60:$B$9980),),OFFSET($A$60,,,COUNT($B$60:$B$9977),),0.95))</f>
        <v>6.2968148990353667E-4</v>
      </c>
      <c r="F76" s="254">
        <f t="shared" ca="1" si="13"/>
        <v>4404015482.96</v>
      </c>
      <c r="G76" s="262">
        <f ca="1">_xlfn.IFNA(F76,_xlfn.FORECAST.ETS(Forecast!$A76,OFFSET($F$59,,,COUNT($F$59:$F$9980),),OFFSET($A$59,,,COUNT($F$59:$F$9977),),0,1))</f>
        <v>4404015482.96</v>
      </c>
      <c r="H76" s="254">
        <f t="shared" ref="H76:H100" ca="1" si="21">_xlfn.IFNA(F76,G76-_xlfn.FORECAST.ETS.CONFINT(A76,OFFSET($F$59,,,COUNT($F$59:$F$9980),),OFFSET($A$41,,,COUNT($F$59:$F$9977),),0.95))</f>
        <v>4404015482.96</v>
      </c>
      <c r="I76" s="254">
        <f t="shared" ref="I76" ca="1" si="22">_xlfn.IFNA(F76,G76+_xlfn.FORECAST.ETS.CONFINT(A76,OFFSET($F$41,,,COUNT($F$41:$F$9980),),OFFSET($A$41,,,COUNT($F$41:$F$9977),),0.95))</f>
        <v>4404015482.96</v>
      </c>
      <c r="J76" s="255">
        <f t="shared" ca="1" si="14"/>
        <v>5.0127330581413649E-4</v>
      </c>
      <c r="K76" s="252">
        <f ca="1">_xlfn.IFNA(J76,_xlfn.FORECAST.ETS(Forecast!$A76,OFFSET($J$57,,,COUNT($J$57:$J$9997),),OFFSET($A$57,,,COUNT($J$57:$J$9994),),1,1))</f>
        <v>5.0127330581413649E-4</v>
      </c>
      <c r="L76" s="289">
        <f t="shared" ref="L76:L100" ca="1" si="23">_xlfn.IFNA(J76,K76-_xlfn.FORECAST.ETS.CONFINT(A76,OFFSET($J$57,,,COUNT($J$57:$J$9997),),OFFSET($A$57,,,COUNT($J$57:$J$9994),),0.95))</f>
        <v>5.0127330581413649E-4</v>
      </c>
      <c r="M76" s="290">
        <f t="shared" ref="M76:M100" ca="1" si="24">_xlfn.IFNA(J76,K76+_xlfn.FORECAST.ETS.CONFINT(A76,OFFSET($J$57,,,COUNT($J$57:$J$9997),),OFFSET($A$57,,,COUNT($J$57:$J$9994),),0.95))</f>
        <v>5.0127330581413649E-4</v>
      </c>
      <c r="N76" s="258">
        <f t="shared" ca="1" si="11"/>
        <v>4404015482.96</v>
      </c>
      <c r="O76" s="253">
        <f ca="1">_xlfn.IFNA(N76,_xlfn.FORECAST.ETS(Forecast!$A76,OFFSET($N$57,,,COUNT($N$57:$N$9987),),OFFSET($A$55,,,COUNT($N$57:$N$9984),),1,1))</f>
        <v>4404015482.96</v>
      </c>
      <c r="P76" s="291">
        <f t="shared" ref="P76:P100" ca="1" si="25">_xlfn.IFNA(N76,O76-_xlfn.FORECAST.ETS.CONFINT(A76,OFFSET($N$57,,,COUNT($N$57:$N$10045),),OFFSET($A$57,,,COUNT($N$57:$N$10032),),0.95))</f>
        <v>4404015482.96</v>
      </c>
      <c r="Q76" s="291">
        <f t="shared" ref="Q76:Q100" ca="1" si="26">_xlfn.IFNA(N76,O76+_xlfn.FORECAST.ETS.CONFINT(A76,OFFSET($N$57,,,COUNT($N$57:$N$10035),),OFFSET($A$57,,,COUNT($N$57:$N$10031),),0.95))</f>
        <v>4404015482.96</v>
      </c>
      <c r="R76" s="302" t="e">
        <f t="shared" ca="1" si="9"/>
        <v>#N/A</v>
      </c>
      <c r="S76" s="276" t="e">
        <f ca="1">_xlfn.IFNA(R76,_xlfn.FORECAST.ETS(Forecast!$A76,OFFSET($R$43,,,COUNT($R$43:$R$9989),),OFFSET($A$43,,,COUNT($R$43:$R$9986),),1,1))</f>
        <v>#REF!</v>
      </c>
      <c r="T76" s="277" t="e">
        <f t="shared" ca="1" si="17"/>
        <v>#REF!</v>
      </c>
      <c r="U76" s="277" t="e">
        <f t="shared" ca="1" si="18"/>
        <v>#REF!</v>
      </c>
      <c r="V76" s="244" t="e">
        <f t="shared" ca="1" si="15"/>
        <v>#N/A</v>
      </c>
      <c r="W76" s="244" t="e">
        <f ca="1">_xlfn.IFNA(V76,_xlfn.FORECAST.ETS(Forecast!$A76,OFFSET($V$43,,,COUNT($V$43:$V$9989),),OFFSET($A$43,,,COUNT($V$43:$V$9986),),1,1))</f>
        <v>#REF!</v>
      </c>
      <c r="X76" s="244" t="e">
        <f t="shared" ca="1" si="19"/>
        <v>#REF!</v>
      </c>
      <c r="Y76" s="283" t="e">
        <f t="shared" ca="1" si="20"/>
        <v>#REF!</v>
      </c>
      <c r="Z76" s="263">
        <f t="shared" si="16"/>
        <v>7.1999999999999995E-2</v>
      </c>
      <c r="AA76" s="264">
        <f t="shared" si="16"/>
        <v>6.0000000000000001E-3</v>
      </c>
    </row>
    <row r="77" spans="1:27" x14ac:dyDescent="0.35">
      <c r="A77" s="251">
        <v>44197</v>
      </c>
      <c r="B77" s="252" t="e">
        <f t="shared" ca="1" si="12"/>
        <v>#N/A</v>
      </c>
      <c r="C77" s="252">
        <f ca="1">_xlfn.IFNA(B77,_xlfn.FORECAST.ETS(Forecast!$A77,OFFSET($B$60,,,COUNT($B$60:$B$9999),),OFFSET($A$60,,,COUNT($B$60:$B$9977),),0,1))</f>
        <v>2.5139379888643077E-3</v>
      </c>
      <c r="D77" s="252">
        <f t="shared" ref="D77:D100" ca="1" si="27">_xlfn.IFNA(B77,C77-_xlfn.FORECAST.ETS.CONFINT(A77,OFFSET($B$60,,,COUNT($B$60:$B$9980),),OFFSET($A$60,,,COUNT($B$60:$B$9977),),0.95))</f>
        <v>-2.70037952325833E-2</v>
      </c>
      <c r="E77" s="252">
        <f t="shared" ref="E77:E100" ca="1" si="28">_xlfn.IFNA(B77,C77+_xlfn.FORECAST.ETS.CONFINT(A77,OFFSET($B$60,,,COUNT($B$60:$B$9980),),OFFSET($A$60,,,COUNT($B$60:$B$9977),),0.95))</f>
        <v>3.2031671210311918E-2</v>
      </c>
      <c r="F77" s="254" t="e">
        <f t="shared" ca="1" si="13"/>
        <v>#N/A</v>
      </c>
      <c r="G77" s="262">
        <f ca="1">_xlfn.IFNA(F77,_xlfn.FORECAST.ETS(Forecast!$A77,OFFSET($F$59,,,COUNT($F$59:$F$9980),),OFFSET($A$59,,,COUNT($F$59:$F$9977),),0,1))</f>
        <v>4690239277.7362947</v>
      </c>
      <c r="H77" s="254">
        <f t="shared" ca="1" si="21"/>
        <v>-1576170023.7640581</v>
      </c>
      <c r="I77" s="254">
        <f ca="1">_xlfn.IFNA(F77,G77+_xlfn.FORECAST.ETS.CONFINT(A77,OFFSET($F$57,,,COUNT($F$57:$F$9980),),OFFSET($A$57,,,COUNT($F$57:$F$9977),),0.95))</f>
        <v>6854342942.4406567</v>
      </c>
      <c r="J77" s="255" t="e">
        <f t="shared" ca="1" si="14"/>
        <v>#N/A</v>
      </c>
      <c r="K77" s="252">
        <f ca="1">_xlfn.IFNA(J77,_xlfn.FORECAST.ETS(Forecast!$A77,OFFSET($J$57,,,COUNT($J$57:$J$9997),),OFFSET($A$57,,,COUNT($J$57:$J$9994),),1,1))</f>
        <v>4.5449285873411249E-4</v>
      </c>
      <c r="L77" s="289">
        <f t="shared" ca="1" si="23"/>
        <v>7.8023874118598503E-5</v>
      </c>
      <c r="M77" s="290">
        <f t="shared" ca="1" si="24"/>
        <v>8.3096184334962653E-4</v>
      </c>
      <c r="N77" s="258" t="e">
        <f t="shared" ca="1" si="11"/>
        <v>#N/A</v>
      </c>
      <c r="O77" s="253">
        <f ca="1">_xlfn.IFNA(N77,_xlfn.FORECAST.ETS(Forecast!$A77,OFFSET($N$57,,,COUNT($N$57:$N$9987),),OFFSET($A$55,,,COUNT($N$57:$N$9984),),1,1))</f>
        <v>5665423746.2465153</v>
      </c>
      <c r="P77" s="291">
        <f t="shared" ca="1" si="25"/>
        <v>3501320081.5421538</v>
      </c>
      <c r="Q77" s="291">
        <f t="shared" ca="1" si="26"/>
        <v>7829527410.9508762</v>
      </c>
      <c r="R77" s="302" t="e">
        <f t="shared" ca="1" si="9"/>
        <v>#N/A</v>
      </c>
      <c r="S77" s="276" t="e">
        <f ca="1">_xlfn.IFNA(R77,_xlfn.FORECAST.ETS(Forecast!$A77,OFFSET($R$43,,,COUNT($R$43:$R$9989),),OFFSET($A$43,,,COUNT($R$43:$R$9986),),1,1))</f>
        <v>#REF!</v>
      </c>
      <c r="T77" s="277" t="e">
        <f t="shared" ca="1" si="17"/>
        <v>#REF!</v>
      </c>
      <c r="U77" s="277" t="e">
        <f t="shared" ca="1" si="18"/>
        <v>#REF!</v>
      </c>
      <c r="V77" s="244" t="e">
        <f t="shared" ca="1" si="15"/>
        <v>#N/A</v>
      </c>
      <c r="W77" s="244" t="e">
        <f ca="1">_xlfn.IFNA(V77,_xlfn.FORECAST.ETS(Forecast!$A77,OFFSET($V$43,,,COUNT($V$43:$V$9989),),OFFSET($A$43,,,COUNT($V$43:$V$9986),),1,1))</f>
        <v>#REF!</v>
      </c>
      <c r="X77" s="244" t="e">
        <f t="shared" ca="1" si="19"/>
        <v>#REF!</v>
      </c>
      <c r="Y77" s="283" t="e">
        <f t="shared" ca="1" si="20"/>
        <v>#REF!</v>
      </c>
      <c r="Z77" s="263">
        <f t="shared" si="16"/>
        <v>7.1999999999999995E-2</v>
      </c>
      <c r="AA77" s="264">
        <f t="shared" si="16"/>
        <v>6.0000000000000001E-3</v>
      </c>
    </row>
    <row r="78" spans="1:27" x14ac:dyDescent="0.35">
      <c r="A78" s="251">
        <v>44228</v>
      </c>
      <c r="B78" s="252" t="e">
        <f t="shared" ca="1" si="12"/>
        <v>#N/A</v>
      </c>
      <c r="C78" s="252">
        <f ca="1">_xlfn.IFNA(B78,_xlfn.FORECAST.ETS(Forecast!$A78,OFFSET($B$60,,,COUNT($B$60:$B$9999),),OFFSET($A$60,,,COUNT($B$60:$B$9977),),0,1))</f>
        <v>2.2807685686391682E-3</v>
      </c>
      <c r="D78" s="252">
        <f t="shared" ca="1" si="27"/>
        <v>-2.7474058215988351E-2</v>
      </c>
      <c r="E78" s="252">
        <f t="shared" ca="1" si="28"/>
        <v>3.2035595353266687E-2</v>
      </c>
      <c r="F78" s="254" t="e">
        <f t="shared" ca="1" si="13"/>
        <v>#N/A</v>
      </c>
      <c r="G78" s="262">
        <f ca="1">_xlfn.IFNA(F78,_xlfn.FORECAST.ETS(Forecast!$A78,OFFSET($F$59,,,COUNT($F$59:$F$9980),),OFFSET($A$59,,,COUNT($F$59:$F$9977),),0,1))</f>
        <v>4976463072.5125904</v>
      </c>
      <c r="H78" s="254">
        <f t="shared" ca="1" si="21"/>
        <v>-1452922114.3627214</v>
      </c>
      <c r="I78" s="254">
        <f t="shared" ref="I78:I100" ca="1" si="29">_xlfn.IFNA(F78,G78+_xlfn.FORECAST.ETS.CONFINT(A78,OFFSET($F$57,,,COUNT($F$57:$F$9980),),OFFSET($A$57,,,COUNT($F$57:$F$9977),),0.95))</f>
        <v>7151576740.9404507</v>
      </c>
      <c r="J78" s="255" t="e">
        <f t="shared" ca="1" si="14"/>
        <v>#N/A</v>
      </c>
      <c r="K78" s="252">
        <f ca="1">_xlfn.IFNA(J78,_xlfn.FORECAST.ETS(Forecast!$A78,OFFSET($J$57,,,COUNT($J$57:$J$9997),),OFFSET($A$57,,,COUNT($J$57:$J$9994),),1,1))</f>
        <v>4.7717533272456056E-4</v>
      </c>
      <c r="L78" s="289">
        <f t="shared" ca="1" si="23"/>
        <v>1.0070465400242753E-4</v>
      </c>
      <c r="M78" s="290">
        <f t="shared" ca="1" si="24"/>
        <v>8.5364601144669364E-4</v>
      </c>
      <c r="N78" s="258" t="e">
        <f t="shared" ca="1" si="11"/>
        <v>#N/A</v>
      </c>
      <c r="O78" s="253">
        <f ca="1">_xlfn.IFNA(N78,_xlfn.FORECAST.ETS(Forecast!$A78,OFFSET($N$57,,,COUNT($N$57:$N$9987),),OFFSET($A$55,,,COUNT($N$57:$N$9984),),1,1))</f>
        <v>5936805828.8580542</v>
      </c>
      <c r="P78" s="291">
        <f t="shared" ca="1" si="25"/>
        <v>3761692160.4301939</v>
      </c>
      <c r="Q78" s="291">
        <f t="shared" ca="1" si="26"/>
        <v>8111919497.2859144</v>
      </c>
      <c r="R78" s="302" t="e">
        <f t="shared" ca="1" si="9"/>
        <v>#N/A</v>
      </c>
      <c r="S78" s="276" t="e">
        <f ca="1">_xlfn.IFNA(R78,_xlfn.FORECAST.ETS(Forecast!$A78,OFFSET($R$43,,,COUNT($R$43:$R$9989),),OFFSET($A$43,,,COUNT($R$43:$R$9986),),1,1))</f>
        <v>#REF!</v>
      </c>
      <c r="T78" s="277" t="e">
        <f t="shared" ca="1" si="17"/>
        <v>#REF!</v>
      </c>
      <c r="U78" s="277" t="e">
        <f t="shared" ca="1" si="18"/>
        <v>#REF!</v>
      </c>
      <c r="V78" s="244" t="e">
        <f t="shared" ca="1" si="15"/>
        <v>#N/A</v>
      </c>
      <c r="W78" s="244" t="e">
        <f ca="1">_xlfn.IFNA(V78,_xlfn.FORECAST.ETS(Forecast!$A78,OFFSET($V$43,,,COUNT($V$43:$V$9989),),OFFSET($A$43,,,COUNT($V$43:$V$9986),),1,1))</f>
        <v>#REF!</v>
      </c>
      <c r="X78" s="244" t="e">
        <f t="shared" ca="1" si="19"/>
        <v>#REF!</v>
      </c>
      <c r="Y78" s="283" t="e">
        <f t="shared" ca="1" si="20"/>
        <v>#REF!</v>
      </c>
      <c r="Z78" s="263">
        <f t="shared" si="16"/>
        <v>7.1999999999999995E-2</v>
      </c>
      <c r="AA78" s="264">
        <f t="shared" si="16"/>
        <v>6.0000000000000001E-3</v>
      </c>
    </row>
    <row r="79" spans="1:27" x14ac:dyDescent="0.35">
      <c r="A79" s="251">
        <v>44256</v>
      </c>
      <c r="B79" s="252" t="e">
        <f t="shared" ca="1" si="12"/>
        <v>#N/A</v>
      </c>
      <c r="C79" s="252">
        <f ca="1">_xlfn.IFNA(B79,_xlfn.FORECAST.ETS(Forecast!$A79,OFFSET($B$60,,,COUNT($B$60:$B$9999),),OFFSET($A$60,,,COUNT($B$60:$B$9977),),0,1))</f>
        <v>2.0475991484140074E-3</v>
      </c>
      <c r="D79" s="252">
        <f t="shared" ca="1" si="27"/>
        <v>-2.7946150868219936E-2</v>
      </c>
      <c r="E79" s="252">
        <f t="shared" ca="1" si="28"/>
        <v>3.2041349165047951E-2</v>
      </c>
      <c r="F79" s="254" t="e">
        <f t="shared" ca="1" si="13"/>
        <v>#N/A</v>
      </c>
      <c r="G79" s="262">
        <f ca="1">_xlfn.IFNA(F79,_xlfn.FORECAST.ETS(Forecast!$A79,OFFSET($F$59,,,COUNT($F$59:$F$9980),),OFFSET($A$59,,,COUNT($F$59:$F$9977),),0,1))</f>
        <v>5262686867.2888851</v>
      </c>
      <c r="H79" s="254">
        <f t="shared" ca="1" si="21"/>
        <v>-1326012567.4164114</v>
      </c>
      <c r="I79" s="254">
        <f t="shared" ca="1" si="29"/>
        <v>7448972527.6143818</v>
      </c>
      <c r="J79" s="255" t="e">
        <f t="shared" ca="1" si="14"/>
        <v>#N/A</v>
      </c>
      <c r="K79" s="252">
        <f ca="1">_xlfn.IFNA(J79,_xlfn.FORECAST.ETS(Forecast!$A79,OFFSET($J$57,,,COUNT($J$57:$J$9997),),OFFSET($A$57,,,COUNT($J$57:$J$9994),),1,1))</f>
        <v>4.9985780671500885E-4</v>
      </c>
      <c r="L79" s="289">
        <f t="shared" ca="1" si="23"/>
        <v>1.2338411626659844E-4</v>
      </c>
      <c r="M79" s="290">
        <f t="shared" ca="1" si="24"/>
        <v>8.7633149716341932E-4</v>
      </c>
      <c r="N79" s="258" t="e">
        <f t="shared" ca="1" si="11"/>
        <v>#N/A</v>
      </c>
      <c r="O79" s="253">
        <f ca="1">_xlfn.IFNA(N79,_xlfn.FORECAST.ETS(Forecast!$A79,OFFSET($N$57,,,COUNT($N$57:$N$9987),),OFFSET($A$55,,,COUNT($N$57:$N$9984),),1,1))</f>
        <v>6208187911.469593</v>
      </c>
      <c r="P79" s="291">
        <f t="shared" ca="1" si="25"/>
        <v>4021902251.1440964</v>
      </c>
      <c r="Q79" s="291">
        <f t="shared" ca="1" si="26"/>
        <v>8394473571.7950897</v>
      </c>
      <c r="R79" s="302" t="e">
        <f t="shared" ca="1" si="9"/>
        <v>#N/A</v>
      </c>
      <c r="S79" s="276" t="e">
        <f ca="1">_xlfn.IFNA(R79,_xlfn.FORECAST.ETS(Forecast!$A79,OFFSET($R$43,,,COUNT($R$43:$R$9989),),OFFSET($A$43,,,COUNT($R$43:$R$9986),),1,1))</f>
        <v>#REF!</v>
      </c>
      <c r="T79" s="277" t="e">
        <f t="shared" ca="1" si="17"/>
        <v>#REF!</v>
      </c>
      <c r="U79" s="277" t="e">
        <f t="shared" ca="1" si="18"/>
        <v>#REF!</v>
      </c>
      <c r="V79" s="244" t="e">
        <f t="shared" ca="1" si="15"/>
        <v>#N/A</v>
      </c>
      <c r="W79" s="244" t="e">
        <f ca="1">_xlfn.IFNA(V79,_xlfn.FORECAST.ETS(Forecast!$A79,OFFSET($V$43,,,COUNT($V$43:$V$9989),),OFFSET($A$43,,,COUNT($V$43:$V$9986),),1,1))</f>
        <v>#REF!</v>
      </c>
      <c r="X79" s="244" t="e">
        <f t="shared" ca="1" si="19"/>
        <v>#REF!</v>
      </c>
      <c r="Y79" s="283" t="e">
        <f t="shared" ca="1" si="20"/>
        <v>#REF!</v>
      </c>
      <c r="Z79" s="263">
        <f t="shared" si="16"/>
        <v>7.1999999999999995E-2</v>
      </c>
      <c r="AA79" s="264">
        <f t="shared" si="16"/>
        <v>6.0000000000000001E-3</v>
      </c>
    </row>
    <row r="80" spans="1:27" x14ac:dyDescent="0.35">
      <c r="A80" s="251">
        <v>44287</v>
      </c>
      <c r="B80" s="252" t="e">
        <f t="shared" ca="1" si="12"/>
        <v>#N/A</v>
      </c>
      <c r="C80" s="252">
        <f ca="1">_xlfn.IFNA(B80,_xlfn.FORECAST.ETS(Forecast!$A80,OFFSET($B$60,,,COUNT($B$60:$B$9999),),OFFSET($A$60,,,COUNT($B$60:$B$9977),),0,1))</f>
        <v>1.8144297281888684E-3</v>
      </c>
      <c r="D80" s="252">
        <f t="shared" ca="1" si="27"/>
        <v>-2.8420058631251327E-2</v>
      </c>
      <c r="E80" s="252">
        <f t="shared" ca="1" si="28"/>
        <v>3.2048918087629066E-2</v>
      </c>
      <c r="F80" s="254" t="e">
        <f t="shared" ca="1" si="13"/>
        <v>#N/A</v>
      </c>
      <c r="G80" s="262">
        <f ca="1">_xlfn.IFNA(F80,_xlfn.FORECAST.ETS(Forecast!$A80,OFFSET($F$59,,,COUNT($F$59:$F$9980),),OFFSET($A$59,,,COUNT($F$59:$F$9977),),0,1))</f>
        <v>5548910662.0651798</v>
      </c>
      <c r="H80" s="254">
        <f t="shared" ca="1" si="21"/>
        <v>-1195701284.4648771</v>
      </c>
      <c r="I80" s="254">
        <f t="shared" ca="1" si="29"/>
        <v>7746529963.0738316</v>
      </c>
      <c r="J80" s="255" t="e">
        <f t="shared" ca="1" si="14"/>
        <v>#N/A</v>
      </c>
      <c r="K80" s="252">
        <f ca="1">_xlfn.IFNA(J80,_xlfn.FORECAST.ETS(Forecast!$A80,OFFSET($J$57,,,COUNT($J$57:$J$9997),),OFFSET($A$57,,,COUNT($J$57:$J$9994),),1,1))</f>
        <v>5.2254028070545687E-4</v>
      </c>
      <c r="L80" s="289">
        <f t="shared" ca="1" si="23"/>
        <v>1.4606188448297109E-4</v>
      </c>
      <c r="M80" s="290">
        <f t="shared" ca="1" si="24"/>
        <v>8.9901867692794265E-4</v>
      </c>
      <c r="N80" s="258" t="e">
        <f t="shared" ca="1" si="11"/>
        <v>#N/A</v>
      </c>
      <c r="O80" s="253">
        <f ca="1">_xlfn.IFNA(N80,_xlfn.FORECAST.ETS(Forecast!$A80,OFFSET($N$57,,,COUNT($N$57:$N$9987),),OFFSET($A$55,,,COUNT($N$57:$N$9984),),1,1))</f>
        <v>6479569994.0811319</v>
      </c>
      <c r="P80" s="291">
        <f t="shared" ca="1" si="25"/>
        <v>4281950693.0724797</v>
      </c>
      <c r="Q80" s="291">
        <f t="shared" ca="1" si="26"/>
        <v>8677189295.0897846</v>
      </c>
      <c r="R80" s="302" t="e">
        <f t="shared" ca="1" si="9"/>
        <v>#N/A</v>
      </c>
      <c r="S80" s="276" t="e">
        <f ca="1">_xlfn.IFNA(R80,_xlfn.FORECAST.ETS(Forecast!$A80,OFFSET($R$43,,,COUNT($R$43:$R$9989),),OFFSET($A$43,,,COUNT($R$43:$R$9986),),1,1))</f>
        <v>#REF!</v>
      </c>
      <c r="T80" s="277" t="e">
        <f t="shared" ca="1" si="17"/>
        <v>#REF!</v>
      </c>
      <c r="U80" s="277" t="e">
        <f t="shared" ca="1" si="18"/>
        <v>#REF!</v>
      </c>
      <c r="V80" s="244" t="e">
        <f t="shared" ca="1" si="15"/>
        <v>#N/A</v>
      </c>
      <c r="W80" s="244" t="e">
        <f ca="1">_xlfn.IFNA(V80,_xlfn.FORECAST.ETS(Forecast!$A80,OFFSET($V$43,,,COUNT($V$43:$V$9989),),OFFSET($A$43,,,COUNT($V$43:$V$9986),),1,1))</f>
        <v>#REF!</v>
      </c>
      <c r="X80" s="244" t="e">
        <f t="shared" ca="1" si="19"/>
        <v>#REF!</v>
      </c>
      <c r="Y80" s="283" t="e">
        <f t="shared" ca="1" si="20"/>
        <v>#REF!</v>
      </c>
      <c r="Z80" s="263">
        <f t="shared" si="16"/>
        <v>7.1999999999999995E-2</v>
      </c>
      <c r="AA80" s="264">
        <f t="shared" si="16"/>
        <v>6.0000000000000001E-3</v>
      </c>
    </row>
    <row r="81" spans="1:27" x14ac:dyDescent="0.35">
      <c r="A81" s="251">
        <v>44317</v>
      </c>
      <c r="B81" s="252" t="e">
        <f t="shared" ca="1" si="12"/>
        <v>#N/A</v>
      </c>
      <c r="C81" s="252">
        <f ca="1">_xlfn.IFNA(B81,_xlfn.FORECAST.ETS(Forecast!$A81,OFFSET($B$60,,,COUNT($B$60:$B$9999),),OFFSET($A$60,,,COUNT($B$60:$B$9977),),0,1))</f>
        <v>1.5812603079637076E-3</v>
      </c>
      <c r="D81" s="252">
        <f t="shared" ca="1" si="27"/>
        <v>-2.8895767080984926E-2</v>
      </c>
      <c r="E81" s="252">
        <f t="shared" ca="1" si="28"/>
        <v>3.2058287696912338E-2</v>
      </c>
      <c r="F81" s="254" t="e">
        <f t="shared" ca="1" si="13"/>
        <v>#N/A</v>
      </c>
      <c r="G81" s="262">
        <f ca="1">_xlfn.IFNA(F81,_xlfn.FORECAST.ETS(Forecast!$A81,OFFSET($F$59,,,COUNT($F$59:$F$9980),),OFFSET($A$59,,,COUNT($F$59:$F$9977),),0,1))</f>
        <v>5835134456.8414755</v>
      </c>
      <c r="H81" s="254">
        <f t="shared" ca="1" si="21"/>
        <v>-1062219367.8296261</v>
      </c>
      <c r="I81" s="254">
        <f t="shared" ca="1" si="29"/>
        <v>8044248679.3600035</v>
      </c>
      <c r="J81" s="255" t="e">
        <f t="shared" ca="1" si="14"/>
        <v>#N/A</v>
      </c>
      <c r="K81" s="252">
        <f ca="1">_xlfn.IFNA(J81,_xlfn.FORECAST.ETS(Forecast!$A81,OFFSET($J$57,,,COUNT($J$57:$J$9997),),OFFSET($A$57,,,COUNT($J$57:$J$9994),),1,1))</f>
        <v>5.4522275469590521E-4</v>
      </c>
      <c r="L81" s="289">
        <f t="shared" ca="1" si="23"/>
        <v>1.6873758226208335E-4</v>
      </c>
      <c r="M81" s="290">
        <f t="shared" ca="1" si="24"/>
        <v>9.2170792712972707E-4</v>
      </c>
      <c r="N81" s="258" t="e">
        <f t="shared" ca="1" si="11"/>
        <v>#N/A</v>
      </c>
      <c r="O81" s="253">
        <f ca="1">_xlfn.IFNA(N81,_xlfn.FORECAST.ETS(Forecast!$A81,OFFSET($N$57,,,COUNT($N$57:$N$9987),),OFFSET($A$55,,,COUNT($N$57:$N$9984),),1,1))</f>
        <v>6750952076.6926708</v>
      </c>
      <c r="P81" s="291">
        <f t="shared" ca="1" si="25"/>
        <v>4541837854.1741428</v>
      </c>
      <c r="Q81" s="291">
        <f t="shared" ca="1" si="26"/>
        <v>8960066299.2111988</v>
      </c>
      <c r="R81" s="302" t="e">
        <f t="shared" ca="1" si="9"/>
        <v>#N/A</v>
      </c>
      <c r="S81" s="276" t="e">
        <f ca="1">_xlfn.IFNA(R81,_xlfn.FORECAST.ETS(Forecast!$A81,OFFSET($R$43,,,COUNT($R$43:$R$9989),),OFFSET($A$43,,,COUNT($R$43:$R$9986),),1,1))</f>
        <v>#REF!</v>
      </c>
      <c r="T81" s="277" t="e">
        <f t="shared" ca="1" si="17"/>
        <v>#REF!</v>
      </c>
      <c r="U81" s="277" t="e">
        <f t="shared" ca="1" si="18"/>
        <v>#REF!</v>
      </c>
      <c r="V81" s="244" t="e">
        <f t="shared" ca="1" si="15"/>
        <v>#N/A</v>
      </c>
      <c r="W81" s="244" t="e">
        <f ca="1">_xlfn.IFNA(V81,_xlfn.FORECAST.ETS(Forecast!$A81,OFFSET($V$43,,,COUNT($V$43:$V$9989),),OFFSET($A$43,,,COUNT($V$43:$V$9986),),1,1))</f>
        <v>#REF!</v>
      </c>
      <c r="X81" s="244" t="e">
        <f t="shared" ca="1" si="19"/>
        <v>#REF!</v>
      </c>
      <c r="Y81" s="283" t="e">
        <f t="shared" ca="1" si="20"/>
        <v>#REF!</v>
      </c>
      <c r="Z81" s="263">
        <f t="shared" si="16"/>
        <v>7.1999999999999995E-2</v>
      </c>
      <c r="AA81" s="264">
        <f t="shared" si="16"/>
        <v>6.0000000000000001E-3</v>
      </c>
    </row>
    <row r="82" spans="1:27" x14ac:dyDescent="0.35">
      <c r="A82" s="251">
        <v>44348</v>
      </c>
      <c r="B82" s="252" t="e">
        <f t="shared" ca="1" si="12"/>
        <v>#N/A</v>
      </c>
      <c r="C82" s="252">
        <f ca="1">_xlfn.IFNA(B82,_xlfn.FORECAST.ETS(Forecast!$A82,OFFSET($B$60,,,COUNT($B$60:$B$9999),),OFFSET($A$60,,,COUNT($B$60:$B$9977),),0,1))</f>
        <v>1.3480908877385683E-3</v>
      </c>
      <c r="D82" s="252">
        <f t="shared" ca="1" si="27"/>
        <v>-2.9373261930493222E-2</v>
      </c>
      <c r="E82" s="252">
        <f t="shared" ca="1" si="28"/>
        <v>3.2069443705970362E-2</v>
      </c>
      <c r="F82" s="254" t="e">
        <f t="shared" ca="1" si="13"/>
        <v>#N/A</v>
      </c>
      <c r="G82" s="262">
        <f ca="1">_xlfn.IFNA(F82,_xlfn.FORECAST.ETS(Forecast!$A82,OFFSET($F$59,,,COUNT($F$59:$F$9980),),OFFSET($A$59,,,COUNT($F$59:$F$9977),),0,1))</f>
        <v>6121358251.6177702</v>
      </c>
      <c r="H82" s="254">
        <f t="shared" ca="1" si="21"/>
        <v>-925773388.80845451</v>
      </c>
      <c r="I82" s="254">
        <f t="shared" ca="1" si="29"/>
        <v>8342128280.9404564</v>
      </c>
      <c r="J82" s="255" t="e">
        <f t="shared" ca="1" si="14"/>
        <v>#N/A</v>
      </c>
      <c r="K82" s="252">
        <f ca="1">_xlfn.IFNA(J82,_xlfn.FORECAST.ETS(Forecast!$A82,OFFSET($J$57,,,COUNT($J$57:$J$9997),),OFFSET($A$57,,,COUNT($J$57:$J$9994),),1,1))</f>
        <v>5.6790522868635322E-4</v>
      </c>
      <c r="L82" s="289">
        <f t="shared" ca="1" si="23"/>
        <v>1.9141083327196319E-4</v>
      </c>
      <c r="M82" s="290">
        <f t="shared" ca="1" si="24"/>
        <v>9.4439962410074326E-4</v>
      </c>
      <c r="N82" s="258" t="e">
        <f t="shared" ca="1" si="11"/>
        <v>#N/A</v>
      </c>
      <c r="O82" s="253">
        <f ca="1">_xlfn.IFNA(N82,_xlfn.FORECAST.ETS(Forecast!$A82,OFFSET($N$57,,,COUNT($N$57:$N$9987),),OFFSET($A$55,,,COUNT($N$57:$N$9984),),1,1))</f>
        <v>7022334159.3042088</v>
      </c>
      <c r="P82" s="291">
        <f t="shared" ca="1" si="25"/>
        <v>4801564129.9815216</v>
      </c>
      <c r="Q82" s="291">
        <f t="shared" ca="1" si="26"/>
        <v>9243104188.6268959</v>
      </c>
      <c r="R82" s="302" t="e">
        <f t="shared" ca="1" si="9"/>
        <v>#N/A</v>
      </c>
      <c r="S82" s="276" t="e">
        <f ca="1">_xlfn.IFNA(R82,_xlfn.FORECAST.ETS(Forecast!$A82,OFFSET($R$43,,,COUNT($R$43:$R$9989),),OFFSET($A$43,,,COUNT($R$43:$R$9986),),1,1))</f>
        <v>#REF!</v>
      </c>
      <c r="T82" s="277" t="e">
        <f t="shared" ca="1" si="17"/>
        <v>#REF!</v>
      </c>
      <c r="U82" s="277" t="e">
        <f t="shared" ca="1" si="18"/>
        <v>#REF!</v>
      </c>
      <c r="V82" s="244" t="e">
        <f t="shared" ca="1" si="15"/>
        <v>#N/A</v>
      </c>
      <c r="W82" s="244" t="e">
        <f ca="1">_xlfn.IFNA(V82,_xlfn.FORECAST.ETS(Forecast!$A82,OFFSET($V$43,,,COUNT($V$43:$V$9989),),OFFSET($A$43,,,COUNT($V$43:$V$9986),),1,1))</f>
        <v>#REF!</v>
      </c>
      <c r="X82" s="244" t="e">
        <f t="shared" ca="1" si="19"/>
        <v>#REF!</v>
      </c>
      <c r="Y82" s="283" t="e">
        <f t="shared" ca="1" si="20"/>
        <v>#REF!</v>
      </c>
      <c r="Z82" s="263">
        <f t="shared" si="16"/>
        <v>7.1999999999999995E-2</v>
      </c>
      <c r="AA82" s="264">
        <f t="shared" si="16"/>
        <v>6.0000000000000001E-3</v>
      </c>
    </row>
    <row r="83" spans="1:27" x14ac:dyDescent="0.35">
      <c r="A83" s="251">
        <v>44378</v>
      </c>
      <c r="B83" s="252" t="e">
        <f t="shared" ca="1" si="12"/>
        <v>#N/A</v>
      </c>
      <c r="C83" s="252">
        <f ca="1">_xlfn.IFNA(B83,_xlfn.FORECAST.ETS(Forecast!$A83,OFFSET($B$60,,,COUNT($B$60:$B$9999),),OFFSET($A$60,,,COUNT($B$60:$B$9977),),0,1))</f>
        <v>1.1149214675134076E-3</v>
      </c>
      <c r="D83" s="252">
        <f t="shared" ca="1" si="27"/>
        <v>-2.9852529032922265E-2</v>
      </c>
      <c r="E83" s="252">
        <f t="shared" ca="1" si="28"/>
        <v>3.208237196794908E-2</v>
      </c>
      <c r="F83" s="254" t="e">
        <f t="shared" ca="1" si="13"/>
        <v>#N/A</v>
      </c>
      <c r="G83" s="262">
        <f ca="1">_xlfn.IFNA(F83,_xlfn.FORECAST.ETS(Forecast!$A83,OFFSET($F$59,,,COUNT($F$59:$F$9980),),OFFSET($A$59,,,COUNT($F$59:$F$9977),),0,1))</f>
        <v>6407582046.3940659</v>
      </c>
      <c r="H83" s="254">
        <f t="shared" ca="1" si="21"/>
        <v>-786548876.09915543</v>
      </c>
      <c r="I83" s="254">
        <f t="shared" ca="1" si="29"/>
        <v>8640168345.7043152</v>
      </c>
      <c r="J83" s="255" t="e">
        <f t="shared" ca="1" si="14"/>
        <v>#N/A</v>
      </c>
      <c r="K83" s="252">
        <f ca="1">_xlfn.IFNA(J83,_xlfn.FORECAST.ETS(Forecast!$A83,OFFSET($J$57,,,COUNT($J$57:$J$9997),),OFFSET($A$57,,,COUNT($J$57:$J$9994),),1,1))</f>
        <v>5.9058770267680157E-4</v>
      </c>
      <c r="L83" s="289">
        <f t="shared" ca="1" si="23"/>
        <v>2.1408126126070147E-4</v>
      </c>
      <c r="M83" s="290">
        <f t="shared" ca="1" si="24"/>
        <v>9.6709414409290161E-4</v>
      </c>
      <c r="N83" s="258" t="e">
        <f t="shared" ca="1" si="11"/>
        <v>#N/A</v>
      </c>
      <c r="O83" s="253">
        <f ca="1">_xlfn.IFNA(N83,_xlfn.FORECAST.ETS(Forecast!$A83,OFFSET($N$57,,,COUNT($N$57:$N$9987),),OFFSET($A$55,,,COUNT($N$57:$N$9984),),1,1))</f>
        <v>7293716241.9157486</v>
      </c>
      <c r="P83" s="291">
        <f t="shared" ca="1" si="25"/>
        <v>5061129942.6054983</v>
      </c>
      <c r="Q83" s="291">
        <f t="shared" ca="1" si="26"/>
        <v>9526302541.2259979</v>
      </c>
      <c r="R83" s="302" t="e">
        <f t="shared" ca="1" si="9"/>
        <v>#N/A</v>
      </c>
      <c r="S83" s="276" t="e">
        <f ca="1">_xlfn.IFNA(R83,_xlfn.FORECAST.ETS(Forecast!$A83,OFFSET($R$43,,,COUNT($R$43:$R$9989),),OFFSET($A$43,,,COUNT($R$43:$R$9986),),1,1))</f>
        <v>#REF!</v>
      </c>
      <c r="T83" s="277" t="e">
        <f t="shared" ca="1" si="17"/>
        <v>#REF!</v>
      </c>
      <c r="U83" s="277" t="e">
        <f t="shared" ca="1" si="18"/>
        <v>#REF!</v>
      </c>
      <c r="V83" s="244" t="e">
        <f t="shared" ca="1" si="15"/>
        <v>#N/A</v>
      </c>
      <c r="W83" s="244" t="e">
        <f ca="1">_xlfn.IFNA(V83,_xlfn.FORECAST.ETS(Forecast!$A83,OFFSET($V$43,,,COUNT($V$43:$V$9989),),OFFSET($A$43,,,COUNT($V$43:$V$9986),),1,1))</f>
        <v>#REF!</v>
      </c>
      <c r="X83" s="244" t="e">
        <f t="shared" ca="1" si="19"/>
        <v>#REF!</v>
      </c>
      <c r="Y83" s="283" t="e">
        <f t="shared" ca="1" si="20"/>
        <v>#REF!</v>
      </c>
      <c r="Z83" s="263">
        <f t="shared" si="16"/>
        <v>7.1999999999999995E-2</v>
      </c>
      <c r="AA83" s="264">
        <f t="shared" si="16"/>
        <v>6.0000000000000001E-3</v>
      </c>
    </row>
    <row r="84" spans="1:27" x14ac:dyDescent="0.35">
      <c r="A84" s="251">
        <v>44409</v>
      </c>
      <c r="B84" s="252" t="e">
        <f t="shared" ca="1" si="12"/>
        <v>#N/A</v>
      </c>
      <c r="C84" s="252">
        <f ca="1">_xlfn.IFNA(B84,_xlfn.FORECAST.ETS(Forecast!$A84,OFFSET($B$60,,,COUNT($B$60:$B$9999),),OFFSET($A$60,,,COUNT($B$60:$B$9977),),0,1))</f>
        <v>8.8175204728826843E-4</v>
      </c>
      <c r="D84" s="252">
        <f t="shared" ca="1" si="27"/>
        <v>-3.0333554384073889E-2</v>
      </c>
      <c r="E84" s="252">
        <f t="shared" ca="1" si="28"/>
        <v>3.209705847865043E-2</v>
      </c>
      <c r="F84" s="254" t="e">
        <f t="shared" ca="1" si="13"/>
        <v>#N/A</v>
      </c>
      <c r="G84" s="262">
        <f ca="1">_xlfn.IFNA(F84,_xlfn.FORECAST.ETS(Forecast!$A84,OFFSET($F$59,,,COUNT($F$59:$F$9980),),OFFSET($A$59,,,COUNT($F$59:$F$9977),),0,1))</f>
        <v>6693805841.1703606</v>
      </c>
      <c r="H84" s="254">
        <f t="shared" ca="1" si="21"/>
        <v>-644713191.74483109</v>
      </c>
      <c r="I84" s="254">
        <f t="shared" ca="1" si="29"/>
        <v>8938368425.9544945</v>
      </c>
      <c r="J84" s="255" t="e">
        <f t="shared" ca="1" si="14"/>
        <v>#N/A</v>
      </c>
      <c r="K84" s="252">
        <f ca="1">_xlfn.IFNA(J84,_xlfn.FORECAST.ETS(Forecast!$A84,OFFSET($J$57,,,COUNT($J$57:$J$9997),),OFFSET($A$57,,,COUNT($J$57:$J$9994),),1,1))</f>
        <v>6.1327017666724948E-4</v>
      </c>
      <c r="L84" s="289">
        <f t="shared" ca="1" si="23"/>
        <v>2.3674849008276891E-4</v>
      </c>
      <c r="M84" s="290">
        <f t="shared" ca="1" si="24"/>
        <v>9.8979186325172993E-4</v>
      </c>
      <c r="N84" s="258" t="e">
        <f t="shared" ca="1" si="11"/>
        <v>#N/A</v>
      </c>
      <c r="O84" s="253">
        <f ca="1">_xlfn.IFNA(N84,_xlfn.FORECAST.ETS(Forecast!$A84,OFFSET($N$57,,,COUNT($N$57:$N$9987),),OFFSET($A$55,,,COUNT($N$57:$N$9984),),1,1))</f>
        <v>7565098324.5272865</v>
      </c>
      <c r="P84" s="291">
        <f t="shared" ca="1" si="25"/>
        <v>5320535739.7431526</v>
      </c>
      <c r="Q84" s="291">
        <f t="shared" ca="1" si="26"/>
        <v>9809660909.3114204</v>
      </c>
      <c r="R84" s="302" t="e">
        <f t="shared" ca="1" si="9"/>
        <v>#N/A</v>
      </c>
      <c r="S84" s="276" t="e">
        <f ca="1">_xlfn.IFNA(R84,_xlfn.FORECAST.ETS(Forecast!$A84,OFFSET($R$43,,,COUNT($R$43:$R$9989),),OFFSET($A$43,,,COUNT($R$43:$R$9986),),1,1))</f>
        <v>#REF!</v>
      </c>
      <c r="T84" s="277" t="e">
        <f t="shared" ca="1" si="17"/>
        <v>#REF!</v>
      </c>
      <c r="U84" s="277" t="e">
        <f t="shared" ca="1" si="18"/>
        <v>#REF!</v>
      </c>
      <c r="V84" s="244" t="e">
        <f t="shared" ca="1" si="15"/>
        <v>#N/A</v>
      </c>
      <c r="W84" s="244" t="e">
        <f ca="1">_xlfn.IFNA(V84,_xlfn.FORECAST.ETS(Forecast!$A84,OFFSET($V$43,,,COUNT($V$43:$V$9989),),OFFSET($A$43,,,COUNT($V$43:$V$9986),),1,1))</f>
        <v>#REF!</v>
      </c>
      <c r="X84" s="244" t="e">
        <f t="shared" ca="1" si="19"/>
        <v>#REF!</v>
      </c>
      <c r="Y84" s="283" t="e">
        <f t="shared" ca="1" si="20"/>
        <v>#REF!</v>
      </c>
      <c r="Z84" s="263">
        <f t="shared" si="16"/>
        <v>7.1999999999999995E-2</v>
      </c>
      <c r="AA84" s="264">
        <f t="shared" si="16"/>
        <v>6.0000000000000001E-3</v>
      </c>
    </row>
    <row r="85" spans="1:27" s="308" customFormat="1" x14ac:dyDescent="0.35">
      <c r="A85" s="293">
        <v>44440</v>
      </c>
      <c r="B85" s="294" t="e">
        <f t="shared" ca="1" si="12"/>
        <v>#N/A</v>
      </c>
      <c r="C85" s="252">
        <f ca="1">_xlfn.IFNA(B85,_xlfn.FORECAST.ETS(Forecast!$A85,OFFSET($B$60,,,COUNT($B$60:$B$9999),),OFFSET($A$60,,,COUNT($B$60:$B$9977),),0,1))</f>
        <v>6.4858262706310791E-4</v>
      </c>
      <c r="D85" s="252">
        <f t="shared" ca="1" si="27"/>
        <v>-3.0816324124684085E-2</v>
      </c>
      <c r="E85" s="252">
        <f t="shared" ca="1" si="28"/>
        <v>3.2113489378810298E-2</v>
      </c>
      <c r="F85" s="295" t="e">
        <f t="shared" ca="1" si="13"/>
        <v>#N/A</v>
      </c>
      <c r="G85" s="262">
        <f ca="1">_xlfn.IFNA(F85,_xlfn.FORECAST.ETS(Forecast!$A85,OFFSET($F$59,,,COUNT($F$59:$F$9980),),OFFSET($A$59,,,COUNT($F$59:$F$9977),),0,1))</f>
        <v>6980029635.9466553</v>
      </c>
      <c r="H85" s="254">
        <f t="shared" ca="1" si="21"/>
        <v>-500417921.06994724</v>
      </c>
      <c r="I85" s="254">
        <f t="shared" ca="1" si="29"/>
        <v>9236728049.3954315</v>
      </c>
      <c r="J85" s="294" t="e">
        <f t="shared" ca="1" si="14"/>
        <v>#N/A</v>
      </c>
      <c r="K85" s="252">
        <f ca="1">_xlfn.IFNA(J85,_xlfn.FORECAST.ETS(Forecast!$A85,OFFSET($J$57,,,COUNT($J$57:$J$9997),),OFFSET($A$57,,,COUNT($J$57:$J$9994),),1,1))</f>
        <v>6.3595265065769793E-4</v>
      </c>
      <c r="L85" s="289">
        <f t="shared" ca="1" si="23"/>
        <v>2.5941214372908136E-4</v>
      </c>
      <c r="M85" s="290">
        <f t="shared" ca="1" si="24"/>
        <v>1.0124931575863144E-3</v>
      </c>
      <c r="N85" s="258" t="e">
        <f t="shared" ca="1" si="11"/>
        <v>#N/A</v>
      </c>
      <c r="O85" s="253">
        <f ca="1">_xlfn.IFNA(N85,_xlfn.FORECAST.ETS(Forecast!$A85,OFFSET($N$57,,,COUNT($N$57:$N$9987),),OFFSET($A$55,,,COUNT($N$57:$N$9984),),1,1))</f>
        <v>7836480407.1388254</v>
      </c>
      <c r="P85" s="291">
        <f t="shared" ca="1" si="25"/>
        <v>5579781993.6900492</v>
      </c>
      <c r="Q85" s="291">
        <f t="shared" ca="1" si="26"/>
        <v>10093178820.587601</v>
      </c>
      <c r="R85" s="302" t="e">
        <f t="shared" ca="1" si="9"/>
        <v>#N/A</v>
      </c>
      <c r="S85" s="303" t="e">
        <f ca="1">_xlfn.IFNA(R85,_xlfn.FORECAST.ETS(Forecast!$A85,OFFSET($R$43,,,COUNT($R$43:$R$9989),),OFFSET($A$43,,,COUNT($R$43:$R$9986),),1,1))</f>
        <v>#REF!</v>
      </c>
      <c r="T85" s="304" t="e">
        <f t="shared" ca="1" si="17"/>
        <v>#REF!</v>
      </c>
      <c r="U85" s="304" t="e">
        <f t="shared" ca="1" si="18"/>
        <v>#REF!</v>
      </c>
      <c r="V85" s="302" t="e">
        <f t="shared" ca="1" si="15"/>
        <v>#N/A</v>
      </c>
      <c r="W85" s="302" t="e">
        <f ca="1">_xlfn.IFNA(V85,_xlfn.FORECAST.ETS(Forecast!$A85,OFFSET($V$43,,,COUNT($V$43:$V$9989),),OFFSET($A$43,,,COUNT($V$43:$V$9986),),1,1))</f>
        <v>#REF!</v>
      </c>
      <c r="X85" s="302" t="e">
        <f t="shared" ca="1" si="19"/>
        <v>#REF!</v>
      </c>
      <c r="Y85" s="305" t="e">
        <f t="shared" ca="1" si="20"/>
        <v>#REF!</v>
      </c>
      <c r="Z85" s="306">
        <f t="shared" si="16"/>
        <v>7.1999999999999995E-2</v>
      </c>
      <c r="AA85" s="307">
        <f t="shared" si="16"/>
        <v>6.0000000000000001E-3</v>
      </c>
    </row>
    <row r="86" spans="1:27" s="316" customFormat="1" x14ac:dyDescent="0.35">
      <c r="A86" s="309">
        <v>44470</v>
      </c>
      <c r="B86" s="252" t="e">
        <f t="shared" ca="1" si="12"/>
        <v>#N/A</v>
      </c>
      <c r="C86" s="252">
        <f ca="1">_xlfn.IFNA(B86,_xlfn.FORECAST.ETS(Forecast!$A86,OFFSET($B$60,,,COUNT($B$60:$B$9999),),OFFSET($A$60,,,COUNT($B$60:$B$9977),),0,1))</f>
        <v>4.1541320683796863E-4</v>
      </c>
      <c r="D86" s="252">
        <f t="shared" ca="1" si="27"/>
        <v>-3.1300824542412849E-2</v>
      </c>
      <c r="E86" s="252">
        <f t="shared" ca="1" si="28"/>
        <v>3.2131650956088782E-2</v>
      </c>
      <c r="F86" s="254" t="e">
        <f t="shared" ca="1" si="13"/>
        <v>#N/A</v>
      </c>
      <c r="G86" s="262">
        <f ca="1">_xlfn.IFNA(F86,_xlfn.FORECAST.ETS(Forecast!$A86,OFFSET($F$59,,,COUNT($F$59:$F$9980),),OFFSET($A$59,,,COUNT($F$59:$F$9977),),0,1))</f>
        <v>7266253430.7229509</v>
      </c>
      <c r="H86" s="254">
        <f t="shared" ca="1" si="21"/>
        <v>-353800873.33209133</v>
      </c>
      <c r="I86" s="254">
        <f t="shared" ca="1" si="29"/>
        <v>9535246720.1148224</v>
      </c>
      <c r="J86" s="255" t="e">
        <f t="shared" ca="1" si="14"/>
        <v>#N/A</v>
      </c>
      <c r="K86" s="252">
        <f ca="1">_xlfn.IFNA(J86,_xlfn.FORECAST.ETS(Forecast!$A86,OFFSET($J$57,,,COUNT($J$57:$J$9997),),OFFSET($A$57,,,COUNT($J$57:$J$9994),),1,1))</f>
        <v>6.5863512464814594E-4</v>
      </c>
      <c r="L86" s="289">
        <f t="shared" ca="1" si="23"/>
        <v>2.8207184636078929E-4</v>
      </c>
      <c r="M86" s="290">
        <f t="shared" ca="1" si="24"/>
        <v>1.0351984029355026E-3</v>
      </c>
      <c r="N86" s="258" t="e">
        <f t="shared" ca="1" si="11"/>
        <v>#N/A</v>
      </c>
      <c r="O86" s="253">
        <f ca="1">_xlfn.IFNA(N86,_xlfn.FORECAST.ETS(Forecast!$A86,OFFSET($N$57,,,COUNT($N$57:$N$9987),),OFFSET($A$55,,,COUNT($N$57:$N$9984),),1,1))</f>
        <v>8107862489.7503643</v>
      </c>
      <c r="P86" s="291">
        <f t="shared" ca="1" si="25"/>
        <v>5838869200.3584919</v>
      </c>
      <c r="Q86" s="291">
        <f t="shared" ca="1" si="26"/>
        <v>10376855779.142237</v>
      </c>
      <c r="R86" s="302" t="e">
        <f t="shared" ca="1" si="9"/>
        <v>#N/A</v>
      </c>
      <c r="S86" s="276" t="e">
        <f ca="1">_xlfn.IFNA(R86,_xlfn.FORECAST.ETS(Forecast!$A86,OFFSET($R$43,,,COUNT($R$43:$R$9989),),OFFSET($A$43,,,COUNT($R$43:$R$9986),),1,1))</f>
        <v>#REF!</v>
      </c>
      <c r="T86" s="277" t="e">
        <f t="shared" ca="1" si="17"/>
        <v>#REF!</v>
      </c>
      <c r="U86" s="277" t="e">
        <f t="shared" ca="1" si="18"/>
        <v>#REF!</v>
      </c>
      <c r="V86" s="311" t="e">
        <f t="shared" ca="1" si="15"/>
        <v>#N/A</v>
      </c>
      <c r="W86" s="244" t="e">
        <f ca="1">_xlfn.IFNA(V86,_xlfn.FORECAST.ETS(Forecast!$A86,OFFSET($V$43,,,COUNT($V$43:$V$9989),),OFFSET($A$43,,,COUNT($V$43:$V$9986),),1,1))</f>
        <v>#REF!</v>
      </c>
      <c r="X86" s="244" t="e">
        <f t="shared" ca="1" si="19"/>
        <v>#REF!</v>
      </c>
      <c r="Y86" s="283" t="e">
        <f t="shared" ca="1" si="20"/>
        <v>#REF!</v>
      </c>
      <c r="Z86" s="314">
        <f t="shared" si="16"/>
        <v>7.1999999999999995E-2</v>
      </c>
      <c r="AA86" s="315">
        <f t="shared" si="16"/>
        <v>6.0000000000000001E-3</v>
      </c>
    </row>
    <row r="87" spans="1:27" x14ac:dyDescent="0.35">
      <c r="A87" s="251">
        <v>44501</v>
      </c>
      <c r="B87" s="252" t="e">
        <f t="shared" ca="1" si="12"/>
        <v>#N/A</v>
      </c>
      <c r="C87" s="252">
        <f ca="1">_xlfn.IFNA(B87,_xlfn.FORECAST.ETS(Forecast!$A87,OFFSET($B$60,,,COUNT($B$60:$B$9999),),OFFSET($A$60,,,COUNT($B$60:$B$9977),),0,1))</f>
        <v>1.8224378661280808E-4</v>
      </c>
      <c r="D87" s="252">
        <f t="shared" ca="1" si="27"/>
        <v>-3.1787042073561735E-2</v>
      </c>
      <c r="E87" s="252">
        <f t="shared" ca="1" si="28"/>
        <v>3.2151529646787351E-2</v>
      </c>
      <c r="F87" s="254" t="e">
        <f t="shared" ca="1" si="13"/>
        <v>#N/A</v>
      </c>
      <c r="G87" s="262">
        <f ca="1">_xlfn.IFNA(F87,_xlfn.FORECAST.ETS(Forecast!$A87,OFFSET($F$59,,,COUNT($F$59:$F$9980),),OFFSET($A$59,,,COUNT($F$59:$F$9977),),0,1))</f>
        <v>7552477225.4992456</v>
      </c>
      <c r="H87" s="254">
        <f t="shared" ca="1" si="21"/>
        <v>-204987767.86025143</v>
      </c>
      <c r="I87" s="254">
        <f t="shared" ca="1" si="29"/>
        <v>9833923919.5579834</v>
      </c>
      <c r="J87" s="255" t="e">
        <f t="shared" ca="1" si="14"/>
        <v>#N/A</v>
      </c>
      <c r="K87" s="252">
        <f ca="1">_xlfn.IFNA(J87,_xlfn.FORECAST.ETS(Forecast!$A87,OFFSET($J$57,,,COUNT($J$57:$J$9997),),OFFSET($A$57,,,COUNT($J$57:$J$9994),),1,1))</f>
        <v>6.8131759863859429E-4</v>
      </c>
      <c r="L87" s="289">
        <f t="shared" ca="1" si="23"/>
        <v>3.0472722234679427E-4</v>
      </c>
      <c r="M87" s="290">
        <f t="shared" ca="1" si="24"/>
        <v>1.0579079749303943E-3</v>
      </c>
      <c r="N87" s="258" t="e">
        <f t="shared" ca="1" si="11"/>
        <v>#N/A</v>
      </c>
      <c r="O87" s="253">
        <f ca="1">_xlfn.IFNA(N87,_xlfn.FORECAST.ETS(Forecast!$A87,OFFSET($N$57,,,COUNT($N$57:$N$9987),),OFFSET($A$55,,,COUNT($N$57:$N$9984),),1,1))</f>
        <v>8379244572.3619022</v>
      </c>
      <c r="P87" s="291">
        <f t="shared" ca="1" si="25"/>
        <v>6097797878.3031635</v>
      </c>
      <c r="Q87" s="291">
        <f t="shared" ca="1" si="26"/>
        <v>10660691266.420641</v>
      </c>
      <c r="R87" s="302" t="e">
        <f t="shared" ca="1" si="9"/>
        <v>#N/A</v>
      </c>
      <c r="S87" s="276" t="e">
        <f ca="1">_xlfn.IFNA(R87,_xlfn.FORECAST.ETS(Forecast!$A87,OFFSET($R$43,,,COUNT($R$43:$R$9989),),OFFSET($A$43,,,COUNT($R$43:$R$9986),),1,1))</f>
        <v>#REF!</v>
      </c>
      <c r="T87" s="277" t="e">
        <f t="shared" ca="1" si="17"/>
        <v>#REF!</v>
      </c>
      <c r="U87" s="277" t="e">
        <f t="shared" ca="1" si="18"/>
        <v>#REF!</v>
      </c>
      <c r="V87" s="244" t="e">
        <f t="shared" ca="1" si="15"/>
        <v>#N/A</v>
      </c>
      <c r="W87" s="244" t="e">
        <f ca="1">_xlfn.IFNA(V87,_xlfn.FORECAST.ETS(Forecast!$A87,OFFSET($V$43,,,COUNT($V$43:$V$9989),),OFFSET($A$43,,,COUNT($V$43:$V$9986),),1,1))</f>
        <v>#REF!</v>
      </c>
      <c r="X87" s="244" t="e">
        <f t="shared" ca="1" si="19"/>
        <v>#REF!</v>
      </c>
      <c r="Y87" s="283" t="e">
        <f t="shared" ca="1" si="20"/>
        <v>#REF!</v>
      </c>
      <c r="Z87" s="263">
        <f t="shared" ref="Z87:AA100" si="30">Z86</f>
        <v>7.1999999999999995E-2</v>
      </c>
      <c r="AA87" s="264">
        <f t="shared" si="30"/>
        <v>6.0000000000000001E-3</v>
      </c>
    </row>
    <row r="88" spans="1:27" s="308" customFormat="1" x14ac:dyDescent="0.35">
      <c r="A88" s="293">
        <v>44531</v>
      </c>
      <c r="B88" s="252" t="e">
        <f t="shared" ca="1" si="12"/>
        <v>#N/A</v>
      </c>
      <c r="C88" s="252">
        <f ca="1">_xlfn.IFNA(B88,_xlfn.FORECAST.ETS(Forecast!$A88,OFFSET($B$60,,,COUNT($B$60:$B$9999),),OFFSET($A$60,,,COUNT($B$60:$B$9977),),0,1))</f>
        <v>-5.0925633612331586E-5</v>
      </c>
      <c r="D88" s="252">
        <f t="shared" ca="1" si="27"/>
        <v>-3.2274963304533666E-2</v>
      </c>
      <c r="E88" s="252">
        <f t="shared" ca="1" si="28"/>
        <v>3.2173112037309007E-2</v>
      </c>
      <c r="F88" s="254" t="e">
        <f t="shared" ca="1" si="13"/>
        <v>#N/A</v>
      </c>
      <c r="G88" s="262">
        <f ca="1">_xlfn.IFNA(F88,_xlfn.FORECAST.ETS(Forecast!$A88,OFFSET($F$59,,,COUNT($F$59:$F$9980),),OFFSET($A$59,,,COUNT($F$59:$F$9977),),0,1))</f>
        <v>7838701020.2755413</v>
      </c>
      <c r="H88" s="254">
        <f t="shared" ca="1" si="21"/>
        <v>-54093664.052038193</v>
      </c>
      <c r="I88" s="254">
        <f t="shared" ca="1" si="29"/>
        <v>10132759107.493511</v>
      </c>
      <c r="J88" s="255" t="e">
        <f t="shared" ca="1" si="14"/>
        <v>#N/A</v>
      </c>
      <c r="K88" s="252">
        <f ca="1">_xlfn.IFNA(J88,_xlfn.FORECAST.ETS(Forecast!$A88,OFFSET($J$57,,,COUNT($J$57:$J$9997),),OFFSET($A$57,,,COUNT($J$57:$J$9994),),1,1))</f>
        <v>7.0400007262904219E-4</v>
      </c>
      <c r="L88" s="289">
        <f t="shared" ca="1" si="23"/>
        <v>3.2737789630496092E-4</v>
      </c>
      <c r="M88" s="290">
        <f t="shared" ca="1" si="24"/>
        <v>1.0806222489531236E-3</v>
      </c>
      <c r="N88" s="258" t="e">
        <f t="shared" ca="1" si="11"/>
        <v>#N/A</v>
      </c>
      <c r="O88" s="253">
        <f ca="1">_xlfn.IFNA(N88,_xlfn.FORECAST.ETS(Forecast!$A88,OFFSET($N$57,,,COUNT($N$57:$N$9987),),OFFSET($A$55,,,COUNT($N$57:$N$9984),),1,1))</f>
        <v>8650626654.9734421</v>
      </c>
      <c r="P88" s="291">
        <f t="shared" ca="1" si="25"/>
        <v>6356568567.7554722</v>
      </c>
      <c r="Q88" s="291">
        <f t="shared" ca="1" si="26"/>
        <v>10944684742.191412</v>
      </c>
      <c r="R88" s="302" t="e">
        <f t="shared" ca="1" si="9"/>
        <v>#N/A</v>
      </c>
      <c r="S88" s="276" t="e">
        <f ca="1">_xlfn.IFNA(R88,_xlfn.FORECAST.ETS(Forecast!$A88,OFFSET($R$43,,,COUNT($R$43:$R$9989),),OFFSET($A$43,,,COUNT($R$43:$R$9986),),1,1))</f>
        <v>#REF!</v>
      </c>
      <c r="T88" s="277" t="e">
        <f t="shared" ca="1" si="17"/>
        <v>#REF!</v>
      </c>
      <c r="U88" s="277" t="e">
        <f t="shared" ca="1" si="18"/>
        <v>#REF!</v>
      </c>
      <c r="V88" s="302" t="e">
        <f t="shared" ca="1" si="15"/>
        <v>#N/A</v>
      </c>
      <c r="W88" s="244" t="e">
        <f ca="1">_xlfn.IFNA(V88,_xlfn.FORECAST.ETS(Forecast!$A88,OFFSET($V$43,,,COUNT($V$43:$V$9989),),OFFSET($A$43,,,COUNT($V$43:$V$9986),),1,1))</f>
        <v>#REF!</v>
      </c>
      <c r="X88" s="244" t="e">
        <f t="shared" ca="1" si="19"/>
        <v>#REF!</v>
      </c>
      <c r="Y88" s="283" t="e">
        <f t="shared" ca="1" si="20"/>
        <v>#REF!</v>
      </c>
      <c r="Z88" s="306">
        <f t="shared" si="30"/>
        <v>7.1999999999999995E-2</v>
      </c>
      <c r="AA88" s="307">
        <f t="shared" si="30"/>
        <v>6.0000000000000001E-3</v>
      </c>
    </row>
    <row r="89" spans="1:27" x14ac:dyDescent="0.35">
      <c r="A89" s="251">
        <v>44562</v>
      </c>
      <c r="B89" s="252" t="e">
        <f t="shared" ca="1" si="12"/>
        <v>#N/A</v>
      </c>
      <c r="C89" s="252">
        <f ca="1">_xlfn.IFNA(B89,_xlfn.FORECAST.ETS(Forecast!$A89,OFFSET($B$60,,,COUNT($B$60:$B$9999),),OFFSET($A$60,,,COUNT($B$60:$B$9977),),0,1))</f>
        <v>-2.8409505383749213E-4</v>
      </c>
      <c r="D89" s="252">
        <f t="shared" ca="1" si="27"/>
        <v>-3.2764574973049826E-2</v>
      </c>
      <c r="E89" s="252">
        <f t="shared" ca="1" si="28"/>
        <v>3.2196384865374836E-2</v>
      </c>
      <c r="F89" s="254" t="e">
        <f t="shared" ca="1" si="13"/>
        <v>#N/A</v>
      </c>
      <c r="G89" s="262">
        <f ca="1">_xlfn.IFNA(F89,_xlfn.FORECAST.ETS(Forecast!$A89,OFFSET($F$59,,,COUNT($F$59:$F$9980),),OFFSET($A$59,,,COUNT($F$59:$F$9977),),0,1))</f>
        <v>8124924815.051836</v>
      </c>
      <c r="H89" s="254">
        <f t="shared" ca="1" si="21"/>
        <v>98775818.781838417</v>
      </c>
      <c r="I89" s="254">
        <f t="shared" ca="1" si="29"/>
        <v>10431751722.968975</v>
      </c>
      <c r="J89" s="255" t="e">
        <f t="shared" ca="1" si="14"/>
        <v>#N/A</v>
      </c>
      <c r="K89" s="252">
        <f ca="1">_xlfn.IFNA(J89,_xlfn.FORECAST.ETS(Forecast!$A89,OFFSET($J$57,,,COUNT($J$57:$J$9997),),OFFSET($A$57,,,COUNT($J$57:$J$9994),),1,1))</f>
        <v>7.2668254661949064E-4</v>
      </c>
      <c r="L89" s="289">
        <f t="shared" ca="1" si="23"/>
        <v>3.5002349314702021E-4</v>
      </c>
      <c r="M89" s="290">
        <f t="shared" ca="1" si="24"/>
        <v>1.103341600091961E-3</v>
      </c>
      <c r="N89" s="258" t="e">
        <f t="shared" ca="1" si="11"/>
        <v>#N/A</v>
      </c>
      <c r="O89" s="253">
        <f ca="1">_xlfn.IFNA(N89,_xlfn.FORECAST.ETS(Forecast!$A89,OFFSET($N$57,,,COUNT($N$57:$N$9987),),OFFSET($A$55,,,COUNT($N$57:$N$9984),),1,1))</f>
        <v>8922008737.58498</v>
      </c>
      <c r="P89" s="291">
        <f t="shared" ca="1" si="25"/>
        <v>6615181829.66784</v>
      </c>
      <c r="Q89" s="291">
        <f t="shared" ca="1" si="26"/>
        <v>11228835645.502121</v>
      </c>
      <c r="R89" s="302" t="e">
        <f t="shared" ca="1" si="9"/>
        <v>#N/A</v>
      </c>
      <c r="S89" s="276" t="e">
        <f ca="1">_xlfn.IFNA(R89,_xlfn.FORECAST.ETS(Forecast!$A89,OFFSET($R$43,,,COUNT($R$43:$R$9989),),OFFSET($A$43,,,COUNT($R$43:$R$9986),),1,1))</f>
        <v>#REF!</v>
      </c>
      <c r="T89" s="277" t="e">
        <f t="shared" ca="1" si="17"/>
        <v>#REF!</v>
      </c>
      <c r="U89" s="277" t="e">
        <f t="shared" ca="1" si="18"/>
        <v>#REF!</v>
      </c>
      <c r="V89" s="244" t="e">
        <f t="shared" ca="1" si="15"/>
        <v>#N/A</v>
      </c>
      <c r="W89" s="244" t="e">
        <f ca="1">_xlfn.IFNA(V89,_xlfn.FORECAST.ETS(Forecast!$A89,OFFSET($V$43,,,COUNT($V$43:$V$9989),),OFFSET($A$43,,,COUNT($V$43:$V$9986),),1,1))</f>
        <v>#REF!</v>
      </c>
      <c r="X89" s="244" t="e">
        <f t="shared" ca="1" si="19"/>
        <v>#REF!</v>
      </c>
      <c r="Y89" s="283" t="e">
        <f t="shared" ca="1" si="20"/>
        <v>#REF!</v>
      </c>
      <c r="Z89" s="263">
        <f t="shared" si="30"/>
        <v>7.1999999999999995E-2</v>
      </c>
      <c r="AA89" s="264">
        <f t="shared" si="30"/>
        <v>6.0000000000000001E-3</v>
      </c>
    </row>
    <row r="90" spans="1:27" x14ac:dyDescent="0.35">
      <c r="A90" s="251">
        <v>44593</v>
      </c>
      <c r="B90" s="252" t="e">
        <f t="shared" ca="1" si="12"/>
        <v>#N/A</v>
      </c>
      <c r="C90" s="252">
        <f ca="1">_xlfn.IFNA(B90,_xlfn.FORECAST.ETS(Forecast!$A90,OFFSET($B$60,,,COUNT($B$60:$B$9999),),OFFSET($A$60,,,COUNT($B$60:$B$9977),),0,1))</f>
        <v>-5.1726447406263141E-4</v>
      </c>
      <c r="D90" s="252">
        <f t="shared" ca="1" si="27"/>
        <v>-3.3255863969137239E-2</v>
      </c>
      <c r="E90" s="252">
        <f t="shared" ca="1" si="28"/>
        <v>3.2221335021011974E-2</v>
      </c>
      <c r="F90" s="254" t="e">
        <f t="shared" ca="1" si="13"/>
        <v>#N/A</v>
      </c>
      <c r="G90" s="262">
        <f ca="1">_xlfn.IFNA(F90,_xlfn.FORECAST.ETS(Forecast!$A90,OFFSET($F$59,,,COUNT($F$59:$F$9980),),OFFSET($A$59,,,COUNT($F$59:$F$9977),),0,1))</f>
        <v>8411148609.8281307</v>
      </c>
      <c r="H90" s="254">
        <f t="shared" ca="1" si="21"/>
        <v>253523455.18601608</v>
      </c>
      <c r="I90" s="254">
        <f t="shared" ca="1" si="29"/>
        <v>10730901185.255529</v>
      </c>
      <c r="J90" s="255" t="e">
        <f t="shared" ca="1" si="14"/>
        <v>#N/A</v>
      </c>
      <c r="K90" s="252">
        <f ca="1">_xlfn.IFNA(J90,_xlfn.FORECAST.ETS(Forecast!$A90,OFFSET($J$57,,,COUNT($J$57:$J$9997),),OFFSET($A$57,,,COUNT($J$57:$J$9994),),1,1))</f>
        <v>7.4936502060993855E-4</v>
      </c>
      <c r="L90" s="289">
        <f t="shared" ca="1" si="23"/>
        <v>3.7266363812712598E-4</v>
      </c>
      <c r="M90" s="290">
        <f t="shared" ca="1" si="24"/>
        <v>1.1260664030927512E-3</v>
      </c>
      <c r="N90" s="258" t="e">
        <f t="shared" ca="1" si="11"/>
        <v>#N/A</v>
      </c>
      <c r="O90" s="253">
        <f ca="1">_xlfn.IFNA(N90,_xlfn.FORECAST.ETS(Forecast!$A90,OFFSET($N$57,,,COUNT($N$57:$N$9987),),OFFSET($A$55,,,COUNT($N$57:$N$9984),),1,1))</f>
        <v>9193390820.1965179</v>
      </c>
      <c r="P90" s="291">
        <f t="shared" ca="1" si="25"/>
        <v>6873638244.7691193</v>
      </c>
      <c r="Q90" s="291">
        <f t="shared" ca="1" si="26"/>
        <v>11513143395.623917</v>
      </c>
      <c r="R90" s="302" t="e">
        <f t="shared" ca="1" si="9"/>
        <v>#N/A</v>
      </c>
      <c r="S90" s="276" t="e">
        <f ca="1">_xlfn.IFNA(R90,_xlfn.FORECAST.ETS(Forecast!$A90,OFFSET($R$43,,,COUNT($R$43:$R$9989),),OFFSET($A$43,,,COUNT($R$43:$R$9986),),1,1))</f>
        <v>#REF!</v>
      </c>
      <c r="T90" s="277" t="e">
        <f t="shared" ca="1" si="17"/>
        <v>#REF!</v>
      </c>
      <c r="U90" s="277" t="e">
        <f t="shared" ca="1" si="18"/>
        <v>#REF!</v>
      </c>
      <c r="V90" s="244" t="e">
        <f t="shared" ca="1" si="15"/>
        <v>#N/A</v>
      </c>
      <c r="W90" s="244" t="e">
        <f ca="1">_xlfn.IFNA(V90,_xlfn.FORECAST.ETS(Forecast!$A90,OFFSET($V$43,,,COUNT($V$43:$V$9989),),OFFSET($A$43,,,COUNT($V$43:$V$9986),),1,1))</f>
        <v>#REF!</v>
      </c>
      <c r="X90" s="244" t="e">
        <f t="shared" ca="1" si="19"/>
        <v>#REF!</v>
      </c>
      <c r="Y90" s="283" t="e">
        <f t="shared" ca="1" si="20"/>
        <v>#REF!</v>
      </c>
      <c r="Z90" s="263">
        <f t="shared" si="30"/>
        <v>7.1999999999999995E-2</v>
      </c>
      <c r="AA90" s="264">
        <f t="shared" si="30"/>
        <v>6.0000000000000001E-3</v>
      </c>
    </row>
    <row r="91" spans="1:27" x14ac:dyDescent="0.35">
      <c r="A91" s="251">
        <v>44621</v>
      </c>
      <c r="B91" s="252" t="e">
        <f t="shared" ca="1" si="12"/>
        <v>#N/A</v>
      </c>
      <c r="C91" s="252">
        <f ca="1">_xlfn.IFNA(B91,_xlfn.FORECAST.ETS(Forecast!$A91,OFFSET($B$60,,,COUNT($B$60:$B$9999),),OFFSET($A$60,,,COUNT($B$60:$B$9977),),0,1))</f>
        <v>-7.5043389428779193E-4</v>
      </c>
      <c r="D91" s="252">
        <f t="shared" ca="1" si="27"/>
        <v>-3.3748817335901071E-2</v>
      </c>
      <c r="E91" s="252">
        <f t="shared" ca="1" si="28"/>
        <v>3.2247949547325488E-2</v>
      </c>
      <c r="F91" s="254" t="e">
        <f t="shared" ca="1" si="13"/>
        <v>#N/A</v>
      </c>
      <c r="G91" s="262">
        <f ca="1">_xlfn.IFNA(F91,_xlfn.FORECAST.ETS(Forecast!$A91,OFFSET($F$59,,,COUNT($F$59:$F$9980),),OFFSET($A$59,,,COUNT($F$59:$F$9977),),0,1))</f>
        <v>8697372404.6044254</v>
      </c>
      <c r="H91" s="254">
        <f t="shared" ca="1" si="21"/>
        <v>410059511.67920589</v>
      </c>
      <c r="I91" s="254">
        <f t="shared" ca="1" si="29"/>
        <v>11030206894.78027</v>
      </c>
      <c r="J91" s="255" t="e">
        <f t="shared" ca="1" si="14"/>
        <v>#N/A</v>
      </c>
      <c r="K91" s="252">
        <f ca="1">_xlfn.IFNA(J91,_xlfn.FORECAST.ETS(Forecast!$A91,OFFSET($J$57,,,COUNT($J$57:$J$9997),),OFFSET($A$57,,,COUNT($J$57:$J$9994),),1,1))</f>
        <v>7.7204749460038689E-4</v>
      </c>
      <c r="L91" s="289">
        <f t="shared" ca="1" si="23"/>
        <v>3.952979568940549E-4</v>
      </c>
      <c r="M91" s="290">
        <f t="shared" ca="1" si="24"/>
        <v>1.1487970323067189E-3</v>
      </c>
      <c r="N91" s="258" t="e">
        <f t="shared" ca="1" si="11"/>
        <v>#N/A</v>
      </c>
      <c r="O91" s="253">
        <f ca="1">_xlfn.IFNA(N91,_xlfn.FORECAST.ETS(Forecast!$A91,OFFSET($N$57,,,COUNT($N$57:$N$9987),),OFFSET($A$55,,,COUNT($N$57:$N$9984),),1,1))</f>
        <v>9464772902.8080578</v>
      </c>
      <c r="P91" s="291">
        <f t="shared" ca="1" si="25"/>
        <v>7131938412.6322136</v>
      </c>
      <c r="Q91" s="291">
        <f t="shared" ca="1" si="26"/>
        <v>11797607392.983902</v>
      </c>
      <c r="R91" s="302" t="e">
        <f t="shared" ca="1" si="9"/>
        <v>#N/A</v>
      </c>
      <c r="S91" s="276" t="e">
        <f ca="1">_xlfn.IFNA(R91,_xlfn.FORECAST.ETS(Forecast!$A91,OFFSET($R$43,,,COUNT($R$43:$R$9989),),OFFSET($A$43,,,COUNT($R$43:$R$9986),),1,1))</f>
        <v>#REF!</v>
      </c>
      <c r="T91" s="277" t="e">
        <f t="shared" ca="1" si="17"/>
        <v>#REF!</v>
      </c>
      <c r="U91" s="277" t="e">
        <f t="shared" ca="1" si="18"/>
        <v>#REF!</v>
      </c>
      <c r="V91" s="244" t="e">
        <f t="shared" ca="1" si="15"/>
        <v>#N/A</v>
      </c>
      <c r="W91" s="244" t="e">
        <f ca="1">_xlfn.IFNA(V91,_xlfn.FORECAST.ETS(Forecast!$A91,OFFSET($V$43,,,COUNT($V$43:$V$9989),),OFFSET($A$43,,,COUNT($V$43:$V$9986),),1,1))</f>
        <v>#REF!</v>
      </c>
      <c r="X91" s="244" t="e">
        <f t="shared" ca="1" si="19"/>
        <v>#REF!</v>
      </c>
      <c r="Y91" s="283" t="e">
        <f t="shared" ca="1" si="20"/>
        <v>#REF!</v>
      </c>
      <c r="Z91" s="263">
        <f t="shared" si="30"/>
        <v>7.1999999999999995E-2</v>
      </c>
      <c r="AA91" s="264">
        <f t="shared" si="30"/>
        <v>6.0000000000000001E-3</v>
      </c>
    </row>
    <row r="92" spans="1:27" x14ac:dyDescent="0.35">
      <c r="A92" s="251">
        <v>44652</v>
      </c>
      <c r="B92" s="252" t="e">
        <f t="shared" ca="1" si="12"/>
        <v>#N/A</v>
      </c>
      <c r="C92" s="252">
        <f ca="1">_xlfn.IFNA(B92,_xlfn.FORECAST.ETS(Forecast!$A92,OFFSET($B$60,,,COUNT($B$60:$B$9999),),OFFSET($A$60,,,COUNT($B$60:$B$9977),),0,1))</f>
        <v>-9.836033145129311E-4</v>
      </c>
      <c r="D92" s="252">
        <f t="shared" ca="1" si="27"/>
        <v>-3.4243422270093832E-2</v>
      </c>
      <c r="E92" s="252">
        <f t="shared" ca="1" si="28"/>
        <v>3.2276215641067973E-2</v>
      </c>
      <c r="F92" s="254" t="e">
        <f t="shared" ca="1" si="13"/>
        <v>#N/A</v>
      </c>
      <c r="G92" s="262">
        <f ca="1">_xlfn.IFNA(F92,_xlfn.FORECAST.ETS(Forecast!$A92,OFFSET($F$59,,,COUNT($F$59:$F$9980),),OFFSET($A$59,,,COUNT($F$59:$F$9977),),0,1))</f>
        <v>8983596199.380722</v>
      </c>
      <c r="H92" s="254">
        <f t="shared" ca="1" si="21"/>
        <v>568300965.61539078</v>
      </c>
      <c r="I92" s="254">
        <f t="shared" ca="1" si="29"/>
        <v>11329668234.045414</v>
      </c>
      <c r="J92" s="255" t="e">
        <f t="shared" ca="1" si="14"/>
        <v>#N/A</v>
      </c>
      <c r="K92" s="252">
        <f ca="1">_xlfn.IFNA(J92,_xlfn.FORECAST.ETS(Forecast!$A92,OFFSET($J$57,,,COUNT($J$57:$J$9997),),OFFSET($A$57,,,COUNT($J$57:$J$9994),),1,1))</f>
        <v>7.9472996859083491E-4</v>
      </c>
      <c r="L92" s="289">
        <f t="shared" ca="1" si="23"/>
        <v>4.1792607554700246E-4</v>
      </c>
      <c r="M92" s="290">
        <f t="shared" ca="1" si="24"/>
        <v>1.1715338616346675E-3</v>
      </c>
      <c r="N92" s="258" t="e">
        <f t="shared" ca="1" si="11"/>
        <v>#N/A</v>
      </c>
      <c r="O92" s="253">
        <f ca="1">_xlfn.IFNA(N92,_xlfn.FORECAST.ETS(Forecast!$A92,OFFSET($N$57,,,COUNT($N$57:$N$9987),),OFFSET($A$55,,,COUNT($N$57:$N$9984),),1,1))</f>
        <v>9736154985.4195976</v>
      </c>
      <c r="P92" s="291">
        <f t="shared" ca="1" si="25"/>
        <v>7390082950.7549057</v>
      </c>
      <c r="Q92" s="291">
        <f t="shared" ca="1" si="26"/>
        <v>12082227020.08429</v>
      </c>
      <c r="R92" s="302" t="e">
        <f t="shared" ca="1" si="9"/>
        <v>#N/A</v>
      </c>
      <c r="S92" s="276" t="e">
        <f ca="1">_xlfn.IFNA(R92,_xlfn.FORECAST.ETS(Forecast!$A92,OFFSET($R$43,,,COUNT($R$43:$R$9989),),OFFSET($A$43,,,COUNT($R$43:$R$9986),),1,1))</f>
        <v>#REF!</v>
      </c>
      <c r="T92" s="277" t="e">
        <f t="shared" ca="1" si="17"/>
        <v>#REF!</v>
      </c>
      <c r="U92" s="277" t="e">
        <f t="shared" ca="1" si="18"/>
        <v>#REF!</v>
      </c>
      <c r="V92" s="244" t="e">
        <f t="shared" ca="1" si="15"/>
        <v>#N/A</v>
      </c>
      <c r="W92" s="244" t="e">
        <f ca="1">_xlfn.IFNA(V92,_xlfn.FORECAST.ETS(Forecast!$A92,OFFSET($V$43,,,COUNT($V$43:$V$9989),),OFFSET($A$43,,,COUNT($V$43:$V$9986),),1,1))</f>
        <v>#REF!</v>
      </c>
      <c r="X92" s="244" t="e">
        <f t="shared" ca="1" si="19"/>
        <v>#REF!</v>
      </c>
      <c r="Y92" s="283" t="e">
        <f t="shared" ca="1" si="20"/>
        <v>#REF!</v>
      </c>
      <c r="Z92" s="263">
        <f t="shared" si="30"/>
        <v>7.1999999999999995E-2</v>
      </c>
      <c r="AA92" s="264">
        <f t="shared" si="30"/>
        <v>6.0000000000000001E-3</v>
      </c>
    </row>
    <row r="93" spans="1:27" x14ac:dyDescent="0.35">
      <c r="A93" s="251">
        <v>44682</v>
      </c>
      <c r="B93" s="252" t="e">
        <f t="shared" ca="1" si="12"/>
        <v>#N/A</v>
      </c>
      <c r="C93" s="252">
        <f ca="1">_xlfn.IFNA(B93,_xlfn.FORECAST.ETS(Forecast!$A93,OFFSET($B$60,,,COUNT($B$60:$B$9999),),OFFSET($A$60,,,COUNT($B$60:$B$9977),),0,1))</f>
        <v>-1.2167727347380918E-3</v>
      </c>
      <c r="D93" s="252">
        <f t="shared" ca="1" si="27"/>
        <v>-3.473966612249467E-2</v>
      </c>
      <c r="E93" s="252">
        <f t="shared" ca="1" si="28"/>
        <v>3.230612065301848E-2</v>
      </c>
      <c r="F93" s="254" t="e">
        <f t="shared" ca="1" si="13"/>
        <v>#N/A</v>
      </c>
      <c r="G93" s="262">
        <f ca="1">_xlfn.IFNA(F93,_xlfn.FORECAST.ETS(Forecast!$A93,OFFSET($F$59,,,COUNT($F$59:$F$9980),),OFFSET($A$59,,,COUNT($F$59:$F$9977),),0,1))</f>
        <v>9269819994.1570168</v>
      </c>
      <c r="H93" s="254">
        <f t="shared" ca="1" si="21"/>
        <v>728170825.61001396</v>
      </c>
      <c r="I93" s="254">
        <f t="shared" ca="1" si="29"/>
        <v>11629284568.533287</v>
      </c>
      <c r="J93" s="255" t="e">
        <f t="shared" ca="1" si="14"/>
        <v>#N/A</v>
      </c>
      <c r="K93" s="252">
        <f ca="1">_xlfn.IFNA(J93,_xlfn.FORECAST.ETS(Forecast!$A93,OFFSET($J$57,,,COUNT($J$57:$J$9997),),OFFSET($A$57,,,COUNT($J$57:$J$9994),),1,1))</f>
        <v>8.1741244258128336E-4</v>
      </c>
      <c r="L93" s="289">
        <f t="shared" ca="1" si="23"/>
        <v>4.405476206949547E-4</v>
      </c>
      <c r="M93" s="290">
        <f t="shared" ca="1" si="24"/>
        <v>1.194277264467612E-3</v>
      </c>
      <c r="N93" s="258" t="e">
        <f t="shared" ca="1" si="11"/>
        <v>#N/A</v>
      </c>
      <c r="O93" s="253">
        <f ca="1">_xlfn.IFNA(N93,_xlfn.FORECAST.ETS(Forecast!$A93,OFFSET($N$57,,,COUNT($N$57:$N$9987),),OFFSET($A$55,,,COUNT($N$57:$N$9984),),1,1))</f>
        <v>10007537068.031136</v>
      </c>
      <c r="P93" s="291">
        <f t="shared" ca="1" si="25"/>
        <v>7648072493.6548643</v>
      </c>
      <c r="Q93" s="291">
        <f t="shared" ca="1" si="26"/>
        <v>12367001642.407406</v>
      </c>
      <c r="R93" s="302" t="e">
        <f t="shared" ca="1" si="9"/>
        <v>#N/A</v>
      </c>
      <c r="S93" s="276" t="e">
        <f ca="1">_xlfn.IFNA(R93,_xlfn.FORECAST.ETS(Forecast!$A93,OFFSET($R$43,,,COUNT($R$43:$R$9989),),OFFSET($A$43,,,COUNT($R$43:$R$9986),),1,1))</f>
        <v>#REF!</v>
      </c>
      <c r="T93" s="277" t="e">
        <f t="shared" ca="1" si="17"/>
        <v>#REF!</v>
      </c>
      <c r="U93" s="277" t="e">
        <f t="shared" ca="1" si="18"/>
        <v>#REF!</v>
      </c>
      <c r="V93" s="244" t="e">
        <f t="shared" ca="1" si="15"/>
        <v>#N/A</v>
      </c>
      <c r="W93" s="244" t="e">
        <f ca="1">_xlfn.IFNA(V93,_xlfn.FORECAST.ETS(Forecast!$A93,OFFSET($V$43,,,COUNT($V$43:$V$9989),),OFFSET($A$43,,,COUNT($V$43:$V$9986),),1,1))</f>
        <v>#REF!</v>
      </c>
      <c r="X93" s="244" t="e">
        <f t="shared" ca="1" si="19"/>
        <v>#REF!</v>
      </c>
      <c r="Y93" s="283" t="e">
        <f t="shared" ca="1" si="20"/>
        <v>#REF!</v>
      </c>
      <c r="Z93" s="263">
        <f t="shared" si="30"/>
        <v>7.1999999999999995E-2</v>
      </c>
      <c r="AA93" s="264">
        <f t="shared" si="30"/>
        <v>6.0000000000000001E-3</v>
      </c>
    </row>
    <row r="94" spans="1:27" x14ac:dyDescent="0.35">
      <c r="A94" s="251">
        <v>44713</v>
      </c>
      <c r="B94" s="252" t="e">
        <f t="shared" ca="1" si="12"/>
        <v>#N/A</v>
      </c>
      <c r="C94" s="252">
        <f ca="1">_xlfn.IFNA(B94,_xlfn.FORECAST.ETS(Forecast!$A94,OFFSET($B$60,,,COUNT($B$60:$B$9999),),OFFSET($A$60,,,COUNT($B$60:$B$9977),),0,1))</f>
        <v>-1.4499421549632309E-3</v>
      </c>
      <c r="D94" s="252">
        <f t="shared" ca="1" si="27"/>
        <v>-3.5237536398109774E-2</v>
      </c>
      <c r="E94" s="252">
        <f t="shared" ca="1" si="28"/>
        <v>3.2337652088183309E-2</v>
      </c>
      <c r="F94" s="254" t="e">
        <f t="shared" ca="1" si="13"/>
        <v>#N/A</v>
      </c>
      <c r="G94" s="262">
        <f ca="1">_xlfn.IFNA(F94,_xlfn.FORECAST.ETS(Forecast!$A94,OFFSET($F$59,,,COUNT($F$59:$F$9980),),OFFSET($A$59,,,COUNT($F$59:$F$9977),),0,1))</f>
        <v>9556043788.9333115</v>
      </c>
      <c r="H94" s="254">
        <f t="shared" ca="1" si="21"/>
        <v>889597537.85171127</v>
      </c>
      <c r="I94" s="254">
        <f t="shared" ca="1" si="29"/>
        <v>11929055247.596323</v>
      </c>
      <c r="J94" s="255" t="e">
        <f t="shared" ca="1" si="14"/>
        <v>#N/A</v>
      </c>
      <c r="K94" s="252">
        <f ca="1">_xlfn.IFNA(J94,_xlfn.FORECAST.ETS(Forecast!$A94,OFFSET($J$57,,,COUNT($J$57:$J$9997),),OFFSET($A$57,,,COUNT($J$57:$J$9994),),1,1))</f>
        <v>8.4009491657173127E-4</v>
      </c>
      <c r="L94" s="289">
        <f t="shared" ca="1" si="23"/>
        <v>4.6316221951958316E-4</v>
      </c>
      <c r="M94" s="290">
        <f t="shared" ca="1" si="24"/>
        <v>1.2170276136238794E-3</v>
      </c>
      <c r="N94" s="258" t="e">
        <f t="shared" ca="1" si="11"/>
        <v>#N/A</v>
      </c>
      <c r="O94" s="253">
        <f ca="1">_xlfn.IFNA(N94,_xlfn.FORECAST.ETS(Forecast!$A94,OFFSET($N$57,,,COUNT($N$57:$N$9987),),OFFSET($A$55,,,COUNT($N$57:$N$9984),),1,1))</f>
        <v>10278919150.642673</v>
      </c>
      <c r="P94" s="291">
        <f t="shared" ca="1" si="25"/>
        <v>7905907691.9796619</v>
      </c>
      <c r="Q94" s="291">
        <f t="shared" ca="1" si="26"/>
        <v>12651930609.305685</v>
      </c>
      <c r="R94" s="302" t="e">
        <f t="shared" ca="1" si="9"/>
        <v>#N/A</v>
      </c>
      <c r="S94" s="276" t="e">
        <f ca="1">_xlfn.IFNA(R94,_xlfn.FORECAST.ETS(Forecast!$A94,OFFSET($R$43,,,COUNT($R$43:$R$9989),),OFFSET($A$43,,,COUNT($R$43:$R$9986),),1,1))</f>
        <v>#REF!</v>
      </c>
      <c r="T94" s="277" t="e">
        <f t="shared" ca="1" si="17"/>
        <v>#REF!</v>
      </c>
      <c r="U94" s="277" t="e">
        <f t="shared" ca="1" si="18"/>
        <v>#REF!</v>
      </c>
      <c r="V94" s="244" t="e">
        <f t="shared" ca="1" si="15"/>
        <v>#N/A</v>
      </c>
      <c r="W94" s="244" t="e">
        <f ca="1">_xlfn.IFNA(V94,_xlfn.FORECAST.ETS(Forecast!$A94,OFFSET($V$43,,,COUNT($V$43:$V$9989),),OFFSET($A$43,,,COUNT($V$43:$V$9986),),1,1))</f>
        <v>#REF!</v>
      </c>
      <c r="X94" s="244" t="e">
        <f t="shared" ca="1" si="19"/>
        <v>#REF!</v>
      </c>
      <c r="Y94" s="283" t="e">
        <f t="shared" ca="1" si="20"/>
        <v>#REF!</v>
      </c>
      <c r="Z94" s="263">
        <f t="shared" si="30"/>
        <v>7.1999999999999995E-2</v>
      </c>
      <c r="AA94" s="264">
        <f t="shared" si="30"/>
        <v>6.0000000000000001E-3</v>
      </c>
    </row>
    <row r="95" spans="1:27" x14ac:dyDescent="0.35">
      <c r="A95" s="251">
        <v>44743</v>
      </c>
      <c r="B95" s="252" t="e">
        <f t="shared" ca="1" si="12"/>
        <v>#N/A</v>
      </c>
      <c r="C95" s="252">
        <f ca="1">_xlfn.IFNA(B95,_xlfn.FORECAST.ETS(Forecast!$A95,OFFSET($B$60,,,COUNT($B$60:$B$9999),),OFFSET($A$60,,,COUNT($B$60:$B$9977),),0,1))</f>
        <v>-1.6831115751883916E-3</v>
      </c>
      <c r="D95" s="252">
        <f t="shared" ca="1" si="27"/>
        <v>-3.5737020756206314E-2</v>
      </c>
      <c r="E95" s="252">
        <f t="shared" ca="1" si="28"/>
        <v>3.2370797605829532E-2</v>
      </c>
      <c r="F95" s="254" t="e">
        <f t="shared" ca="1" si="13"/>
        <v>#N/A</v>
      </c>
      <c r="G95" s="262">
        <f ca="1">_xlfn.IFNA(F95,_xlfn.FORECAST.ETS(Forecast!$A95,OFFSET($F$59,,,COUNT($F$59:$F$9980),),OFFSET($A$59,,,COUNT($F$59:$F$9977),),0,1))</f>
        <v>9842267583.7096062</v>
      </c>
      <c r="H95" s="254">
        <f t="shared" ca="1" si="21"/>
        <v>1052514465.4020901</v>
      </c>
      <c r="I95" s="254">
        <f t="shared" ca="1" si="29"/>
        <v>12228979605.331219</v>
      </c>
      <c r="J95" s="255" t="e">
        <f t="shared" ca="1" si="14"/>
        <v>#N/A</v>
      </c>
      <c r="K95" s="252">
        <f ca="1">_xlfn.IFNA(J95,_xlfn.FORECAST.ETS(Forecast!$A95,OFFSET($J$57,,,COUNT($J$57:$J$9997),),OFFSET($A$57,,,COUNT($J$57:$J$9994),),1,1))</f>
        <v>8.6277739056217961E-4</v>
      </c>
      <c r="L95" s="289">
        <f t="shared" ca="1" si="23"/>
        <v>4.8576949984163059E-4</v>
      </c>
      <c r="M95" s="290">
        <f t="shared" ca="1" si="24"/>
        <v>1.2397852812827286E-3</v>
      </c>
      <c r="N95" s="258" t="e">
        <f t="shared" ca="1" si="11"/>
        <v>#N/A</v>
      </c>
      <c r="O95" s="253">
        <f ca="1">_xlfn.IFNA(N95,_xlfn.FORECAST.ETS(Forecast!$A95,OFFSET($N$57,,,COUNT($N$57:$N$9987),),OFFSET($A$55,,,COUNT($N$57:$N$9984),),1,1))</f>
        <v>10550301233.254211</v>
      </c>
      <c r="P95" s="291">
        <f t="shared" ca="1" si="25"/>
        <v>8163589211.6325989</v>
      </c>
      <c r="Q95" s="291">
        <f t="shared" ca="1" si="26"/>
        <v>12937013254.875824</v>
      </c>
      <c r="R95" s="302" t="e">
        <f t="shared" ca="1" si="9"/>
        <v>#N/A</v>
      </c>
      <c r="S95" s="276" t="e">
        <f ca="1">_xlfn.IFNA(R95,_xlfn.FORECAST.ETS(Forecast!$A95,OFFSET($R$43,,,COUNT($R$43:$R$9989),),OFFSET($A$43,,,COUNT($R$43:$R$9986),),1,1))</f>
        <v>#REF!</v>
      </c>
      <c r="T95" s="277" t="e">
        <f t="shared" ca="1" si="17"/>
        <v>#REF!</v>
      </c>
      <c r="U95" s="277" t="e">
        <f t="shared" ca="1" si="18"/>
        <v>#REF!</v>
      </c>
      <c r="V95" s="244" t="e">
        <f t="shared" ca="1" si="15"/>
        <v>#N/A</v>
      </c>
      <c r="W95" s="244" t="e">
        <f ca="1">_xlfn.IFNA(V95,_xlfn.FORECAST.ETS(Forecast!$A95,OFFSET($V$43,,,COUNT($V$43:$V$9989),),OFFSET($A$43,,,COUNT($V$43:$V$9986),),1,1))</f>
        <v>#REF!</v>
      </c>
      <c r="X95" s="244" t="e">
        <f t="shared" ca="1" si="19"/>
        <v>#REF!</v>
      </c>
      <c r="Y95" s="283" t="e">
        <f t="shared" ca="1" si="20"/>
        <v>#REF!</v>
      </c>
      <c r="Z95" s="263">
        <f t="shared" si="30"/>
        <v>7.1999999999999995E-2</v>
      </c>
      <c r="AA95" s="264">
        <f t="shared" si="30"/>
        <v>6.0000000000000001E-3</v>
      </c>
    </row>
    <row r="96" spans="1:27" x14ac:dyDescent="0.35">
      <c r="A96" s="251">
        <v>44774</v>
      </c>
      <c r="B96" s="252" t="e">
        <f t="shared" ca="1" si="12"/>
        <v>#N/A</v>
      </c>
      <c r="C96" s="252">
        <f ca="1">_xlfn.IFNA(B96,_xlfn.FORECAST.ETS(Forecast!$A96,OFFSET($B$60,,,COUNT($B$60:$B$9999),),OFFSET($A$60,,,COUNT($B$60:$B$9977),),0,1))</f>
        <v>-1.9162809954135307E-3</v>
      </c>
      <c r="D96" s="252">
        <f t="shared" ca="1" si="27"/>
        <v>-3.6238107010189653E-2</v>
      </c>
      <c r="E96" s="252">
        <f t="shared" ca="1" si="28"/>
        <v>3.2405545019362596E-2</v>
      </c>
      <c r="F96" s="254" t="e">
        <f t="shared" ca="1" si="13"/>
        <v>#N/A</v>
      </c>
      <c r="G96" s="262">
        <f ca="1">_xlfn.IFNA(F96,_xlfn.FORECAST.ETS(Forecast!$A96,OFFSET($F$59,,,COUNT($F$59:$F$9980),),OFFSET($A$59,,,COUNT($F$59:$F$9977),),0,1))</f>
        <v>10128491378.485901</v>
      </c>
      <c r="H96" s="254">
        <f t="shared" ca="1" si="21"/>
        <v>1216859429.8137684</v>
      </c>
      <c r="I96" s="254">
        <f t="shared" ca="1" si="29"/>
        <v>12529056961.436607</v>
      </c>
      <c r="J96" s="255" t="e">
        <f t="shared" ca="1" si="14"/>
        <v>#N/A</v>
      </c>
      <c r="K96" s="252">
        <f ca="1">_xlfn.IFNA(J96,_xlfn.FORECAST.ETS(Forecast!$A96,OFFSET($J$57,,,COUNT($J$57:$J$9997),),OFFSET($A$57,,,COUNT($J$57:$J$9994),),1,1))</f>
        <v>8.8545986455262763E-4</v>
      </c>
      <c r="L96" s="289">
        <f t="shared" ca="1" si="23"/>
        <v>5.083690901907243E-4</v>
      </c>
      <c r="M96" s="290">
        <f t="shared" ca="1" si="24"/>
        <v>1.262550638914531E-3</v>
      </c>
      <c r="N96" s="258" t="e">
        <f t="shared" ca="1" si="11"/>
        <v>#N/A</v>
      </c>
      <c r="O96" s="253">
        <f ca="1">_xlfn.IFNA(N96,_xlfn.FORECAST.ETS(Forecast!$A96,OFFSET($N$57,,,COUNT($N$57:$N$9987),),OFFSET($A$55,,,COUNT($N$57:$N$9984),),1,1))</f>
        <v>10821683315.865751</v>
      </c>
      <c r="P96" s="291">
        <f t="shared" ca="1" si="25"/>
        <v>8421117732.9150448</v>
      </c>
      <c r="Q96" s="291">
        <f t="shared" ca="1" si="26"/>
        <v>13222248898.816458</v>
      </c>
      <c r="R96" s="302" t="e">
        <f t="shared" ca="1" si="9"/>
        <v>#N/A</v>
      </c>
      <c r="S96" s="276" t="e">
        <f ca="1">_xlfn.IFNA(R96,_xlfn.FORECAST.ETS(Forecast!$A96,OFFSET($R$43,,,COUNT($R$43:$R$9989),),OFFSET($A$43,,,COUNT($R$43:$R$9986),),1,1))</f>
        <v>#REF!</v>
      </c>
      <c r="T96" s="277" t="e">
        <f t="shared" ca="1" si="17"/>
        <v>#REF!</v>
      </c>
      <c r="U96" s="277" t="e">
        <f t="shared" ca="1" si="18"/>
        <v>#REF!</v>
      </c>
      <c r="V96" s="244" t="e">
        <f t="shared" ca="1" si="15"/>
        <v>#N/A</v>
      </c>
      <c r="W96" s="244" t="e">
        <f ca="1">_xlfn.IFNA(V96,_xlfn.FORECAST.ETS(Forecast!$A96,OFFSET($V$43,,,COUNT($V$43:$V$9989),),OFFSET($A$43,,,COUNT($V$43:$V$9986),),1,1))</f>
        <v>#REF!</v>
      </c>
      <c r="X96" s="244" t="e">
        <f t="shared" ca="1" si="19"/>
        <v>#REF!</v>
      </c>
      <c r="Y96" s="283" t="e">
        <f t="shared" ca="1" si="20"/>
        <v>#REF!</v>
      </c>
      <c r="Z96" s="263">
        <f t="shared" si="30"/>
        <v>7.1999999999999995E-2</v>
      </c>
      <c r="AA96" s="264">
        <f t="shared" si="30"/>
        <v>6.0000000000000001E-3</v>
      </c>
    </row>
    <row r="97" spans="1:27" x14ac:dyDescent="0.35">
      <c r="A97" s="251">
        <v>44805</v>
      </c>
      <c r="B97" s="252" t="e">
        <f t="shared" ca="1" si="12"/>
        <v>#N/A</v>
      </c>
      <c r="C97" s="252">
        <f ca="1">_xlfn.IFNA(B97,_xlfn.FORECAST.ETS(Forecast!$A97,OFFSET($B$60,,,COUNT($B$60:$B$9999),),OFFSET($A$60,,,COUNT($B$60:$B$9977),),0,1))</f>
        <v>-2.1494504156386912E-3</v>
      </c>
      <c r="D97" s="252">
        <f t="shared" ca="1" si="27"/>
        <v>-3.6740783127335412E-2</v>
      </c>
      <c r="E97" s="252">
        <f t="shared" ca="1" si="28"/>
        <v>3.2441882296058024E-2</v>
      </c>
      <c r="F97" s="254" t="e">
        <f t="shared" ca="1" si="13"/>
        <v>#N/A</v>
      </c>
      <c r="G97" s="262">
        <f ca="1">_xlfn.IFNA(F97,_xlfn.FORECAST.ETS(Forecast!$A97,OFFSET($F$59,,,COUNT($F$59:$F$9980),),OFFSET($A$59,,,COUNT($F$59:$F$9977),),0,1))</f>
        <v>10414715173.262196</v>
      </c>
      <c r="H97" s="254">
        <f t="shared" ca="1" si="21"/>
        <v>1382574306.1919155</v>
      </c>
      <c r="I97" s="254">
        <f t="shared" ca="1" si="29"/>
        <v>12829286622.053537</v>
      </c>
      <c r="J97" s="255" t="e">
        <f t="shared" ca="1" si="14"/>
        <v>#N/A</v>
      </c>
      <c r="K97" s="252">
        <f ca="1">_xlfn.IFNA(J97,_xlfn.FORECAST.ETS(Forecast!$A97,OFFSET($J$57,,,COUNT($J$57:$J$9997),),OFFSET($A$57,,,COUNT($J$57:$J$9994),),1,1))</f>
        <v>9.0814233854307597E-4</v>
      </c>
      <c r="L97" s="289">
        <f t="shared" ca="1" si="23"/>
        <v>5.3096061987857514E-4</v>
      </c>
      <c r="M97" s="290">
        <f t="shared" ca="1" si="24"/>
        <v>1.2853240572075768E-3</v>
      </c>
      <c r="N97" s="258" t="e">
        <f t="shared" ca="1" si="11"/>
        <v>#N/A</v>
      </c>
      <c r="O97" s="253">
        <f ca="1">_xlfn.IFNA(N97,_xlfn.FORECAST.ETS(Forecast!$A97,OFFSET($N$57,,,COUNT($N$57:$N$9987),),OFFSET($A$55,,,COUNT($N$57:$N$9984),),1,1))</f>
        <v>11093065398.477291</v>
      </c>
      <c r="P97" s="291">
        <f t="shared" ca="1" si="25"/>
        <v>8678493949.6859493</v>
      </c>
      <c r="Q97" s="291">
        <f t="shared" ca="1" si="26"/>
        <v>13507636847.268633</v>
      </c>
      <c r="R97" s="302" t="e">
        <f t="shared" ca="1" si="9"/>
        <v>#N/A</v>
      </c>
      <c r="S97" s="276" t="e">
        <f ca="1">_xlfn.IFNA(R97,_xlfn.FORECAST.ETS(Forecast!$A97,OFFSET($R$43,,,COUNT($R$43:$R$9989),),OFFSET($A$43,,,COUNT($R$43:$R$9986),),1,1))</f>
        <v>#REF!</v>
      </c>
      <c r="T97" s="277" t="e">
        <f t="shared" ca="1" si="17"/>
        <v>#REF!</v>
      </c>
      <c r="U97" s="277" t="e">
        <f t="shared" ca="1" si="18"/>
        <v>#REF!</v>
      </c>
      <c r="V97" s="244" t="e">
        <f t="shared" ca="1" si="15"/>
        <v>#N/A</v>
      </c>
      <c r="W97" s="244" t="e">
        <f ca="1">_xlfn.IFNA(V97,_xlfn.FORECAST.ETS(Forecast!$A97,OFFSET($V$43,,,COUNT($V$43:$V$9989),),OFFSET($A$43,,,COUNT($V$43:$V$9986),),1,1))</f>
        <v>#REF!</v>
      </c>
      <c r="X97" s="244" t="e">
        <f t="shared" ca="1" si="19"/>
        <v>#REF!</v>
      </c>
      <c r="Y97" s="283" t="e">
        <f t="shared" ca="1" si="20"/>
        <v>#REF!</v>
      </c>
      <c r="Z97" s="263">
        <f t="shared" si="30"/>
        <v>7.1999999999999995E-2</v>
      </c>
      <c r="AA97" s="264">
        <f t="shared" si="30"/>
        <v>6.0000000000000001E-3</v>
      </c>
    </row>
    <row r="98" spans="1:27" x14ac:dyDescent="0.35">
      <c r="A98" s="251">
        <v>44835</v>
      </c>
      <c r="B98" s="252" t="e">
        <f t="shared" ca="1" si="12"/>
        <v>#N/A</v>
      </c>
      <c r="C98" s="252">
        <f ca="1">_xlfn.IFNA(B98,_xlfn.FORECAST.ETS(Forecast!$A98,OFFSET($B$60,,,COUNT($B$60:$B$9999),),OFFSET($A$60,,,COUNT($B$60:$B$9977),),0,1))</f>
        <v>-2.3826198358638307E-3</v>
      </c>
      <c r="D98" s="252">
        <f t="shared" ca="1" si="27"/>
        <v>-3.724503722838516E-2</v>
      </c>
      <c r="E98" s="252">
        <f t="shared" ca="1" si="28"/>
        <v>3.2479797556657496E-2</v>
      </c>
      <c r="F98" s="254" t="e">
        <f t="shared" ca="1" si="13"/>
        <v>#N/A</v>
      </c>
      <c r="G98" s="262">
        <f ca="1">_xlfn.IFNA(F98,_xlfn.FORECAST.ETS(Forecast!$A98,OFFSET($F$59,,,COUNT($F$59:$F$9980),),OFFSET($A$59,,,COUNT($F$59:$F$9977),),0,1))</f>
        <v>10700938968.03849</v>
      </c>
      <c r="H98" s="254">
        <f t="shared" ca="1" si="21"/>
        <v>1549604664.2802944</v>
      </c>
      <c r="I98" s="254">
        <f t="shared" ca="1" si="29"/>
        <v>13129667880.588226</v>
      </c>
      <c r="J98" s="255" t="e">
        <f t="shared" ca="1" si="14"/>
        <v>#N/A</v>
      </c>
      <c r="K98" s="252">
        <f ca="1">_xlfn.IFNA(J98,_xlfn.FORECAST.ETS(Forecast!$A98,OFFSET($J$57,,,COUNT($J$57:$J$9997),),OFFSET($A$57,,,COUNT($J$57:$J$9994),),1,1))</f>
        <v>9.3082481253352399E-4</v>
      </c>
      <c r="L98" s="289">
        <f t="shared" ca="1" si="23"/>
        <v>5.5354371907548935E-4</v>
      </c>
      <c r="M98" s="290">
        <f t="shared" ca="1" si="24"/>
        <v>1.3081059059915586E-3</v>
      </c>
      <c r="N98" s="258" t="e">
        <f t="shared" ca="1" si="11"/>
        <v>#N/A</v>
      </c>
      <c r="O98" s="253">
        <f ca="1">_xlfn.IFNA(N98,_xlfn.FORECAST.ETS(Forecast!$A98,OFFSET($N$57,,,COUNT($N$57:$N$9987),),OFFSET($A$55,,,COUNT($N$57:$N$9984),),1,1))</f>
        <v>11364447481.088829</v>
      </c>
      <c r="P98" s="291">
        <f t="shared" ca="1" si="25"/>
        <v>8935718568.539093</v>
      </c>
      <c r="Q98" s="291">
        <f t="shared" ca="1" si="26"/>
        <v>13793176393.638565</v>
      </c>
      <c r="R98" s="302" t="e">
        <f t="shared" ca="1" si="9"/>
        <v>#N/A</v>
      </c>
      <c r="S98" s="276" t="e">
        <f ca="1">_xlfn.IFNA(R98,_xlfn.FORECAST.ETS(Forecast!$A98,OFFSET($R$43,,,COUNT($R$43:$R$9989),),OFFSET($A$43,,,COUNT($R$43:$R$9986),),1,1))</f>
        <v>#REF!</v>
      </c>
      <c r="T98" s="277" t="e">
        <f t="shared" ca="1" si="17"/>
        <v>#REF!</v>
      </c>
      <c r="U98" s="277" t="e">
        <f t="shared" ca="1" si="18"/>
        <v>#REF!</v>
      </c>
      <c r="V98" s="244" t="e">
        <f t="shared" ca="1" si="15"/>
        <v>#N/A</v>
      </c>
      <c r="W98" s="244" t="e">
        <f ca="1">_xlfn.IFNA(V98,_xlfn.FORECAST.ETS(Forecast!$A98,OFFSET($V$43,,,COUNT($V$43:$V$9989),),OFFSET($A$43,,,COUNT($V$43:$V$9986),),1,1))</f>
        <v>#REF!</v>
      </c>
      <c r="X98" s="244" t="e">
        <f t="shared" ca="1" si="19"/>
        <v>#REF!</v>
      </c>
      <c r="Y98" s="283" t="e">
        <f t="shared" ca="1" si="20"/>
        <v>#REF!</v>
      </c>
      <c r="Z98" s="263">
        <f t="shared" si="30"/>
        <v>7.1999999999999995E-2</v>
      </c>
      <c r="AA98" s="264">
        <f t="shared" si="30"/>
        <v>6.0000000000000001E-3</v>
      </c>
    </row>
    <row r="99" spans="1:27" x14ac:dyDescent="0.35">
      <c r="A99" s="251">
        <v>44866</v>
      </c>
      <c r="B99" s="252" t="e">
        <f t="shared" ca="1" si="12"/>
        <v>#N/A</v>
      </c>
      <c r="C99" s="252">
        <f ca="1">_xlfn.IFNA(B99,_xlfn.FORECAST.ETS(Forecast!$A99,OFFSET($B$60,,,COUNT($B$60:$B$9999),),OFFSET($A$60,,,COUNT($B$60:$B$9977),),0,1))</f>
        <v>-2.615789256088991E-3</v>
      </c>
      <c r="D99" s="252">
        <f t="shared" ca="1" si="27"/>
        <v>-3.7750857587016344E-2</v>
      </c>
      <c r="E99" s="252">
        <f t="shared" ca="1" si="28"/>
        <v>3.2519279074838363E-2</v>
      </c>
      <c r="F99" s="254" t="e">
        <f t="shared" ca="1" si="13"/>
        <v>#N/A</v>
      </c>
      <c r="G99" s="262">
        <f ca="1">_xlfn.IFNA(F99,_xlfn.FORECAST.ETS(Forecast!$A99,OFFSET($F$59,,,COUNT($F$59:$F$9980),),OFFSET($A$59,,,COUNT($F$59:$F$9977),),0,1))</f>
        <v>10987162762.814787</v>
      </c>
      <c r="H99" s="254">
        <f t="shared" ca="1" si="21"/>
        <v>1717899449.3395271</v>
      </c>
      <c r="I99" s="254">
        <f t="shared" ca="1" si="29"/>
        <v>13430200018.516575</v>
      </c>
      <c r="J99" s="255" t="e">
        <f t="shared" ca="1" si="14"/>
        <v>#N/A</v>
      </c>
      <c r="K99" s="252">
        <f ca="1">_xlfn.IFNA(J99,_xlfn.FORECAST.ETS(Forecast!$A99,OFFSET($J$57,,,COUNT($J$57:$J$9997),),OFFSET($A$57,,,COUNT($J$57:$J$9994),),1,1))</f>
        <v>9.5350728652397233E-4</v>
      </c>
      <c r="L99" s="289">
        <f t="shared" ca="1" si="23"/>
        <v>5.7611801889013558E-4</v>
      </c>
      <c r="M99" s="290">
        <f t="shared" ca="1" si="24"/>
        <v>1.3308965541578091E-3</v>
      </c>
      <c r="N99" s="258" t="e">
        <f t="shared" ca="1" si="11"/>
        <v>#N/A</v>
      </c>
      <c r="O99" s="253">
        <f ca="1">_xlfn.IFNA(N99,_xlfn.FORECAST.ETS(Forecast!$A99,OFFSET($N$57,,,COUNT($N$57:$N$9987),),OFFSET($A$55,,,COUNT($N$57:$N$9984),),1,1))</f>
        <v>11635829563.700367</v>
      </c>
      <c r="P99" s="291">
        <f t="shared" ca="1" si="25"/>
        <v>9192792307.998579</v>
      </c>
      <c r="Q99" s="291">
        <f t="shared" ca="1" si="26"/>
        <v>14078866819.402155</v>
      </c>
      <c r="R99" s="302" t="e">
        <f t="shared" ca="1" si="9"/>
        <v>#N/A</v>
      </c>
      <c r="S99" s="276" t="e">
        <f ca="1">_xlfn.IFNA(R99,_xlfn.FORECAST.ETS(Forecast!$A99,OFFSET($R$43,,,COUNT($R$43:$R$9989),),OFFSET($A$43,,,COUNT($R$43:$R$9986),),1,1))</f>
        <v>#REF!</v>
      </c>
      <c r="T99" s="277" t="e">
        <f t="shared" ca="1" si="17"/>
        <v>#REF!</v>
      </c>
      <c r="U99" s="277" t="e">
        <f t="shared" ca="1" si="18"/>
        <v>#REF!</v>
      </c>
      <c r="V99" s="244" t="e">
        <f t="shared" ca="1" si="15"/>
        <v>#N/A</v>
      </c>
      <c r="W99" s="244" t="e">
        <f ca="1">_xlfn.IFNA(V99,_xlfn.FORECAST.ETS(Forecast!$A99,OFFSET($V$43,,,COUNT($V$43:$V$9989),),OFFSET($A$43,,,COUNT($V$43:$V$9986),),1,1))</f>
        <v>#REF!</v>
      </c>
      <c r="X99" s="244" t="e">
        <f t="shared" ca="1" si="19"/>
        <v>#REF!</v>
      </c>
      <c r="Y99" s="283" t="e">
        <f t="shared" ca="1" si="20"/>
        <v>#REF!</v>
      </c>
      <c r="Z99" s="263">
        <f t="shared" si="30"/>
        <v>7.1999999999999995E-2</v>
      </c>
      <c r="AA99" s="264">
        <f t="shared" si="30"/>
        <v>6.0000000000000001E-3</v>
      </c>
    </row>
    <row r="100" spans="1:27" x14ac:dyDescent="0.35">
      <c r="A100" s="251">
        <v>44896</v>
      </c>
      <c r="B100" s="252" t="e">
        <f t="shared" ca="1" si="12"/>
        <v>#N/A</v>
      </c>
      <c r="C100" s="252">
        <f ca="1">_xlfn.IFNA(B100,_xlfn.FORECAST.ETS(Forecast!$A100,OFFSET($B$60,,,COUNT($B$60:$B$9999),),OFFSET($A$60,,,COUNT($B$60:$B$9977),),0,1))</f>
        <v>-2.8489586763141314E-3</v>
      </c>
      <c r="D100" s="252">
        <f t="shared" ca="1" si="27"/>
        <v>-3.8258232629194491E-2</v>
      </c>
      <c r="E100" s="252">
        <f t="shared" ca="1" si="28"/>
        <v>3.2560315276566235E-2</v>
      </c>
      <c r="F100" s="254" t="e">
        <f t="shared" ca="1" si="13"/>
        <v>#N/A</v>
      </c>
      <c r="G100" s="262">
        <f ca="1">_xlfn.IFNA(F100,_xlfn.FORECAST.ETS(Forecast!$A100,OFFSET($F$59,,,COUNT($F$59:$F$9980),),OFFSET($A$59,,,COUNT($F$59:$F$9977),),0,1))</f>
        <v>11273386557.591082</v>
      </c>
      <c r="H100" s="254">
        <f t="shared" ca="1" si="21"/>
        <v>1887410697.5584755</v>
      </c>
      <c r="I100" s="254">
        <f t="shared" ca="1" si="29"/>
        <v>13730882306.169979</v>
      </c>
      <c r="J100" s="255" t="e">
        <f t="shared" ca="1" si="14"/>
        <v>#N/A</v>
      </c>
      <c r="K100" s="252">
        <f ca="1">_xlfn.IFNA(J100,_xlfn.FORECAST.ETS(Forecast!$A100,OFFSET($J$57,,,COUNT($J$57:$J$9997),),OFFSET($A$57,,,COUNT($J$57:$J$9994),),1,1))</f>
        <v>9.7618976051442024E-4</v>
      </c>
      <c r="L100" s="289">
        <f t="shared" ca="1" si="23"/>
        <v>5.9868315145248665E-4</v>
      </c>
      <c r="M100" s="290">
        <f t="shared" ca="1" si="24"/>
        <v>1.3536963695763538E-3</v>
      </c>
      <c r="N100" s="258" t="e">
        <f t="shared" ca="1" si="11"/>
        <v>#N/A</v>
      </c>
      <c r="O100" s="253">
        <f ca="1">_xlfn.IFNA(N100,_xlfn.FORECAST.ETS(Forecast!$A100,OFFSET($N$57,,,COUNT($N$57:$N$9987),),OFFSET($A$55,,,COUNT($N$57:$N$9984),),1,1))</f>
        <v>11907211646.311905</v>
      </c>
      <c r="P100" s="291">
        <f t="shared" ca="1" si="25"/>
        <v>9449715897.7330074</v>
      </c>
      <c r="Q100" s="291">
        <f t="shared" ca="1" si="26"/>
        <v>14364707394.890802</v>
      </c>
      <c r="R100" s="302" t="e">
        <f t="shared" ca="1" si="9"/>
        <v>#N/A</v>
      </c>
      <c r="S100" s="276" t="e">
        <f ca="1">_xlfn.IFNA(R100,_xlfn.FORECAST.ETS(Forecast!$A100,OFFSET($R$43,,,COUNT($R$43:$R$9989),),OFFSET($A$43,,,COUNT($R$43:$R$9986),),1,1))</f>
        <v>#REF!</v>
      </c>
      <c r="T100" s="277" t="e">
        <f t="shared" ca="1" si="17"/>
        <v>#REF!</v>
      </c>
      <c r="U100" s="277" t="e">
        <f t="shared" ca="1" si="18"/>
        <v>#REF!</v>
      </c>
      <c r="V100" s="244" t="e">
        <f t="shared" ca="1" si="15"/>
        <v>#N/A</v>
      </c>
      <c r="W100" s="244" t="e">
        <f ca="1">_xlfn.IFNA(V100,_xlfn.FORECAST.ETS(Forecast!$A100,OFFSET($V$43,,,COUNT($V$43:$V$9989),),OFFSET($A$43,,,COUNT($V$43:$V$9986),),1,1))</f>
        <v>#REF!</v>
      </c>
      <c r="X100" s="244" t="e">
        <f t="shared" ca="1" si="19"/>
        <v>#REF!</v>
      </c>
      <c r="Y100" s="283" t="e">
        <f t="shared" ca="1" si="20"/>
        <v>#REF!</v>
      </c>
      <c r="Z100" s="263">
        <f t="shared" si="30"/>
        <v>7.1999999999999995E-2</v>
      </c>
      <c r="AA100" s="264">
        <f t="shared" si="30"/>
        <v>6.0000000000000001E-3</v>
      </c>
    </row>
    <row r="101" spans="1:27" x14ac:dyDescent="0.35">
      <c r="A101" s="317"/>
      <c r="B101" s="255"/>
      <c r="C101" s="318"/>
      <c r="D101" s="318"/>
      <c r="E101" s="318"/>
      <c r="F101" s="319"/>
      <c r="G101" s="319"/>
      <c r="H101" s="319"/>
      <c r="I101" s="319"/>
    </row>
    <row r="102" spans="1:27" x14ac:dyDescent="0.35">
      <c r="A102" s="317"/>
      <c r="B102" s="255"/>
      <c r="C102" s="318"/>
      <c r="D102" s="318"/>
      <c r="E102" s="318"/>
      <c r="F102" s="319"/>
      <c r="G102" s="319"/>
      <c r="H102" s="319"/>
      <c r="I102" s="319"/>
    </row>
    <row r="103" spans="1:27" x14ac:dyDescent="0.35">
      <c r="A103" s="317"/>
      <c r="B103" s="255"/>
      <c r="C103" s="318"/>
      <c r="D103" s="318"/>
      <c r="E103" s="318"/>
      <c r="F103" s="319"/>
      <c r="G103" s="319"/>
      <c r="H103" s="319"/>
      <c r="I103" s="319"/>
    </row>
    <row r="104" spans="1:27" x14ac:dyDescent="0.35">
      <c r="A104" s="317"/>
      <c r="B104" s="255"/>
      <c r="C104" s="318"/>
      <c r="D104" s="318"/>
      <c r="E104" s="318"/>
      <c r="F104" s="319"/>
      <c r="G104" s="319"/>
      <c r="H104" s="319"/>
      <c r="I104" s="319"/>
    </row>
    <row r="105" spans="1:27" x14ac:dyDescent="0.35">
      <c r="A105" s="317"/>
      <c r="B105" s="255"/>
      <c r="C105" s="318"/>
      <c r="D105" s="318"/>
      <c r="E105" s="318"/>
      <c r="F105" s="319"/>
      <c r="G105" s="319"/>
      <c r="H105" s="319"/>
      <c r="I105" s="319"/>
    </row>
    <row r="106" spans="1:27" x14ac:dyDescent="0.35">
      <c r="A106" s="317"/>
      <c r="B106" s="255"/>
      <c r="C106" s="318"/>
      <c r="D106" s="318"/>
      <c r="E106" s="318"/>
      <c r="F106" s="319"/>
      <c r="G106" s="319"/>
      <c r="H106" s="319"/>
      <c r="I106" s="319"/>
    </row>
    <row r="107" spans="1:27" x14ac:dyDescent="0.35">
      <c r="A107" s="317"/>
      <c r="B107" s="255"/>
      <c r="C107" s="318"/>
      <c r="D107" s="318"/>
      <c r="E107" s="318"/>
      <c r="F107" s="319"/>
      <c r="G107" s="319"/>
      <c r="H107" s="319"/>
      <c r="I107" s="319"/>
    </row>
    <row r="108" spans="1:27" x14ac:dyDescent="0.35">
      <c r="A108" s="317"/>
      <c r="B108" s="255"/>
      <c r="C108" s="318"/>
      <c r="D108" s="318"/>
      <c r="E108" s="318"/>
      <c r="F108" s="319"/>
      <c r="G108" s="319"/>
      <c r="H108" s="319"/>
      <c r="I108" s="319"/>
    </row>
    <row r="109" spans="1:27" x14ac:dyDescent="0.35">
      <c r="A109" s="317"/>
      <c r="B109" s="255"/>
      <c r="C109" s="318"/>
      <c r="D109" s="318"/>
      <c r="E109" s="318"/>
      <c r="F109" s="319"/>
      <c r="G109" s="319"/>
      <c r="H109" s="319"/>
      <c r="I109" s="319"/>
    </row>
    <row r="110" spans="1:27" x14ac:dyDescent="0.35">
      <c r="A110" s="317"/>
      <c r="B110" s="255"/>
      <c r="C110" s="318"/>
      <c r="D110" s="318"/>
      <c r="E110" s="318"/>
      <c r="F110" s="319"/>
      <c r="G110" s="319"/>
      <c r="H110" s="319"/>
      <c r="I110" s="319"/>
    </row>
    <row r="111" spans="1:27" x14ac:dyDescent="0.35">
      <c r="A111" s="317"/>
      <c r="B111" s="255"/>
      <c r="C111" s="318"/>
      <c r="D111" s="318"/>
      <c r="E111" s="318"/>
      <c r="F111" s="319"/>
      <c r="G111" s="319"/>
      <c r="H111" s="319"/>
      <c r="I111" s="319"/>
    </row>
    <row r="112" spans="1:27" x14ac:dyDescent="0.35">
      <c r="A112" s="317"/>
      <c r="B112" s="255"/>
      <c r="C112" s="318"/>
      <c r="D112" s="318"/>
      <c r="E112" s="318"/>
      <c r="F112" s="319"/>
      <c r="G112" s="319"/>
      <c r="H112" s="319"/>
      <c r="I112" s="319"/>
    </row>
    <row r="113" spans="1:9" x14ac:dyDescent="0.35">
      <c r="A113" s="317"/>
      <c r="B113" s="255"/>
      <c r="C113" s="318"/>
      <c r="D113" s="318"/>
      <c r="E113" s="318"/>
      <c r="F113" s="319"/>
      <c r="G113" s="319"/>
      <c r="H113" s="319"/>
      <c r="I113" s="319"/>
    </row>
    <row r="114" spans="1:9" x14ac:dyDescent="0.35">
      <c r="A114" s="317"/>
      <c r="B114" s="255"/>
      <c r="C114" s="318"/>
      <c r="D114" s="318"/>
      <c r="E114" s="318"/>
      <c r="F114" s="319"/>
      <c r="G114" s="319"/>
      <c r="H114" s="319"/>
      <c r="I114" s="319"/>
    </row>
    <row r="115" spans="1:9" x14ac:dyDescent="0.35">
      <c r="A115" s="317"/>
      <c r="B115" s="255"/>
      <c r="C115" s="318"/>
      <c r="D115" s="318"/>
      <c r="E115" s="318"/>
      <c r="F115" s="319"/>
      <c r="G115" s="319"/>
      <c r="H115" s="319"/>
      <c r="I115" s="319"/>
    </row>
    <row r="116" spans="1:9" x14ac:dyDescent="0.35">
      <c r="A116" s="317"/>
      <c r="B116" s="255"/>
      <c r="C116" s="318"/>
      <c r="D116" s="318"/>
      <c r="E116" s="318"/>
      <c r="F116" s="319"/>
      <c r="G116" s="319"/>
      <c r="H116" s="319"/>
      <c r="I116" s="319"/>
    </row>
    <row r="117" spans="1:9" x14ac:dyDescent="0.35">
      <c r="A117" s="317"/>
      <c r="B117" s="255"/>
      <c r="C117" s="318"/>
      <c r="D117" s="318"/>
      <c r="E117" s="318"/>
      <c r="F117" s="319"/>
      <c r="G117" s="319"/>
      <c r="H117" s="319"/>
      <c r="I117" s="319"/>
    </row>
    <row r="118" spans="1:9" x14ac:dyDescent="0.35">
      <c r="A118" s="317"/>
      <c r="B118" s="255"/>
      <c r="C118" s="318"/>
      <c r="D118" s="318"/>
      <c r="E118" s="318"/>
      <c r="F118" s="319"/>
      <c r="G118" s="319"/>
      <c r="H118" s="319"/>
      <c r="I118" s="319"/>
    </row>
    <row r="119" spans="1:9" x14ac:dyDescent="0.35">
      <c r="A119" s="317"/>
      <c r="B119" s="255"/>
      <c r="C119" s="318"/>
      <c r="D119" s="318"/>
      <c r="E119" s="318"/>
      <c r="F119" s="319"/>
      <c r="G119" s="319"/>
      <c r="H119" s="319"/>
      <c r="I119" s="319"/>
    </row>
    <row r="120" spans="1:9" x14ac:dyDescent="0.35">
      <c r="A120" s="317"/>
      <c r="B120" s="255"/>
      <c r="C120" s="318"/>
      <c r="D120" s="318"/>
      <c r="E120" s="318"/>
      <c r="F120" s="319"/>
      <c r="G120" s="319"/>
      <c r="H120" s="319"/>
      <c r="I120" s="319"/>
    </row>
    <row r="121" spans="1:9" x14ac:dyDescent="0.35">
      <c r="A121" s="317"/>
      <c r="B121" s="255"/>
      <c r="C121" s="318"/>
      <c r="D121" s="318"/>
      <c r="E121" s="318"/>
      <c r="F121" s="319"/>
      <c r="G121" s="319"/>
      <c r="H121" s="319"/>
      <c r="I121" s="319"/>
    </row>
    <row r="122" spans="1:9" x14ac:dyDescent="0.35">
      <c r="A122" s="317"/>
      <c r="B122" s="255"/>
      <c r="C122" s="318"/>
      <c r="D122" s="318"/>
      <c r="E122" s="318"/>
      <c r="F122" s="319"/>
      <c r="G122" s="319"/>
      <c r="H122" s="319"/>
      <c r="I122" s="319"/>
    </row>
    <row r="133" spans="9:9" x14ac:dyDescent="0.35">
      <c r="I133" s="321"/>
    </row>
    <row r="134" spans="9:9" x14ac:dyDescent="0.35">
      <c r="I134" s="321"/>
    </row>
    <row r="158" spans="3:6" x14ac:dyDescent="0.35">
      <c r="C158" s="150"/>
      <c r="D158" s="43"/>
      <c r="E158" s="43"/>
      <c r="F158" s="327"/>
    </row>
    <row r="159" spans="3:6" x14ac:dyDescent="0.35">
      <c r="C159" s="43"/>
      <c r="D159" s="43"/>
      <c r="E159" s="43"/>
      <c r="F159" s="327"/>
    </row>
    <row r="160" spans="3:6" x14ac:dyDescent="0.35">
      <c r="C160" s="43"/>
      <c r="D160" s="43"/>
      <c r="E160" s="43"/>
      <c r="F160" s="327"/>
    </row>
    <row r="161" spans="3:6" x14ac:dyDescent="0.35">
      <c r="C161" s="43"/>
      <c r="D161" s="43"/>
      <c r="E161" s="43"/>
      <c r="F161" s="327"/>
    </row>
    <row r="162" spans="3:6" x14ac:dyDescent="0.35">
      <c r="C162" s="43"/>
      <c r="D162" s="43"/>
      <c r="E162" s="43"/>
      <c r="F162" s="327"/>
    </row>
    <row r="163" spans="3:6" x14ac:dyDescent="0.35">
      <c r="C163" s="43"/>
      <c r="D163" s="43"/>
      <c r="E163" s="43"/>
      <c r="F163" s="327"/>
    </row>
    <row r="164" spans="3:6" x14ac:dyDescent="0.35">
      <c r="C164" s="43"/>
      <c r="D164" s="43"/>
      <c r="E164" s="43"/>
      <c r="F164" s="327"/>
    </row>
    <row r="165" spans="3:6" x14ac:dyDescent="0.35">
      <c r="C165" s="43"/>
      <c r="D165" s="43"/>
      <c r="E165" s="43"/>
      <c r="F165" s="327"/>
    </row>
    <row r="166" spans="3:6" x14ac:dyDescent="0.35">
      <c r="C166" s="43"/>
      <c r="D166" s="43"/>
      <c r="E166" s="43"/>
      <c r="F166" s="327"/>
    </row>
    <row r="167" spans="3:6" x14ac:dyDescent="0.35">
      <c r="D167" s="328"/>
      <c r="E167" s="328"/>
    </row>
  </sheetData>
  <mergeCells count="21">
    <mergeCell ref="AA3:AA4"/>
    <mergeCell ref="Z3:Z4"/>
    <mergeCell ref="Q3:Q4"/>
    <mergeCell ref="S3:S4"/>
    <mergeCell ref="T3:T4"/>
    <mergeCell ref="U3:U4"/>
    <mergeCell ref="W3:W4"/>
    <mergeCell ref="X3:X4"/>
    <mergeCell ref="Y3:Y4"/>
    <mergeCell ref="P3:P4"/>
    <mergeCell ref="A3:A4"/>
    <mergeCell ref="C3:C4"/>
    <mergeCell ref="D3:D4"/>
    <mergeCell ref="E3:E4"/>
    <mergeCell ref="G3:G4"/>
    <mergeCell ref="H3:H4"/>
    <mergeCell ref="I3:I4"/>
    <mergeCell ref="K3:K4"/>
    <mergeCell ref="L3:L4"/>
    <mergeCell ref="M3:M4"/>
    <mergeCell ref="O3:O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R107"/>
  <sheetViews>
    <sheetView showGridLines="0" zoomScale="50" zoomScaleNormal="50" workbookViewId="0">
      <pane xSplit="3" ySplit="2" topLeftCell="J50" activePane="bottomRight" state="frozen"/>
      <selection activeCell="B93" sqref="B93:C93"/>
      <selection pane="topRight" activeCell="B93" sqref="B93:C93"/>
      <selection pane="bottomLeft" activeCell="B93" sqref="B93:C93"/>
      <selection pane="bottomRight" activeCell="B93" sqref="B93:C93"/>
    </sheetView>
  </sheetViews>
  <sheetFormatPr defaultColWidth="9" defaultRowHeight="14" x14ac:dyDescent="0.3"/>
  <cols>
    <col min="1" max="1" width="2.83203125" style="329" customWidth="1"/>
    <col min="2" max="2" width="44.33203125" style="329" customWidth="1"/>
    <col min="3" max="3" width="5.83203125" style="329" bestFit="1" customWidth="1"/>
    <col min="4" max="18" width="16.5" style="329" bestFit="1" customWidth="1"/>
    <col min="19" max="20" width="15.58203125" style="329" bestFit="1" customWidth="1"/>
    <col min="21" max="21" width="15.25" style="329" bestFit="1" customWidth="1"/>
    <col min="22" max="23" width="15.58203125" style="329" bestFit="1" customWidth="1"/>
    <col min="24" max="25" width="15.58203125" customWidth="1"/>
    <col min="26" max="26" width="8.08203125" style="331" bestFit="1" customWidth="1"/>
    <col min="27" max="27" width="7.75" style="331" bestFit="1" customWidth="1"/>
    <col min="28" max="16384" width="9" style="329"/>
  </cols>
  <sheetData>
    <row r="1" spans="1:35" ht="14.5" thickBot="1" x14ac:dyDescent="0.35"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</row>
    <row r="2" spans="1:35" s="337" customFormat="1" ht="15" thickTop="1" thickBot="1" x14ac:dyDescent="0.35">
      <c r="A2" s="332"/>
      <c r="B2" s="333" t="s">
        <v>149</v>
      </c>
      <c r="C2" s="334" t="s">
        <v>150</v>
      </c>
      <c r="D2" s="335">
        <v>43586</v>
      </c>
      <c r="E2" s="335">
        <v>43617</v>
      </c>
      <c r="F2" s="335">
        <v>43647</v>
      </c>
      <c r="G2" s="335">
        <v>43678</v>
      </c>
      <c r="H2" s="335">
        <v>43709</v>
      </c>
      <c r="I2" s="335">
        <v>43739</v>
      </c>
      <c r="J2" s="335">
        <v>43770</v>
      </c>
      <c r="K2" s="335">
        <v>43800</v>
      </c>
      <c r="L2" s="335">
        <v>43831</v>
      </c>
      <c r="M2" s="335">
        <v>43862</v>
      </c>
      <c r="N2" s="335">
        <v>43891</v>
      </c>
      <c r="O2" s="335">
        <v>43922</v>
      </c>
      <c r="P2" s="335">
        <v>43952</v>
      </c>
      <c r="Q2" s="335">
        <v>43983</v>
      </c>
      <c r="R2" s="335">
        <v>44013</v>
      </c>
      <c r="S2" s="335">
        <v>44044</v>
      </c>
      <c r="T2" s="335">
        <v>44075</v>
      </c>
      <c r="U2" s="335">
        <v>44105</v>
      </c>
      <c r="V2" s="335">
        <v>44136</v>
      </c>
      <c r="W2" s="335">
        <v>44166</v>
      </c>
      <c r="X2"/>
      <c r="Y2"/>
      <c r="Z2" s="336"/>
      <c r="AA2" s="336"/>
      <c r="AB2" s="85"/>
      <c r="AC2" s="85"/>
      <c r="AD2" s="85"/>
      <c r="AE2" s="85"/>
      <c r="AF2" s="85"/>
      <c r="AG2" s="85"/>
      <c r="AH2" s="85"/>
      <c r="AI2" s="85"/>
    </row>
    <row r="3" spans="1:35" s="342" customFormat="1" ht="15" thickTop="1" thickBot="1" x14ac:dyDescent="0.35">
      <c r="A3" s="338"/>
      <c r="B3" s="339" t="s">
        <v>151</v>
      </c>
      <c r="C3" s="340" t="s">
        <v>152</v>
      </c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/>
      <c r="Y3"/>
      <c r="Z3" s="43"/>
      <c r="AA3" s="43"/>
    </row>
    <row r="4" spans="1:35" s="342" customFormat="1" ht="15" thickTop="1" thickBot="1" x14ac:dyDescent="0.35">
      <c r="A4" s="338"/>
      <c r="B4" s="339" t="s">
        <v>153</v>
      </c>
      <c r="C4" s="343" t="s">
        <v>154</v>
      </c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4"/>
      <c r="Q4" s="344"/>
      <c r="R4" s="344"/>
      <c r="S4" s="344"/>
      <c r="T4" s="344"/>
      <c r="U4" s="344"/>
      <c r="V4" s="344"/>
      <c r="W4" s="344"/>
      <c r="X4"/>
      <c r="Y4"/>
      <c r="Z4" s="43"/>
      <c r="AA4" s="43"/>
    </row>
    <row r="5" spans="1:35" ht="15" thickTop="1" thickBot="1" x14ac:dyDescent="0.35">
      <c r="A5" s="331"/>
      <c r="B5" s="339" t="s">
        <v>155</v>
      </c>
      <c r="C5" s="345" t="s">
        <v>156</v>
      </c>
      <c r="D5" s="346"/>
      <c r="E5" s="346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  <c r="T5" s="344"/>
      <c r="U5" s="344"/>
      <c r="V5" s="344"/>
      <c r="W5" s="344"/>
      <c r="Z5" s="43"/>
      <c r="AA5" s="43"/>
    </row>
    <row r="6" spans="1:35" s="342" customFormat="1" ht="14.5" thickTop="1" x14ac:dyDescent="0.3">
      <c r="A6" s="338"/>
      <c r="B6" s="347" t="s">
        <v>157</v>
      </c>
      <c r="C6" s="348" t="s">
        <v>152</v>
      </c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/>
      <c r="Y6"/>
      <c r="Z6" s="43"/>
      <c r="AA6" s="43"/>
    </row>
    <row r="7" spans="1:35" s="342" customFormat="1" x14ac:dyDescent="0.3">
      <c r="A7" s="338"/>
      <c r="B7" s="349" t="s">
        <v>158</v>
      </c>
      <c r="C7" s="350" t="s">
        <v>154</v>
      </c>
      <c r="D7" s="350"/>
      <c r="E7" s="350"/>
      <c r="F7" s="350"/>
      <c r="G7" s="350"/>
      <c r="H7" s="350"/>
      <c r="I7" s="350"/>
      <c r="J7" s="351"/>
      <c r="K7" s="350"/>
      <c r="L7" s="350"/>
      <c r="M7" s="350"/>
      <c r="N7" s="350"/>
      <c r="O7" s="350"/>
      <c r="P7" s="350"/>
      <c r="Q7" s="350"/>
      <c r="R7" s="350"/>
      <c r="S7" s="350"/>
      <c r="T7" s="350"/>
      <c r="U7" s="350"/>
      <c r="V7" s="350"/>
      <c r="W7" s="350"/>
      <c r="X7"/>
      <c r="Y7"/>
      <c r="Z7" s="43"/>
      <c r="AA7" s="43"/>
    </row>
    <row r="8" spans="1:35" s="342" customFormat="1" x14ac:dyDescent="0.3">
      <c r="A8" s="338"/>
      <c r="B8" s="349" t="s">
        <v>159</v>
      </c>
      <c r="C8" s="350" t="s">
        <v>154</v>
      </c>
      <c r="D8" s="350"/>
      <c r="E8" s="350"/>
      <c r="F8" s="350"/>
      <c r="G8" s="350"/>
      <c r="H8" s="350"/>
      <c r="I8" s="350"/>
      <c r="J8" s="351"/>
      <c r="K8" s="350"/>
      <c r="L8" s="350"/>
      <c r="M8" s="350"/>
      <c r="N8" s="350"/>
      <c r="O8" s="350"/>
      <c r="P8" s="350"/>
      <c r="Q8" s="350"/>
      <c r="R8" s="350"/>
      <c r="S8" s="350"/>
      <c r="T8" s="350"/>
      <c r="U8" s="350"/>
      <c r="V8" s="350"/>
      <c r="W8" s="350"/>
      <c r="X8"/>
      <c r="Y8"/>
      <c r="Z8" s="43"/>
      <c r="AA8" s="43"/>
    </row>
    <row r="9" spans="1:35" s="342" customFormat="1" x14ac:dyDescent="0.3">
      <c r="A9" s="338"/>
      <c r="B9" s="349" t="s">
        <v>160</v>
      </c>
      <c r="C9" s="350" t="s">
        <v>154</v>
      </c>
      <c r="D9" s="350"/>
      <c r="E9" s="350"/>
      <c r="F9" s="350"/>
      <c r="G9" s="350"/>
      <c r="H9" s="350"/>
      <c r="I9" s="350"/>
      <c r="J9" s="351"/>
      <c r="K9" s="350"/>
      <c r="L9" s="350"/>
      <c r="M9" s="350"/>
      <c r="N9" s="350"/>
      <c r="O9" s="350"/>
      <c r="P9" s="350"/>
      <c r="Q9" s="350"/>
      <c r="R9" s="350"/>
      <c r="S9" s="350"/>
      <c r="T9" s="350"/>
      <c r="U9" s="350"/>
      <c r="V9" s="350"/>
      <c r="W9" s="350"/>
      <c r="X9"/>
      <c r="Y9"/>
      <c r="Z9" s="43"/>
      <c r="AA9" s="43"/>
    </row>
    <row r="10" spans="1:35" s="342" customFormat="1" x14ac:dyDescent="0.3">
      <c r="A10" s="338"/>
      <c r="B10" s="349" t="s">
        <v>161</v>
      </c>
      <c r="C10" s="350" t="s">
        <v>154</v>
      </c>
      <c r="D10" s="350"/>
      <c r="E10" s="350"/>
      <c r="F10" s="350"/>
      <c r="G10" s="350"/>
      <c r="H10" s="350"/>
      <c r="I10" s="350"/>
      <c r="J10" s="351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/>
      <c r="Y10"/>
      <c r="Z10" s="43"/>
      <c r="AA10" s="43"/>
    </row>
    <row r="11" spans="1:35" s="342" customFormat="1" x14ac:dyDescent="0.3">
      <c r="A11" s="338"/>
      <c r="B11" s="349" t="s">
        <v>162</v>
      </c>
      <c r="C11" s="352"/>
      <c r="D11" s="352"/>
      <c r="E11" s="352"/>
      <c r="F11" s="352"/>
      <c r="G11" s="352"/>
      <c r="H11" s="352"/>
      <c r="I11" s="352"/>
      <c r="J11" s="353"/>
      <c r="K11" s="352"/>
      <c r="L11" s="352"/>
      <c r="M11" s="352"/>
      <c r="N11" s="352"/>
      <c r="O11" s="352"/>
      <c r="P11" s="352"/>
      <c r="Q11" s="352"/>
      <c r="R11" s="352"/>
      <c r="S11" s="352"/>
      <c r="T11" s="352"/>
      <c r="U11" s="352"/>
      <c r="V11" s="352"/>
      <c r="W11" s="352"/>
      <c r="X11"/>
      <c r="Y11"/>
      <c r="Z11" s="43"/>
      <c r="AA11" s="43"/>
    </row>
    <row r="12" spans="1:35" s="342" customFormat="1" x14ac:dyDescent="0.3">
      <c r="A12" s="338"/>
      <c r="B12" s="354" t="s">
        <v>163</v>
      </c>
      <c r="C12" s="352"/>
      <c r="D12" s="352"/>
      <c r="E12" s="352"/>
      <c r="F12" s="352"/>
      <c r="G12" s="352"/>
      <c r="H12" s="352"/>
      <c r="I12" s="352"/>
      <c r="J12" s="353"/>
      <c r="K12" s="352"/>
      <c r="L12" s="352"/>
      <c r="M12" s="352"/>
      <c r="N12" s="352"/>
      <c r="O12" s="352"/>
      <c r="P12" s="352"/>
      <c r="Q12" s="352"/>
      <c r="R12" s="352"/>
      <c r="S12" s="352"/>
      <c r="T12" s="352"/>
      <c r="U12" s="352"/>
      <c r="V12" s="352"/>
      <c r="W12" s="352"/>
      <c r="X12"/>
      <c r="Y12"/>
      <c r="Z12" s="43"/>
      <c r="AA12" s="43"/>
    </row>
    <row r="13" spans="1:35" s="342" customFormat="1" ht="14.5" thickBot="1" x14ac:dyDescent="0.35">
      <c r="A13" s="338"/>
      <c r="B13" s="355" t="s">
        <v>164</v>
      </c>
      <c r="C13" s="352"/>
      <c r="D13" s="352"/>
      <c r="E13" s="352"/>
      <c r="F13" s="352"/>
      <c r="G13" s="352"/>
      <c r="H13" s="352"/>
      <c r="I13" s="352"/>
      <c r="J13" s="353"/>
      <c r="K13" s="352"/>
      <c r="L13" s="352"/>
      <c r="M13" s="352"/>
      <c r="N13" s="352"/>
      <c r="O13" s="352"/>
      <c r="P13" s="352"/>
      <c r="Q13" s="352"/>
      <c r="R13" s="352"/>
      <c r="S13" s="352"/>
      <c r="T13" s="352"/>
      <c r="U13" s="352"/>
      <c r="V13" s="352"/>
      <c r="W13" s="352"/>
      <c r="X13"/>
      <c r="Y13"/>
      <c r="Z13" s="43"/>
      <c r="AA13" s="43"/>
    </row>
    <row r="14" spans="1:35" s="342" customFormat="1" ht="15" thickTop="1" thickBot="1" x14ac:dyDescent="0.35">
      <c r="A14" s="338"/>
      <c r="B14" s="356" t="s">
        <v>165</v>
      </c>
      <c r="C14" s="357" t="s">
        <v>154</v>
      </c>
      <c r="D14" s="357"/>
      <c r="E14" s="357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/>
      <c r="Y14"/>
      <c r="Z14" s="43"/>
      <c r="AA14" s="43"/>
    </row>
    <row r="15" spans="1:35" s="342" customFormat="1" ht="15" thickTop="1" thickBot="1" x14ac:dyDescent="0.35">
      <c r="A15" s="338"/>
      <c r="B15" s="356" t="s">
        <v>166</v>
      </c>
      <c r="C15" s="358" t="s">
        <v>154</v>
      </c>
      <c r="D15" s="358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  <c r="X15"/>
      <c r="Y15"/>
      <c r="Z15" s="43"/>
      <c r="AA15" s="43"/>
    </row>
    <row r="16" spans="1:35" s="342" customFormat="1" ht="14.5" thickTop="1" x14ac:dyDescent="0.3">
      <c r="A16" s="338"/>
      <c r="B16" s="359" t="s">
        <v>151</v>
      </c>
      <c r="C16" s="340" t="s">
        <v>152</v>
      </c>
      <c r="D16" s="341">
        <v>9997700</v>
      </c>
      <c r="E16" s="341">
        <v>115894997.09999999</v>
      </c>
      <c r="F16" s="341">
        <v>81100</v>
      </c>
      <c r="G16" s="341">
        <v>40191640</v>
      </c>
      <c r="H16" s="341">
        <v>69518960</v>
      </c>
      <c r="I16" s="341">
        <v>188003908</v>
      </c>
      <c r="J16" s="341">
        <v>128930114</v>
      </c>
      <c r="K16" s="341">
        <v>810941181</v>
      </c>
      <c r="L16" s="341">
        <v>341244295</v>
      </c>
      <c r="M16" s="341">
        <v>915401231</v>
      </c>
      <c r="N16" s="341">
        <v>2917002804.9000001</v>
      </c>
      <c r="O16" s="341">
        <v>274848829</v>
      </c>
      <c r="P16" s="341">
        <v>227147788</v>
      </c>
      <c r="Q16" s="341">
        <v>616467281</v>
      </c>
      <c r="R16" s="341">
        <v>171233499</v>
      </c>
      <c r="S16" s="341">
        <v>353054594</v>
      </c>
      <c r="T16" s="341">
        <v>596050538</v>
      </c>
      <c r="U16" s="341">
        <v>495413368</v>
      </c>
      <c r="V16" s="341">
        <v>1102253205</v>
      </c>
      <c r="W16" s="341">
        <v>1645136906</v>
      </c>
      <c r="X16"/>
      <c r="Y16"/>
      <c r="Z16" s="43"/>
      <c r="AA16" s="43"/>
    </row>
    <row r="17" spans="1:44" s="342" customFormat="1" x14ac:dyDescent="0.3">
      <c r="A17" s="338"/>
      <c r="B17" s="360" t="s">
        <v>167</v>
      </c>
      <c r="C17" s="343" t="s">
        <v>154</v>
      </c>
      <c r="D17" s="344">
        <v>9874300</v>
      </c>
      <c r="E17" s="344">
        <v>121716537.09999999</v>
      </c>
      <c r="F17" s="344">
        <v>120675449.09999999</v>
      </c>
      <c r="G17" s="344">
        <v>122380851.09999999</v>
      </c>
      <c r="H17" s="344">
        <v>95054485.099999994</v>
      </c>
      <c r="I17" s="344">
        <v>67508652.25</v>
      </c>
      <c r="J17" s="361">
        <v>113763985.31999999</v>
      </c>
      <c r="K17" s="344">
        <v>894644921.88999999</v>
      </c>
      <c r="L17" s="344">
        <v>1159942338.72</v>
      </c>
      <c r="M17" s="344">
        <v>2005232926.72</v>
      </c>
      <c r="N17" s="344">
        <v>4675725612.7600002</v>
      </c>
      <c r="O17" s="344">
        <v>4712790130.5299997</v>
      </c>
      <c r="P17" s="344">
        <v>4561793630.4399996</v>
      </c>
      <c r="Q17" s="344">
        <v>4337371488.6700001</v>
      </c>
      <c r="R17" s="344">
        <v>4245123758.1100001</v>
      </c>
      <c r="S17" s="344">
        <v>4076209521.3600001</v>
      </c>
      <c r="T17" s="344">
        <v>3436480301.7600002</v>
      </c>
      <c r="U17" s="344">
        <v>2702101400.04</v>
      </c>
      <c r="V17" s="344">
        <v>3514015815.5799999</v>
      </c>
      <c r="W17" s="344">
        <v>4404015482.96</v>
      </c>
      <c r="X17"/>
      <c r="Y17"/>
      <c r="Z17" s="43"/>
      <c r="AA17" s="43"/>
    </row>
    <row r="18" spans="1:44" ht="14.5" thickBot="1" x14ac:dyDescent="0.35">
      <c r="A18" s="331"/>
      <c r="B18" s="362" t="s">
        <v>168</v>
      </c>
      <c r="C18" s="345" t="s">
        <v>156</v>
      </c>
      <c r="D18" s="346">
        <f>D17*40%</f>
        <v>3949720</v>
      </c>
      <c r="E18" s="346">
        <f t="shared" ref="E18:W18" si="0">E17*40%</f>
        <v>48686614.840000004</v>
      </c>
      <c r="F18" s="346">
        <f t="shared" si="0"/>
        <v>48270179.640000001</v>
      </c>
      <c r="G18" s="346">
        <f t="shared" si="0"/>
        <v>48952340.439999998</v>
      </c>
      <c r="H18" s="346">
        <f t="shared" si="0"/>
        <v>38021794.039999999</v>
      </c>
      <c r="I18" s="346">
        <f t="shared" si="0"/>
        <v>27003460.900000002</v>
      </c>
      <c r="J18" s="346">
        <f t="shared" si="0"/>
        <v>45505594.127999999</v>
      </c>
      <c r="K18" s="346">
        <f t="shared" si="0"/>
        <v>357857968.75600004</v>
      </c>
      <c r="L18" s="346">
        <f t="shared" si="0"/>
        <v>463976935.48800004</v>
      </c>
      <c r="M18" s="346">
        <f t="shared" si="0"/>
        <v>802093170.68800008</v>
      </c>
      <c r="N18" s="346">
        <f t="shared" si="0"/>
        <v>1870290245.1040001</v>
      </c>
      <c r="O18" s="346">
        <f t="shared" si="0"/>
        <v>1885116052.2119999</v>
      </c>
      <c r="P18" s="346">
        <f t="shared" si="0"/>
        <v>1824717452.1759999</v>
      </c>
      <c r="Q18" s="346">
        <f t="shared" si="0"/>
        <v>1734948595.4680002</v>
      </c>
      <c r="R18" s="346">
        <f t="shared" si="0"/>
        <v>1698049503.2440002</v>
      </c>
      <c r="S18" s="346">
        <f t="shared" si="0"/>
        <v>1630483808.5440001</v>
      </c>
      <c r="T18" s="346">
        <f t="shared" si="0"/>
        <v>1374592120.7040002</v>
      </c>
      <c r="U18" s="346">
        <f t="shared" si="0"/>
        <v>1080840560.016</v>
      </c>
      <c r="V18" s="346">
        <f t="shared" si="0"/>
        <v>1405606326.2320001</v>
      </c>
      <c r="W18" s="346">
        <f t="shared" si="0"/>
        <v>1761606193.184</v>
      </c>
      <c r="Z18" s="43"/>
      <c r="AA18" s="43"/>
    </row>
    <row r="19" spans="1:44" s="364" customFormat="1" ht="14.5" thickTop="1" x14ac:dyDescent="0.3">
      <c r="A19" s="363"/>
      <c r="B19" s="347" t="s">
        <v>157</v>
      </c>
      <c r="C19" s="348" t="s">
        <v>169</v>
      </c>
      <c r="D19" s="348">
        <v>0</v>
      </c>
      <c r="E19" s="348">
        <v>0</v>
      </c>
      <c r="F19" s="348">
        <v>0</v>
      </c>
      <c r="G19" s="348">
        <v>4319000</v>
      </c>
      <c r="H19" s="348">
        <v>26176100</v>
      </c>
      <c r="I19" s="348">
        <v>95809268.799999997</v>
      </c>
      <c r="J19" s="348">
        <v>91816930</v>
      </c>
      <c r="K19" s="348">
        <v>25978831</v>
      </c>
      <c r="L19" s="348">
        <v>24380520</v>
      </c>
      <c r="M19" s="348">
        <v>5051536</v>
      </c>
      <c r="N19" s="348">
        <v>90959857</v>
      </c>
      <c r="O19" s="348">
        <v>40810136.670000002</v>
      </c>
      <c r="P19" s="348">
        <v>63211199.329999998</v>
      </c>
      <c r="Q19" s="348">
        <v>224401291</v>
      </c>
      <c r="R19" s="348">
        <v>859869421.00999999</v>
      </c>
      <c r="S19" s="348">
        <v>111556956</v>
      </c>
      <c r="T19" s="348">
        <v>1808852839</v>
      </c>
      <c r="U19" s="348">
        <v>373982624</v>
      </c>
      <c r="V19" s="348">
        <v>157653222</v>
      </c>
      <c r="W19" s="348">
        <v>1400692733.6700001</v>
      </c>
      <c r="X19"/>
      <c r="Y19"/>
      <c r="Z19" s="43"/>
      <c r="AA19" s="43"/>
    </row>
    <row r="20" spans="1:44" s="364" customFormat="1" x14ac:dyDescent="0.3">
      <c r="A20" s="363"/>
      <c r="B20" s="349" t="s">
        <v>158</v>
      </c>
      <c r="C20" s="350" t="s">
        <v>169</v>
      </c>
      <c r="D20" s="350">
        <v>0</v>
      </c>
      <c r="E20" s="350">
        <v>0</v>
      </c>
      <c r="F20" s="350">
        <v>0</v>
      </c>
      <c r="G20" s="350">
        <v>0</v>
      </c>
      <c r="H20" s="350">
        <v>122800</v>
      </c>
      <c r="I20" s="350">
        <v>191781.9</v>
      </c>
      <c r="J20" s="351">
        <v>581780.27</v>
      </c>
      <c r="K20" s="350">
        <v>91600</v>
      </c>
      <c r="L20" s="350">
        <v>48700</v>
      </c>
      <c r="M20" s="350">
        <v>36300</v>
      </c>
      <c r="N20" s="350">
        <v>35635.4</v>
      </c>
      <c r="O20" s="350">
        <v>0</v>
      </c>
      <c r="P20" s="350">
        <v>67400</v>
      </c>
      <c r="Q20" s="350">
        <v>95727.72</v>
      </c>
      <c r="R20" s="350">
        <v>222900</v>
      </c>
      <c r="S20" s="350">
        <v>15800</v>
      </c>
      <c r="T20" s="350">
        <v>946060</v>
      </c>
      <c r="U20" s="350">
        <v>16800</v>
      </c>
      <c r="V20" s="350">
        <v>0</v>
      </c>
      <c r="W20" s="350">
        <v>793789.8</v>
      </c>
      <c r="X20"/>
      <c r="Y20"/>
      <c r="Z20" s="43"/>
      <c r="AA20" s="43"/>
    </row>
    <row r="21" spans="1:44" s="364" customFormat="1" x14ac:dyDescent="0.3">
      <c r="A21" s="363"/>
      <c r="B21" s="349" t="s">
        <v>159</v>
      </c>
      <c r="C21" s="350" t="s">
        <v>169</v>
      </c>
      <c r="D21" s="350">
        <v>0</v>
      </c>
      <c r="E21" s="350">
        <v>0</v>
      </c>
      <c r="F21" s="350">
        <v>0</v>
      </c>
      <c r="G21" s="350">
        <v>0</v>
      </c>
      <c r="H21" s="350">
        <v>0</v>
      </c>
      <c r="I21" s="350">
        <v>0</v>
      </c>
      <c r="J21" s="351">
        <v>133251.95000000001</v>
      </c>
      <c r="K21" s="350">
        <v>371280.27</v>
      </c>
      <c r="L21" s="350">
        <v>43511.5</v>
      </c>
      <c r="M21" s="350">
        <v>48700</v>
      </c>
      <c r="N21" s="350">
        <v>36300</v>
      </c>
      <c r="O21" s="350">
        <v>20500</v>
      </c>
      <c r="P21" s="350">
        <v>0</v>
      </c>
      <c r="Q21" s="350">
        <v>57400</v>
      </c>
      <c r="R21" s="350">
        <v>88910.720000000001</v>
      </c>
      <c r="S21" s="350">
        <v>213020</v>
      </c>
      <c r="T21" s="350">
        <v>15800</v>
      </c>
      <c r="U21" s="350">
        <v>688860</v>
      </c>
      <c r="V21" s="350">
        <v>16800</v>
      </c>
      <c r="W21" s="350">
        <v>0</v>
      </c>
      <c r="X21"/>
      <c r="Y21"/>
      <c r="Z21" s="43"/>
      <c r="AA21" s="43"/>
    </row>
    <row r="22" spans="1:44" s="364" customFormat="1" x14ac:dyDescent="0.3">
      <c r="A22" s="363"/>
      <c r="B22" s="349" t="s">
        <v>160</v>
      </c>
      <c r="C22" s="350" t="s">
        <v>169</v>
      </c>
      <c r="D22" s="350">
        <v>0</v>
      </c>
      <c r="E22" s="350">
        <v>0</v>
      </c>
      <c r="F22" s="350">
        <v>0</v>
      </c>
      <c r="G22" s="350">
        <v>0</v>
      </c>
      <c r="H22" s="350">
        <v>0</v>
      </c>
      <c r="I22" s="350">
        <v>0</v>
      </c>
      <c r="J22" s="351">
        <v>0</v>
      </c>
      <c r="K22" s="350">
        <v>116124.85</v>
      </c>
      <c r="L22" s="350">
        <v>266680.27</v>
      </c>
      <c r="M22" s="350">
        <v>43511.5</v>
      </c>
      <c r="N22" s="350">
        <v>48700</v>
      </c>
      <c r="O22" s="350">
        <v>0</v>
      </c>
      <c r="P22" s="350">
        <v>0</v>
      </c>
      <c r="Q22" s="350">
        <v>0</v>
      </c>
      <c r="R22" s="350">
        <v>51800</v>
      </c>
      <c r="S22" s="350">
        <v>49493.72</v>
      </c>
      <c r="T22" s="350">
        <v>151520</v>
      </c>
      <c r="U22" s="350">
        <v>15800</v>
      </c>
      <c r="V22" s="350">
        <v>640260</v>
      </c>
      <c r="W22" s="350">
        <v>16800</v>
      </c>
      <c r="X22"/>
      <c r="Y22"/>
      <c r="Z22" s="43"/>
      <c r="AA22" s="43"/>
    </row>
    <row r="23" spans="1:44" s="369" customFormat="1" x14ac:dyDescent="0.3">
      <c r="A23" s="365"/>
      <c r="B23" s="366" t="s">
        <v>161</v>
      </c>
      <c r="C23" s="367" t="s">
        <v>169</v>
      </c>
      <c r="D23" s="367">
        <v>0</v>
      </c>
      <c r="E23" s="367">
        <v>0</v>
      </c>
      <c r="F23" s="367">
        <v>0</v>
      </c>
      <c r="G23" s="367">
        <v>0</v>
      </c>
      <c r="H23" s="367">
        <v>0</v>
      </c>
      <c r="I23" s="367">
        <v>0</v>
      </c>
      <c r="J23" s="367">
        <v>0</v>
      </c>
      <c r="K23" s="367">
        <v>0</v>
      </c>
      <c r="L23" s="367">
        <v>113137.85</v>
      </c>
      <c r="M23" s="367">
        <v>170080.27</v>
      </c>
      <c r="N23" s="367">
        <v>37511.5</v>
      </c>
      <c r="O23" s="367">
        <v>47040.83</v>
      </c>
      <c r="P23" s="367">
        <v>0</v>
      </c>
      <c r="Q23" s="367">
        <v>0</v>
      </c>
      <c r="R23" s="367">
        <v>0</v>
      </c>
      <c r="S23" s="367">
        <v>49800</v>
      </c>
      <c r="T23" s="367">
        <v>42676.72</v>
      </c>
      <c r="U23" s="367">
        <v>70720</v>
      </c>
      <c r="V23" s="367">
        <v>15800</v>
      </c>
      <c r="W23" s="367">
        <v>586160</v>
      </c>
      <c r="X23"/>
      <c r="Y23"/>
      <c r="Z23" s="368"/>
      <c r="AA23" s="368"/>
    </row>
    <row r="24" spans="1:44" s="364" customFormat="1" x14ac:dyDescent="0.3">
      <c r="A24" s="363"/>
      <c r="B24" s="370" t="s">
        <v>170</v>
      </c>
      <c r="C24" s="352" t="s">
        <v>169</v>
      </c>
      <c r="D24" s="352">
        <v>0</v>
      </c>
      <c r="E24" s="352">
        <v>0</v>
      </c>
      <c r="F24" s="352">
        <v>0</v>
      </c>
      <c r="G24" s="352">
        <v>0</v>
      </c>
      <c r="H24" s="352">
        <v>0</v>
      </c>
      <c r="I24" s="352">
        <v>0</v>
      </c>
      <c r="J24" s="353">
        <v>0</v>
      </c>
      <c r="K24" s="352">
        <v>0</v>
      </c>
      <c r="L24" s="352">
        <v>0</v>
      </c>
      <c r="M24" s="352">
        <v>113137.85</v>
      </c>
      <c r="N24" s="352">
        <v>126135.01</v>
      </c>
      <c r="O24" s="352">
        <v>37511.5</v>
      </c>
      <c r="P24" s="352">
        <v>41781.660000000003</v>
      </c>
      <c r="Q24" s="352">
        <v>0</v>
      </c>
      <c r="R24" s="352">
        <v>0</v>
      </c>
      <c r="S24" s="352">
        <v>0</v>
      </c>
      <c r="T24" s="352">
        <v>48800</v>
      </c>
      <c r="U24" s="352">
        <v>37859.72</v>
      </c>
      <c r="V24" s="352">
        <v>68840</v>
      </c>
      <c r="W24" s="352">
        <v>15800</v>
      </c>
      <c r="X24"/>
      <c r="Y24"/>
      <c r="Z24" s="43"/>
      <c r="AA24" s="43"/>
    </row>
    <row r="25" spans="1:44" s="364" customFormat="1" x14ac:dyDescent="0.3">
      <c r="A25" s="363"/>
      <c r="B25" s="354" t="s">
        <v>163</v>
      </c>
      <c r="C25" s="352" t="s">
        <v>171</v>
      </c>
      <c r="D25" s="352">
        <v>0</v>
      </c>
      <c r="E25" s="352">
        <v>0</v>
      </c>
      <c r="F25" s="352">
        <v>0</v>
      </c>
      <c r="G25" s="352">
        <v>0</v>
      </c>
      <c r="H25" s="352">
        <v>0</v>
      </c>
      <c r="I25" s="352">
        <v>0</v>
      </c>
      <c r="J25" s="353">
        <v>0</v>
      </c>
      <c r="K25" s="352">
        <v>0</v>
      </c>
      <c r="L25" s="352">
        <v>0</v>
      </c>
      <c r="M25" s="352">
        <v>0</v>
      </c>
      <c r="N25" s="352">
        <v>108137.85</v>
      </c>
      <c r="O25" s="352">
        <v>109249.12</v>
      </c>
      <c r="P25" s="352">
        <v>31300</v>
      </c>
      <c r="Q25" s="352">
        <v>38622.49</v>
      </c>
      <c r="R25" s="352">
        <v>0</v>
      </c>
      <c r="S25" s="352">
        <v>0</v>
      </c>
      <c r="T25" s="352">
        <v>0</v>
      </c>
      <c r="U25" s="352">
        <v>48800</v>
      </c>
      <c r="V25" s="352">
        <v>29242.720000000001</v>
      </c>
      <c r="W25" s="352">
        <v>53160</v>
      </c>
      <c r="X25"/>
      <c r="Y25"/>
      <c r="Z25" s="43"/>
      <c r="AA25" s="43"/>
    </row>
    <row r="26" spans="1:44" s="364" customFormat="1" ht="14.5" thickBot="1" x14ac:dyDescent="0.35">
      <c r="A26" s="363"/>
      <c r="B26" s="355" t="s">
        <v>164</v>
      </c>
      <c r="C26" s="352" t="s">
        <v>169</v>
      </c>
      <c r="D26" s="352">
        <v>0</v>
      </c>
      <c r="E26" s="352">
        <v>0</v>
      </c>
      <c r="F26" s="352">
        <v>0</v>
      </c>
      <c r="G26" s="352">
        <v>0</v>
      </c>
      <c r="H26" s="352">
        <v>0</v>
      </c>
      <c r="I26" s="352">
        <v>0</v>
      </c>
      <c r="J26" s="353">
        <v>0</v>
      </c>
      <c r="K26" s="352">
        <v>0</v>
      </c>
      <c r="L26" s="352">
        <v>0</v>
      </c>
      <c r="M26" s="352">
        <v>0</v>
      </c>
      <c r="N26" s="352">
        <v>0</v>
      </c>
      <c r="O26" s="352">
        <v>57037.85</v>
      </c>
      <c r="P26" s="352">
        <v>154886.97</v>
      </c>
      <c r="Q26" s="352">
        <v>174936.97</v>
      </c>
      <c r="R26" s="352">
        <v>195000.29</v>
      </c>
      <c r="S26" s="352">
        <v>183450.29</v>
      </c>
      <c r="T26" s="352">
        <v>170050.44</v>
      </c>
      <c r="U26" s="352">
        <v>160050.44</v>
      </c>
      <c r="V26" s="352">
        <v>194850.44</v>
      </c>
      <c r="W26" s="352">
        <v>211126.16</v>
      </c>
      <c r="X26"/>
      <c r="Y26"/>
      <c r="Z26" s="43"/>
      <c r="AA26" s="43"/>
    </row>
    <row r="27" spans="1:44" customFormat="1" ht="14.5" thickTop="1" x14ac:dyDescent="0.3">
      <c r="A27" s="371"/>
      <c r="B27" s="372"/>
      <c r="C27" s="373"/>
      <c r="D27" s="374" t="e">
        <f t="shared" ref="D27:W27" si="1">(C23-D24)/C23</f>
        <v>#VALUE!</v>
      </c>
      <c r="E27" s="374" t="e">
        <f t="shared" si="1"/>
        <v>#DIV/0!</v>
      </c>
      <c r="F27" s="374" t="e">
        <f t="shared" si="1"/>
        <v>#DIV/0!</v>
      </c>
      <c r="G27" s="374" t="e">
        <f t="shared" si="1"/>
        <v>#DIV/0!</v>
      </c>
      <c r="H27" s="374" t="e">
        <f t="shared" si="1"/>
        <v>#DIV/0!</v>
      </c>
      <c r="I27" s="374" t="e">
        <f t="shared" si="1"/>
        <v>#DIV/0!</v>
      </c>
      <c r="J27" s="374" t="e">
        <f t="shared" si="1"/>
        <v>#DIV/0!</v>
      </c>
      <c r="K27" s="374" t="e">
        <f t="shared" si="1"/>
        <v>#DIV/0!</v>
      </c>
      <c r="L27" s="374" t="e">
        <f t="shared" si="1"/>
        <v>#DIV/0!</v>
      </c>
      <c r="M27" s="374">
        <f t="shared" si="1"/>
        <v>0</v>
      </c>
      <c r="N27" s="374">
        <f t="shared" si="1"/>
        <v>0.25837952867784136</v>
      </c>
      <c r="O27" s="374">
        <f t="shared" si="1"/>
        <v>0</v>
      </c>
      <c r="P27" s="374">
        <f t="shared" si="1"/>
        <v>0.11180011066981595</v>
      </c>
      <c r="Q27" s="374" t="e">
        <f t="shared" si="1"/>
        <v>#DIV/0!</v>
      </c>
      <c r="R27" s="374" t="e">
        <f t="shared" si="1"/>
        <v>#DIV/0!</v>
      </c>
      <c r="S27" s="374" t="e">
        <f t="shared" si="1"/>
        <v>#DIV/0!</v>
      </c>
      <c r="T27" s="374">
        <f t="shared" si="1"/>
        <v>2.0080321285140562E-2</v>
      </c>
      <c r="U27" s="374">
        <f t="shared" si="1"/>
        <v>0.11287184207221174</v>
      </c>
      <c r="V27" s="374">
        <f t="shared" si="1"/>
        <v>2.6583710407239818E-2</v>
      </c>
      <c r="W27" s="374">
        <f t="shared" si="1"/>
        <v>0</v>
      </c>
      <c r="Z27" s="43"/>
      <c r="AA27" s="43"/>
      <c r="AQ27" s="375"/>
      <c r="AR27" s="375"/>
    </row>
    <row r="28" spans="1:44" customFormat="1" x14ac:dyDescent="0.3">
      <c r="A28" s="371"/>
      <c r="B28" s="372"/>
      <c r="C28" s="373"/>
      <c r="D28" s="374" t="e">
        <f t="shared" ref="D28:V28" si="2">(D24-E25)/C23</f>
        <v>#VALUE!</v>
      </c>
      <c r="E28" s="374" t="e">
        <f t="shared" si="2"/>
        <v>#DIV/0!</v>
      </c>
      <c r="F28" s="374" t="e">
        <f t="shared" si="2"/>
        <v>#DIV/0!</v>
      </c>
      <c r="G28" s="374" t="e">
        <f t="shared" si="2"/>
        <v>#DIV/0!</v>
      </c>
      <c r="H28" s="374" t="e">
        <f t="shared" si="2"/>
        <v>#DIV/0!</v>
      </c>
      <c r="I28" s="374" t="e">
        <f t="shared" si="2"/>
        <v>#DIV/0!</v>
      </c>
      <c r="J28" s="374" t="e">
        <f t="shared" si="2"/>
        <v>#DIV/0!</v>
      </c>
      <c r="K28" s="374" t="e">
        <f t="shared" si="2"/>
        <v>#DIV/0!</v>
      </c>
      <c r="L28" s="374" t="e">
        <f t="shared" si="2"/>
        <v>#DIV/0!</v>
      </c>
      <c r="M28" s="374">
        <f t="shared" si="2"/>
        <v>4.4193874994089069E-2</v>
      </c>
      <c r="N28" s="374">
        <f t="shared" si="2"/>
        <v>9.9281886135293651E-2</v>
      </c>
      <c r="O28" s="374">
        <f t="shared" si="2"/>
        <v>0.16558921930607948</v>
      </c>
      <c r="P28" s="374">
        <f t="shared" si="2"/>
        <v>6.7158041216534778E-2</v>
      </c>
      <c r="Q28" s="374" t="e">
        <f t="shared" si="2"/>
        <v>#DIV/0!</v>
      </c>
      <c r="R28" s="374" t="e">
        <f t="shared" si="2"/>
        <v>#DIV/0!</v>
      </c>
      <c r="S28" s="374" t="e">
        <f t="shared" si="2"/>
        <v>#DIV/0!</v>
      </c>
      <c r="T28" s="374">
        <f t="shared" si="2"/>
        <v>0</v>
      </c>
      <c r="U28" s="374">
        <f t="shared" si="2"/>
        <v>0.20191336166415788</v>
      </c>
      <c r="V28" s="374">
        <f t="shared" si="2"/>
        <v>0.22171945701357465</v>
      </c>
      <c r="W28" s="374">
        <f t="shared" ref="W28" si="3">(W24-Z25)/V23</f>
        <v>1</v>
      </c>
      <c r="Z28" s="43"/>
      <c r="AA28" s="43"/>
      <c r="AQ28" s="375"/>
      <c r="AR28" s="375"/>
    </row>
    <row r="29" spans="1:44" customFormat="1" x14ac:dyDescent="0.3">
      <c r="A29" s="371"/>
      <c r="B29" s="372"/>
      <c r="C29" s="373"/>
      <c r="D29" s="374" t="e">
        <f t="shared" ref="D29:U29" si="4">(E25-F26)/C23</f>
        <v>#VALUE!</v>
      </c>
      <c r="E29" s="374" t="e">
        <f t="shared" si="4"/>
        <v>#DIV/0!</v>
      </c>
      <c r="F29" s="374" t="e">
        <f t="shared" si="4"/>
        <v>#DIV/0!</v>
      </c>
      <c r="G29" s="374" t="e">
        <f t="shared" si="4"/>
        <v>#DIV/0!</v>
      </c>
      <c r="H29" s="374" t="e">
        <f t="shared" si="4"/>
        <v>#DIV/0!</v>
      </c>
      <c r="I29" s="374" t="e">
        <f t="shared" si="4"/>
        <v>#DIV/0!</v>
      </c>
      <c r="J29" s="374" t="e">
        <f t="shared" si="4"/>
        <v>#DIV/0!</v>
      </c>
      <c r="K29" s="374" t="e">
        <f t="shared" si="4"/>
        <v>#DIV/0!</v>
      </c>
      <c r="L29" s="374" t="e">
        <f t="shared" si="4"/>
        <v>#DIV/0!</v>
      </c>
      <c r="M29" s="374">
        <f t="shared" si="4"/>
        <v>0.45166140243959035</v>
      </c>
      <c r="N29" s="374">
        <f t="shared" si="4"/>
        <v>-0.26833124147792103</v>
      </c>
      <c r="O29" s="374">
        <f t="shared" si="4"/>
        <v>-3.829144928888474</v>
      </c>
      <c r="P29" s="374">
        <f t="shared" si="4"/>
        <v>-3.3242993374053991</v>
      </c>
      <c r="Q29" s="374" t="e">
        <f t="shared" si="4"/>
        <v>#DIV/0!</v>
      </c>
      <c r="R29" s="374" t="e">
        <f t="shared" si="4"/>
        <v>#DIV/0!</v>
      </c>
      <c r="S29" s="374" t="e">
        <f t="shared" si="4"/>
        <v>#DIV/0!</v>
      </c>
      <c r="T29" s="374">
        <f t="shared" si="4"/>
        <v>-2.9327397590361448</v>
      </c>
      <c r="U29" s="374">
        <f t="shared" si="4"/>
        <v>-4.2618889174238319</v>
      </c>
      <c r="V29" s="374">
        <f t="shared" ref="V29" si="5">(W25-Z26)/U23</f>
        <v>0.75169683257918551</v>
      </c>
      <c r="W29" s="374">
        <f t="shared" ref="W29" si="6">(Z25-AA26)/V23</f>
        <v>0</v>
      </c>
      <c r="Z29" s="43"/>
      <c r="AA29" s="43"/>
      <c r="AQ29" s="375"/>
      <c r="AR29" s="375"/>
    </row>
    <row r="30" spans="1:44" customFormat="1" x14ac:dyDescent="0.3">
      <c r="A30" s="371"/>
      <c r="B30" s="372"/>
      <c r="C30" s="373"/>
      <c r="D30" s="374" t="e">
        <f t="shared" ref="D30:U30" si="7">(E26-F32)/C24</f>
        <v>#VALUE!</v>
      </c>
      <c r="E30" s="374" t="e">
        <f t="shared" si="7"/>
        <v>#DIV/0!</v>
      </c>
      <c r="F30" s="374" t="e">
        <f t="shared" si="7"/>
        <v>#DIV/0!</v>
      </c>
      <c r="G30" s="374" t="e">
        <f t="shared" si="7"/>
        <v>#DIV/0!</v>
      </c>
      <c r="H30" s="374" t="e">
        <f t="shared" si="7"/>
        <v>#DIV/0!</v>
      </c>
      <c r="I30" s="374" t="e">
        <f t="shared" si="7"/>
        <v>#DIV/0!</v>
      </c>
      <c r="J30" s="374" t="e">
        <f t="shared" si="7"/>
        <v>#DIV/0!</v>
      </c>
      <c r="K30" s="374" t="e">
        <f t="shared" si="7"/>
        <v>#DIV/0!</v>
      </c>
      <c r="L30" s="374" t="e">
        <f t="shared" si="7"/>
        <v>#DIV/0!</v>
      </c>
      <c r="M30" s="374" t="e">
        <f t="shared" si="7"/>
        <v>#DIV/0!</v>
      </c>
      <c r="N30" s="374">
        <f t="shared" si="7"/>
        <v>0.50414472256632059</v>
      </c>
      <c r="O30" s="374">
        <f t="shared" si="7"/>
        <v>1.2279459128754182</v>
      </c>
      <c r="P30" s="374">
        <f t="shared" si="7"/>
        <v>4.6635557095823952</v>
      </c>
      <c r="Q30" s="374">
        <f t="shared" si="7"/>
        <v>4.6671264377719792</v>
      </c>
      <c r="R30" s="374" t="e">
        <f t="shared" si="7"/>
        <v>#DIV/0!</v>
      </c>
      <c r="S30" s="374" t="e">
        <f t="shared" si="7"/>
        <v>#DIV/0!</v>
      </c>
      <c r="T30" s="374" t="e">
        <f t="shared" si="7"/>
        <v>#DIV/0!</v>
      </c>
      <c r="U30" s="374">
        <f t="shared" si="7"/>
        <v>3.9928368852459015</v>
      </c>
      <c r="V30" s="374">
        <f t="shared" ref="V30" si="8">(W26-Z32)/U24</f>
        <v>5.5765166778835136</v>
      </c>
      <c r="W30" s="374">
        <f t="shared" ref="W30" si="9">(Z26-AA32)/V24</f>
        <v>0</v>
      </c>
      <c r="Z30" s="43"/>
      <c r="AA30" s="43"/>
      <c r="AQ30" s="375"/>
      <c r="AR30" s="375"/>
    </row>
    <row r="31" spans="1:44" customFormat="1" ht="14.5" thickBot="1" x14ac:dyDescent="0.35">
      <c r="A31" s="371"/>
      <c r="B31" s="372"/>
      <c r="C31" s="373"/>
      <c r="D31" s="376" t="e">
        <f t="shared" ref="D31:F31" si="10">SUM(D27:D28)</f>
        <v>#VALUE!</v>
      </c>
      <c r="E31" s="376" t="e">
        <f t="shared" si="10"/>
        <v>#DIV/0!</v>
      </c>
      <c r="F31" s="376" t="e">
        <f t="shared" si="10"/>
        <v>#DIV/0!</v>
      </c>
      <c r="G31" s="376" t="e">
        <f t="shared" ref="G31:R31" si="11">SUM(G27)</f>
        <v>#DIV/0!</v>
      </c>
      <c r="H31" s="376" t="e">
        <f t="shared" si="11"/>
        <v>#DIV/0!</v>
      </c>
      <c r="I31" s="376" t="e">
        <f t="shared" si="11"/>
        <v>#DIV/0!</v>
      </c>
      <c r="J31" s="376" t="e">
        <f t="shared" si="11"/>
        <v>#DIV/0!</v>
      </c>
      <c r="K31" s="376" t="e">
        <f t="shared" si="11"/>
        <v>#DIV/0!</v>
      </c>
      <c r="L31" s="376" t="e">
        <f t="shared" si="11"/>
        <v>#DIV/0!</v>
      </c>
      <c r="M31" s="376">
        <f>SUM(M27:M28)</f>
        <v>4.4193874994089069E-2</v>
      </c>
      <c r="N31" s="376">
        <f t="shared" ref="N31:P31" si="12">SUM(N27:N28)</f>
        <v>0.35766141481313501</v>
      </c>
      <c r="O31" s="376">
        <f t="shared" si="12"/>
        <v>0.16558921930607948</v>
      </c>
      <c r="P31" s="376">
        <f t="shared" si="12"/>
        <v>0.17895815188635072</v>
      </c>
      <c r="Q31" s="376" t="e">
        <f t="shared" si="11"/>
        <v>#DIV/0!</v>
      </c>
      <c r="R31" s="376" t="e">
        <f t="shared" si="11"/>
        <v>#DIV/0!</v>
      </c>
      <c r="S31" s="376"/>
      <c r="T31" s="376">
        <f t="shared" ref="T31:V31" si="13">SUM(T27:T28)</f>
        <v>2.0080321285140562E-2</v>
      </c>
      <c r="U31" s="376">
        <f t="shared" si="13"/>
        <v>0.31478520373636965</v>
      </c>
      <c r="V31" s="376">
        <f t="shared" si="13"/>
        <v>0.24830316742081446</v>
      </c>
      <c r="W31" s="376"/>
      <c r="Y31" s="377">
        <f>AVERAGE(M31:P31)</f>
        <v>0.18660066524991359</v>
      </c>
      <c r="Z31" s="378">
        <f>ROUNDUP(Y31,1)</f>
        <v>0.2</v>
      </c>
      <c r="AA31" s="378"/>
      <c r="AP31" s="377"/>
      <c r="AQ31" s="375"/>
      <c r="AR31" s="375"/>
    </row>
    <row r="32" spans="1:44" s="364" customFormat="1" ht="15" thickTop="1" thickBot="1" x14ac:dyDescent="0.35">
      <c r="A32" s="363"/>
      <c r="B32" s="356" t="s">
        <v>165</v>
      </c>
      <c r="C32" s="357" t="s">
        <v>169</v>
      </c>
      <c r="D32" s="357"/>
      <c r="E32" s="357"/>
      <c r="F32" s="357"/>
      <c r="G32" s="357"/>
      <c r="H32" s="357"/>
      <c r="I32" s="357"/>
      <c r="J32" s="357"/>
      <c r="K32" s="357"/>
      <c r="L32" s="357"/>
      <c r="M32" s="357"/>
      <c r="N32" s="357"/>
      <c r="O32" s="357"/>
      <c r="P32" s="357"/>
      <c r="Q32" s="357"/>
      <c r="R32" s="357"/>
      <c r="S32" s="357"/>
      <c r="T32" s="357"/>
      <c r="U32" s="357"/>
      <c r="V32" s="357"/>
      <c r="W32" s="357"/>
      <c r="X32"/>
      <c r="Y32"/>
      <c r="Z32" s="378">
        <f>100%-Z31</f>
        <v>0.8</v>
      </c>
      <c r="AA32" s="379"/>
    </row>
    <row r="33" spans="1:27" s="364" customFormat="1" ht="15" thickTop="1" thickBot="1" x14ac:dyDescent="0.35">
      <c r="A33" s="363"/>
      <c r="B33" s="356" t="s">
        <v>166</v>
      </c>
      <c r="C33" s="358" t="s">
        <v>169</v>
      </c>
      <c r="D33" s="358"/>
      <c r="E33" s="358"/>
      <c r="F33" s="358"/>
      <c r="G33" s="358"/>
      <c r="H33" s="358"/>
      <c r="I33" s="358"/>
      <c r="J33" s="358"/>
      <c r="K33" s="358"/>
      <c r="L33" s="358"/>
      <c r="M33" s="358"/>
      <c r="N33" s="358"/>
      <c r="O33" s="358"/>
      <c r="P33" s="358"/>
      <c r="Q33" s="358"/>
      <c r="R33" s="358"/>
      <c r="S33" s="358"/>
      <c r="T33" s="358"/>
      <c r="U33" s="358"/>
      <c r="V33" s="358"/>
      <c r="W33" s="358"/>
      <c r="X33"/>
      <c r="Y33"/>
      <c r="Z33" s="43"/>
      <c r="AA33" s="43"/>
    </row>
    <row r="34" spans="1:27" ht="15" thickTop="1" thickBot="1" x14ac:dyDescent="0.35">
      <c r="A34" s="331"/>
      <c r="B34" s="380" t="s">
        <v>172</v>
      </c>
      <c r="C34" s="381" t="s">
        <v>156</v>
      </c>
      <c r="D34" s="382">
        <f>SUM(D19:D26)</f>
        <v>0</v>
      </c>
      <c r="E34" s="382">
        <f t="shared" ref="E34:W34" si="14">SUM(E19:E26)</f>
        <v>0</v>
      </c>
      <c r="F34" s="382">
        <f t="shared" si="14"/>
        <v>0</v>
      </c>
      <c r="G34" s="382">
        <f t="shared" si="14"/>
        <v>4319000</v>
      </c>
      <c r="H34" s="382">
        <f t="shared" si="14"/>
        <v>26298900</v>
      </c>
      <c r="I34" s="382">
        <f t="shared" si="14"/>
        <v>96001050.700000003</v>
      </c>
      <c r="J34" s="382">
        <f t="shared" si="14"/>
        <v>92531962.219999999</v>
      </c>
      <c r="K34" s="382">
        <f t="shared" si="14"/>
        <v>26557836.120000001</v>
      </c>
      <c r="L34" s="382">
        <f t="shared" si="14"/>
        <v>24852549.620000001</v>
      </c>
      <c r="M34" s="382">
        <f t="shared" si="14"/>
        <v>5463265.6199999992</v>
      </c>
      <c r="N34" s="382">
        <f t="shared" si="14"/>
        <v>91352276.760000005</v>
      </c>
      <c r="O34" s="382">
        <f t="shared" si="14"/>
        <v>41081475.969999999</v>
      </c>
      <c r="P34" s="382">
        <f t="shared" si="14"/>
        <v>63506567.959999993</v>
      </c>
      <c r="Q34" s="382">
        <f t="shared" si="14"/>
        <v>224767978.18000001</v>
      </c>
      <c r="R34" s="382">
        <f t="shared" si="14"/>
        <v>860428032.01999998</v>
      </c>
      <c r="S34" s="382">
        <f t="shared" si="14"/>
        <v>112068520.01000001</v>
      </c>
      <c r="T34" s="382">
        <f t="shared" si="14"/>
        <v>1810227746.1600001</v>
      </c>
      <c r="U34" s="382">
        <f t="shared" si="14"/>
        <v>375021514.16000003</v>
      </c>
      <c r="V34" s="382">
        <f t="shared" si="14"/>
        <v>158619015.16</v>
      </c>
      <c r="W34" s="382">
        <f t="shared" si="14"/>
        <v>1402369569.6300001</v>
      </c>
      <c r="Z34" s="43"/>
      <c r="AA34" s="43"/>
    </row>
    <row r="35" spans="1:27" ht="15" thickTop="1" thickBot="1" x14ac:dyDescent="0.35">
      <c r="A35" s="331"/>
      <c r="B35" s="383" t="s">
        <v>173</v>
      </c>
      <c r="C35" s="384" t="s">
        <v>156</v>
      </c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Z35" s="43"/>
      <c r="AA35" s="43"/>
    </row>
    <row r="36" spans="1:27" ht="14.5" thickTop="1" x14ac:dyDescent="0.3">
      <c r="B36" s="386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</row>
    <row r="37" spans="1:27" x14ac:dyDescent="0.3">
      <c r="D37" s="342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</row>
    <row r="39" spans="1:27" ht="16.5" customHeight="1" thickBot="1" x14ac:dyDescent="0.35">
      <c r="A39" s="623" t="s">
        <v>174</v>
      </c>
      <c r="B39" s="623"/>
      <c r="C39" s="623"/>
      <c r="D39" s="387"/>
      <c r="E39" s="387"/>
      <c r="F39" s="387"/>
      <c r="G39" s="387"/>
      <c r="H39" s="387"/>
      <c r="I39" s="387"/>
      <c r="J39" s="387"/>
      <c r="K39" s="387"/>
      <c r="L39" s="387"/>
      <c r="M39" s="387"/>
      <c r="N39" s="387"/>
      <c r="O39" s="387"/>
      <c r="P39" s="387"/>
      <c r="Q39" s="387"/>
      <c r="R39" s="387"/>
      <c r="S39" s="387"/>
      <c r="T39" s="387"/>
      <c r="U39" s="387"/>
      <c r="V39" s="387"/>
      <c r="W39" s="387"/>
    </row>
    <row r="40" spans="1:27" s="392" customFormat="1" ht="16.5" customHeight="1" x14ac:dyDescent="0.3">
      <c r="A40" s="624" t="s">
        <v>175</v>
      </c>
      <c r="B40" s="388" t="s">
        <v>176</v>
      </c>
      <c r="C40" s="389"/>
      <c r="D40" s="390">
        <f t="shared" ref="D40:W40" si="15">D4</f>
        <v>0</v>
      </c>
      <c r="E40" s="390">
        <f t="shared" si="15"/>
        <v>0</v>
      </c>
      <c r="F40" s="390">
        <f t="shared" si="15"/>
        <v>0</v>
      </c>
      <c r="G40" s="390">
        <f t="shared" si="15"/>
        <v>0</v>
      </c>
      <c r="H40" s="390">
        <f t="shared" si="15"/>
        <v>0</v>
      </c>
      <c r="I40" s="390">
        <f t="shared" si="15"/>
        <v>0</v>
      </c>
      <c r="J40" s="390">
        <f t="shared" si="15"/>
        <v>0</v>
      </c>
      <c r="K40" s="390">
        <f t="shared" si="15"/>
        <v>0</v>
      </c>
      <c r="L40" s="390">
        <f t="shared" si="15"/>
        <v>0</v>
      </c>
      <c r="M40" s="390">
        <f t="shared" si="15"/>
        <v>0</v>
      </c>
      <c r="N40" s="390">
        <f t="shared" si="15"/>
        <v>0</v>
      </c>
      <c r="O40" s="390">
        <f t="shared" si="15"/>
        <v>0</v>
      </c>
      <c r="P40" s="390">
        <f t="shared" si="15"/>
        <v>0</v>
      </c>
      <c r="Q40" s="390">
        <f t="shared" si="15"/>
        <v>0</v>
      </c>
      <c r="R40" s="390">
        <f t="shared" si="15"/>
        <v>0</v>
      </c>
      <c r="S40" s="390">
        <f t="shared" si="15"/>
        <v>0</v>
      </c>
      <c r="T40" s="390">
        <f t="shared" si="15"/>
        <v>0</v>
      </c>
      <c r="U40" s="390">
        <f t="shared" si="15"/>
        <v>0</v>
      </c>
      <c r="V40" s="390">
        <f t="shared" si="15"/>
        <v>0</v>
      </c>
      <c r="W40" s="390">
        <f t="shared" si="15"/>
        <v>0</v>
      </c>
      <c r="X40"/>
      <c r="Y40"/>
      <c r="Z40" s="391"/>
      <c r="AA40" s="391"/>
    </row>
    <row r="41" spans="1:27" s="392" customFormat="1" ht="16.5" customHeight="1" x14ac:dyDescent="0.3">
      <c r="A41" s="625"/>
      <c r="B41" s="393" t="s">
        <v>177</v>
      </c>
      <c r="C41" s="394"/>
      <c r="D41" s="395">
        <f t="shared" ref="D41:W41" si="16">SUM(D8:D13)</f>
        <v>0</v>
      </c>
      <c r="E41" s="395">
        <f t="shared" si="16"/>
        <v>0</v>
      </c>
      <c r="F41" s="395">
        <f t="shared" si="16"/>
        <v>0</v>
      </c>
      <c r="G41" s="395">
        <f t="shared" si="16"/>
        <v>0</v>
      </c>
      <c r="H41" s="395">
        <f t="shared" si="16"/>
        <v>0</v>
      </c>
      <c r="I41" s="395">
        <f t="shared" si="16"/>
        <v>0</v>
      </c>
      <c r="J41" s="395">
        <f t="shared" si="16"/>
        <v>0</v>
      </c>
      <c r="K41" s="395">
        <f t="shared" si="16"/>
        <v>0</v>
      </c>
      <c r="L41" s="395">
        <f t="shared" si="16"/>
        <v>0</v>
      </c>
      <c r="M41" s="395">
        <f t="shared" si="16"/>
        <v>0</v>
      </c>
      <c r="N41" s="395">
        <f t="shared" si="16"/>
        <v>0</v>
      </c>
      <c r="O41" s="395">
        <f t="shared" si="16"/>
        <v>0</v>
      </c>
      <c r="P41" s="395">
        <f t="shared" si="16"/>
        <v>0</v>
      </c>
      <c r="Q41" s="395">
        <f t="shared" si="16"/>
        <v>0</v>
      </c>
      <c r="R41" s="395">
        <f t="shared" si="16"/>
        <v>0</v>
      </c>
      <c r="S41" s="395">
        <f t="shared" si="16"/>
        <v>0</v>
      </c>
      <c r="T41" s="395">
        <f t="shared" si="16"/>
        <v>0</v>
      </c>
      <c r="U41" s="395">
        <f t="shared" si="16"/>
        <v>0</v>
      </c>
      <c r="V41" s="395">
        <f t="shared" si="16"/>
        <v>0</v>
      </c>
      <c r="W41" s="395">
        <f t="shared" si="16"/>
        <v>0</v>
      </c>
      <c r="X41"/>
      <c r="Y41"/>
      <c r="Z41" s="391"/>
      <c r="AA41" s="391"/>
    </row>
    <row r="42" spans="1:27" ht="15.75" customHeight="1" x14ac:dyDescent="0.3">
      <c r="A42" s="625"/>
      <c r="B42" s="396" t="s">
        <v>178</v>
      </c>
      <c r="C42" s="397"/>
      <c r="D42" s="395">
        <f t="shared" ref="D42:W42" si="17">SUM(D7:D9)</f>
        <v>0</v>
      </c>
      <c r="E42" s="395">
        <f t="shared" si="17"/>
        <v>0</v>
      </c>
      <c r="F42" s="395">
        <f t="shared" si="17"/>
        <v>0</v>
      </c>
      <c r="G42" s="395">
        <f t="shared" si="17"/>
        <v>0</v>
      </c>
      <c r="H42" s="395">
        <f t="shared" si="17"/>
        <v>0</v>
      </c>
      <c r="I42" s="395">
        <f t="shared" si="17"/>
        <v>0</v>
      </c>
      <c r="J42" s="395">
        <f t="shared" si="17"/>
        <v>0</v>
      </c>
      <c r="K42" s="395">
        <f t="shared" si="17"/>
        <v>0</v>
      </c>
      <c r="L42" s="395">
        <f t="shared" si="17"/>
        <v>0</v>
      </c>
      <c r="M42" s="395">
        <f t="shared" si="17"/>
        <v>0</v>
      </c>
      <c r="N42" s="395">
        <f t="shared" si="17"/>
        <v>0</v>
      </c>
      <c r="O42" s="395">
        <f t="shared" si="17"/>
        <v>0</v>
      </c>
      <c r="P42" s="395">
        <f t="shared" si="17"/>
        <v>0</v>
      </c>
      <c r="Q42" s="395">
        <f t="shared" si="17"/>
        <v>0</v>
      </c>
      <c r="R42" s="395">
        <f t="shared" si="17"/>
        <v>0</v>
      </c>
      <c r="S42" s="395">
        <f t="shared" si="17"/>
        <v>0</v>
      </c>
      <c r="T42" s="395">
        <f t="shared" si="17"/>
        <v>0</v>
      </c>
      <c r="U42" s="395">
        <f t="shared" si="17"/>
        <v>0</v>
      </c>
      <c r="V42" s="395">
        <f t="shared" si="17"/>
        <v>0</v>
      </c>
      <c r="W42" s="395">
        <f t="shared" si="17"/>
        <v>0</v>
      </c>
    </row>
    <row r="43" spans="1:27" x14ac:dyDescent="0.3">
      <c r="A43" s="625"/>
      <c r="B43" s="396" t="s">
        <v>179</v>
      </c>
      <c r="C43" s="397"/>
      <c r="D43" s="395">
        <f t="shared" ref="D43:W43" si="18">SUM(D7:D13)</f>
        <v>0</v>
      </c>
      <c r="E43" s="395">
        <f t="shared" si="18"/>
        <v>0</v>
      </c>
      <c r="F43" s="395">
        <f t="shared" si="18"/>
        <v>0</v>
      </c>
      <c r="G43" s="395">
        <f t="shared" si="18"/>
        <v>0</v>
      </c>
      <c r="H43" s="395">
        <f t="shared" si="18"/>
        <v>0</v>
      </c>
      <c r="I43" s="395">
        <f t="shared" si="18"/>
        <v>0</v>
      </c>
      <c r="J43" s="395">
        <f t="shared" si="18"/>
        <v>0</v>
      </c>
      <c r="K43" s="395">
        <f t="shared" si="18"/>
        <v>0</v>
      </c>
      <c r="L43" s="395">
        <f t="shared" si="18"/>
        <v>0</v>
      </c>
      <c r="M43" s="395">
        <f t="shared" si="18"/>
        <v>0</v>
      </c>
      <c r="N43" s="395">
        <f t="shared" si="18"/>
        <v>0</v>
      </c>
      <c r="O43" s="395">
        <f t="shared" si="18"/>
        <v>0</v>
      </c>
      <c r="P43" s="395">
        <f t="shared" si="18"/>
        <v>0</v>
      </c>
      <c r="Q43" s="395">
        <f t="shared" si="18"/>
        <v>0</v>
      </c>
      <c r="R43" s="395">
        <f t="shared" si="18"/>
        <v>0</v>
      </c>
      <c r="S43" s="395">
        <f t="shared" si="18"/>
        <v>0</v>
      </c>
      <c r="T43" s="395">
        <f t="shared" si="18"/>
        <v>0</v>
      </c>
      <c r="U43" s="395">
        <f t="shared" si="18"/>
        <v>0</v>
      </c>
      <c r="V43" s="395">
        <f t="shared" si="18"/>
        <v>0</v>
      </c>
      <c r="W43" s="395">
        <f t="shared" si="18"/>
        <v>0</v>
      </c>
    </row>
    <row r="44" spans="1:27" x14ac:dyDescent="0.3">
      <c r="A44" s="625"/>
      <c r="B44" s="396" t="s">
        <v>180</v>
      </c>
      <c r="C44" s="397"/>
      <c r="D44" s="398" t="str">
        <f t="shared" ref="D44:R44" si="19">IFERROR(SUM(D10:D13)/D4,"")</f>
        <v/>
      </c>
      <c r="E44" s="398" t="str">
        <f t="shared" si="19"/>
        <v/>
      </c>
      <c r="F44" s="398" t="str">
        <f t="shared" si="19"/>
        <v/>
      </c>
      <c r="G44" s="398" t="str">
        <f t="shared" si="19"/>
        <v/>
      </c>
      <c r="H44" s="398" t="str">
        <f t="shared" si="19"/>
        <v/>
      </c>
      <c r="I44" s="398" t="str">
        <f t="shared" si="19"/>
        <v/>
      </c>
      <c r="J44" s="398" t="str">
        <f t="shared" si="19"/>
        <v/>
      </c>
      <c r="K44" s="398" t="str">
        <f t="shared" si="19"/>
        <v/>
      </c>
      <c r="L44" s="398" t="str">
        <f t="shared" si="19"/>
        <v/>
      </c>
      <c r="M44" s="398" t="str">
        <f t="shared" si="19"/>
        <v/>
      </c>
      <c r="N44" s="398" t="str">
        <f t="shared" si="19"/>
        <v/>
      </c>
      <c r="O44" s="398" t="str">
        <f t="shared" si="19"/>
        <v/>
      </c>
      <c r="P44" s="398" t="str">
        <f t="shared" si="19"/>
        <v/>
      </c>
      <c r="Q44" s="398" t="str">
        <f t="shared" si="19"/>
        <v/>
      </c>
      <c r="R44" s="398" t="str">
        <f t="shared" si="19"/>
        <v/>
      </c>
      <c r="S44" s="398" t="str">
        <f t="shared" ref="S44:W44" si="20">IFERROR(SUM(S10:S13)/S4,"")</f>
        <v/>
      </c>
      <c r="T44" s="398" t="str">
        <f t="shared" si="20"/>
        <v/>
      </c>
      <c r="U44" s="398" t="str">
        <f t="shared" si="20"/>
        <v/>
      </c>
      <c r="V44" s="398" t="str">
        <f t="shared" si="20"/>
        <v/>
      </c>
      <c r="W44" s="398" t="str">
        <f t="shared" si="20"/>
        <v/>
      </c>
    </row>
    <row r="45" spans="1:27" x14ac:dyDescent="0.3">
      <c r="A45" s="625"/>
      <c r="B45" s="396" t="s">
        <v>181</v>
      </c>
      <c r="C45" s="397"/>
      <c r="D45" s="398" t="str">
        <f t="shared" ref="D45:W45" si="21">IFERROR((D10+D11+D14+D12+D13)/D3,"")</f>
        <v/>
      </c>
      <c r="E45" s="398" t="str">
        <f t="shared" si="21"/>
        <v/>
      </c>
      <c r="F45" s="398" t="str">
        <f t="shared" si="21"/>
        <v/>
      </c>
      <c r="G45" s="398" t="str">
        <f t="shared" si="21"/>
        <v/>
      </c>
      <c r="H45" s="398" t="str">
        <f t="shared" si="21"/>
        <v/>
      </c>
      <c r="I45" s="398" t="str">
        <f t="shared" si="21"/>
        <v/>
      </c>
      <c r="J45" s="398" t="str">
        <f t="shared" si="21"/>
        <v/>
      </c>
      <c r="K45" s="398" t="str">
        <f t="shared" si="21"/>
        <v/>
      </c>
      <c r="L45" s="398" t="str">
        <f t="shared" si="21"/>
        <v/>
      </c>
      <c r="M45" s="398" t="str">
        <f t="shared" si="21"/>
        <v/>
      </c>
      <c r="N45" s="398" t="str">
        <f t="shared" si="21"/>
        <v/>
      </c>
      <c r="O45" s="398" t="str">
        <f t="shared" si="21"/>
        <v/>
      </c>
      <c r="P45" s="398" t="str">
        <f t="shared" si="21"/>
        <v/>
      </c>
      <c r="Q45" s="398" t="str">
        <f t="shared" si="21"/>
        <v/>
      </c>
      <c r="R45" s="398" t="str">
        <f t="shared" si="21"/>
        <v/>
      </c>
      <c r="S45" s="398" t="str">
        <f t="shared" si="21"/>
        <v/>
      </c>
      <c r="T45" s="398" t="str">
        <f t="shared" si="21"/>
        <v/>
      </c>
      <c r="U45" s="398" t="str">
        <f t="shared" si="21"/>
        <v/>
      </c>
      <c r="V45" s="398" t="str">
        <f t="shared" si="21"/>
        <v/>
      </c>
      <c r="W45" s="398" t="str">
        <f t="shared" si="21"/>
        <v/>
      </c>
    </row>
    <row r="46" spans="1:27" x14ac:dyDescent="0.3">
      <c r="A46" s="625"/>
      <c r="B46" s="396" t="s">
        <v>182</v>
      </c>
      <c r="C46" s="397"/>
      <c r="D46" s="399" t="e">
        <f t="shared" ref="D46:W46" si="22">(D10+D11+D12+D13)/D40</f>
        <v>#DIV/0!</v>
      </c>
      <c r="E46" s="399" t="e">
        <f t="shared" si="22"/>
        <v>#DIV/0!</v>
      </c>
      <c r="F46" s="399" t="e">
        <f t="shared" si="22"/>
        <v>#DIV/0!</v>
      </c>
      <c r="G46" s="399" t="e">
        <f t="shared" si="22"/>
        <v>#DIV/0!</v>
      </c>
      <c r="H46" s="399" t="e">
        <f t="shared" si="22"/>
        <v>#DIV/0!</v>
      </c>
      <c r="I46" s="399" t="e">
        <f t="shared" si="22"/>
        <v>#DIV/0!</v>
      </c>
      <c r="J46" s="399" t="e">
        <f t="shared" si="22"/>
        <v>#DIV/0!</v>
      </c>
      <c r="K46" s="399" t="e">
        <f t="shared" si="22"/>
        <v>#DIV/0!</v>
      </c>
      <c r="L46" s="399" t="e">
        <f t="shared" si="22"/>
        <v>#DIV/0!</v>
      </c>
      <c r="M46" s="399" t="e">
        <f t="shared" si="22"/>
        <v>#DIV/0!</v>
      </c>
      <c r="N46" s="399" t="e">
        <f t="shared" si="22"/>
        <v>#DIV/0!</v>
      </c>
      <c r="O46" s="399" t="e">
        <f t="shared" si="22"/>
        <v>#DIV/0!</v>
      </c>
      <c r="P46" s="399" t="e">
        <f t="shared" si="22"/>
        <v>#DIV/0!</v>
      </c>
      <c r="Q46" s="399" t="e">
        <f t="shared" si="22"/>
        <v>#DIV/0!</v>
      </c>
      <c r="R46" s="399" t="e">
        <f t="shared" si="22"/>
        <v>#DIV/0!</v>
      </c>
      <c r="S46" s="399" t="e">
        <f t="shared" si="22"/>
        <v>#DIV/0!</v>
      </c>
      <c r="T46" s="399" t="e">
        <f t="shared" si="22"/>
        <v>#DIV/0!</v>
      </c>
      <c r="U46" s="399" t="e">
        <f t="shared" si="22"/>
        <v>#DIV/0!</v>
      </c>
      <c r="V46" s="399" t="e">
        <f t="shared" si="22"/>
        <v>#DIV/0!</v>
      </c>
      <c r="W46" s="399" t="e">
        <f t="shared" si="22"/>
        <v>#DIV/0!</v>
      </c>
    </row>
    <row r="47" spans="1:27" x14ac:dyDescent="0.3">
      <c r="A47" s="625"/>
      <c r="B47" s="396" t="s">
        <v>183</v>
      </c>
      <c r="C47" s="397"/>
      <c r="D47" s="399" t="str">
        <f t="shared" ref="D47:W47" si="23">IFERROR(D41/D4,"")</f>
        <v/>
      </c>
      <c r="E47" s="399" t="str">
        <f t="shared" si="23"/>
        <v/>
      </c>
      <c r="F47" s="399" t="str">
        <f t="shared" si="23"/>
        <v/>
      </c>
      <c r="G47" s="399" t="str">
        <f t="shared" si="23"/>
        <v/>
      </c>
      <c r="H47" s="399" t="str">
        <f t="shared" si="23"/>
        <v/>
      </c>
      <c r="I47" s="399" t="str">
        <f t="shared" si="23"/>
        <v/>
      </c>
      <c r="J47" s="399" t="str">
        <f t="shared" si="23"/>
        <v/>
      </c>
      <c r="K47" s="399" t="str">
        <f t="shared" si="23"/>
        <v/>
      </c>
      <c r="L47" s="399" t="str">
        <f t="shared" si="23"/>
        <v/>
      </c>
      <c r="M47" s="399" t="str">
        <f t="shared" si="23"/>
        <v/>
      </c>
      <c r="N47" s="399" t="str">
        <f t="shared" si="23"/>
        <v/>
      </c>
      <c r="O47" s="399" t="str">
        <f t="shared" si="23"/>
        <v/>
      </c>
      <c r="P47" s="399" t="str">
        <f t="shared" si="23"/>
        <v/>
      </c>
      <c r="Q47" s="399" t="str">
        <f t="shared" si="23"/>
        <v/>
      </c>
      <c r="R47" s="399" t="str">
        <f t="shared" si="23"/>
        <v/>
      </c>
      <c r="S47" s="399" t="str">
        <f t="shared" si="23"/>
        <v/>
      </c>
      <c r="T47" s="399" t="str">
        <f t="shared" si="23"/>
        <v/>
      </c>
      <c r="U47" s="399" t="str">
        <f t="shared" si="23"/>
        <v/>
      </c>
      <c r="V47" s="399" t="str">
        <f t="shared" si="23"/>
        <v/>
      </c>
      <c r="W47" s="399" t="str">
        <f t="shared" si="23"/>
        <v/>
      </c>
    </row>
    <row r="48" spans="1:27" x14ac:dyDescent="0.3">
      <c r="A48" s="625"/>
      <c r="B48" s="396" t="s">
        <v>184</v>
      </c>
      <c r="C48" s="397"/>
      <c r="D48" s="399" t="str">
        <f t="shared" ref="D48:W48" si="24">IFERROR((D41+D14)/D3,"")</f>
        <v/>
      </c>
      <c r="E48" s="399" t="str">
        <f t="shared" si="24"/>
        <v/>
      </c>
      <c r="F48" s="399" t="str">
        <f t="shared" si="24"/>
        <v/>
      </c>
      <c r="G48" s="399" t="str">
        <f t="shared" si="24"/>
        <v/>
      </c>
      <c r="H48" s="399" t="str">
        <f t="shared" si="24"/>
        <v/>
      </c>
      <c r="I48" s="399" t="str">
        <f t="shared" si="24"/>
        <v/>
      </c>
      <c r="J48" s="399" t="str">
        <f t="shared" si="24"/>
        <v/>
      </c>
      <c r="K48" s="399" t="str">
        <f t="shared" si="24"/>
        <v/>
      </c>
      <c r="L48" s="399" t="str">
        <f t="shared" si="24"/>
        <v/>
      </c>
      <c r="M48" s="399" t="str">
        <f t="shared" si="24"/>
        <v/>
      </c>
      <c r="N48" s="399" t="str">
        <f t="shared" si="24"/>
        <v/>
      </c>
      <c r="O48" s="399" t="str">
        <f t="shared" si="24"/>
        <v/>
      </c>
      <c r="P48" s="399" t="str">
        <f t="shared" si="24"/>
        <v/>
      </c>
      <c r="Q48" s="399" t="str">
        <f t="shared" si="24"/>
        <v/>
      </c>
      <c r="R48" s="399" t="str">
        <f t="shared" si="24"/>
        <v/>
      </c>
      <c r="S48" s="399" t="str">
        <f t="shared" si="24"/>
        <v/>
      </c>
      <c r="T48" s="399" t="str">
        <f t="shared" si="24"/>
        <v/>
      </c>
      <c r="U48" s="399" t="str">
        <f t="shared" si="24"/>
        <v/>
      </c>
      <c r="V48" s="399" t="str">
        <f t="shared" si="24"/>
        <v/>
      </c>
      <c r="W48" s="399" t="str">
        <f t="shared" si="24"/>
        <v/>
      </c>
    </row>
    <row r="49" spans="1:27" x14ac:dyDescent="0.3">
      <c r="A49" s="625"/>
      <c r="B49" s="396" t="s">
        <v>185</v>
      </c>
      <c r="C49" s="397"/>
      <c r="D49" s="399" t="str">
        <f t="shared" ref="D49:W49" si="25">IFERROR((D41)/D40,"")</f>
        <v/>
      </c>
      <c r="E49" s="399" t="str">
        <f t="shared" si="25"/>
        <v/>
      </c>
      <c r="F49" s="399" t="str">
        <f t="shared" si="25"/>
        <v/>
      </c>
      <c r="G49" s="399" t="str">
        <f t="shared" si="25"/>
        <v/>
      </c>
      <c r="H49" s="399" t="str">
        <f t="shared" si="25"/>
        <v/>
      </c>
      <c r="I49" s="399" t="str">
        <f t="shared" si="25"/>
        <v/>
      </c>
      <c r="J49" s="399" t="str">
        <f t="shared" si="25"/>
        <v/>
      </c>
      <c r="K49" s="399" t="str">
        <f t="shared" si="25"/>
        <v/>
      </c>
      <c r="L49" s="399" t="str">
        <f t="shared" si="25"/>
        <v/>
      </c>
      <c r="M49" s="399" t="str">
        <f t="shared" si="25"/>
        <v/>
      </c>
      <c r="N49" s="399" t="str">
        <f t="shared" si="25"/>
        <v/>
      </c>
      <c r="O49" s="399" t="str">
        <f t="shared" si="25"/>
        <v/>
      </c>
      <c r="P49" s="399" t="str">
        <f t="shared" si="25"/>
        <v/>
      </c>
      <c r="Q49" s="399" t="str">
        <f t="shared" si="25"/>
        <v/>
      </c>
      <c r="R49" s="399" t="str">
        <f t="shared" si="25"/>
        <v/>
      </c>
      <c r="S49" s="399" t="str">
        <f t="shared" si="25"/>
        <v/>
      </c>
      <c r="T49" s="399" t="str">
        <f t="shared" si="25"/>
        <v/>
      </c>
      <c r="U49" s="399" t="str">
        <f t="shared" si="25"/>
        <v/>
      </c>
      <c r="V49" s="399" t="str">
        <f t="shared" si="25"/>
        <v/>
      </c>
      <c r="W49" s="399" t="str">
        <f t="shared" si="25"/>
        <v/>
      </c>
    </row>
    <row r="50" spans="1:27" x14ac:dyDescent="0.3">
      <c r="A50" s="625"/>
      <c r="B50" s="396" t="s">
        <v>186</v>
      </c>
      <c r="C50" s="397"/>
      <c r="D50" s="398" t="str">
        <f t="shared" ref="D50:R50" si="26">IFERROR(SUM(D43/D4),"")</f>
        <v/>
      </c>
      <c r="E50" s="398" t="str">
        <f t="shared" si="26"/>
        <v/>
      </c>
      <c r="F50" s="398" t="str">
        <f t="shared" si="26"/>
        <v/>
      </c>
      <c r="G50" s="398" t="str">
        <f t="shared" si="26"/>
        <v/>
      </c>
      <c r="H50" s="398" t="str">
        <f t="shared" si="26"/>
        <v/>
      </c>
      <c r="I50" s="398" t="str">
        <f t="shared" si="26"/>
        <v/>
      </c>
      <c r="J50" s="398" t="str">
        <f t="shared" si="26"/>
        <v/>
      </c>
      <c r="K50" s="398" t="str">
        <f t="shared" si="26"/>
        <v/>
      </c>
      <c r="L50" s="398" t="str">
        <f t="shared" si="26"/>
        <v/>
      </c>
      <c r="M50" s="398" t="str">
        <f t="shared" si="26"/>
        <v/>
      </c>
      <c r="N50" s="398" t="str">
        <f t="shared" si="26"/>
        <v/>
      </c>
      <c r="O50" s="398" t="str">
        <f t="shared" si="26"/>
        <v/>
      </c>
      <c r="P50" s="398" t="str">
        <f t="shared" si="26"/>
        <v/>
      </c>
      <c r="Q50" s="398" t="str">
        <f t="shared" si="26"/>
        <v/>
      </c>
      <c r="R50" s="398" t="str">
        <f t="shared" si="26"/>
        <v/>
      </c>
      <c r="S50" s="398" t="str">
        <f t="shared" ref="S50:W50" si="27">IFERROR(SUM(S43/S4),"")</f>
        <v/>
      </c>
      <c r="T50" s="398" t="str">
        <f t="shared" si="27"/>
        <v/>
      </c>
      <c r="U50" s="398" t="str">
        <f t="shared" si="27"/>
        <v/>
      </c>
      <c r="V50" s="398" t="str">
        <f t="shared" si="27"/>
        <v/>
      </c>
      <c r="W50" s="398" t="str">
        <f t="shared" si="27"/>
        <v/>
      </c>
    </row>
    <row r="51" spans="1:27" x14ac:dyDescent="0.3">
      <c r="A51" s="625"/>
      <c r="B51" s="396" t="s">
        <v>187</v>
      </c>
      <c r="C51" s="397"/>
      <c r="D51" s="399" t="str">
        <f t="shared" ref="D51:W51" si="28">IFERROR(SUM(D43/D40),"")</f>
        <v/>
      </c>
      <c r="E51" s="399" t="str">
        <f t="shared" si="28"/>
        <v/>
      </c>
      <c r="F51" s="399" t="str">
        <f t="shared" si="28"/>
        <v/>
      </c>
      <c r="G51" s="399" t="str">
        <f t="shared" si="28"/>
        <v/>
      </c>
      <c r="H51" s="399" t="str">
        <f t="shared" si="28"/>
        <v/>
      </c>
      <c r="I51" s="399" t="str">
        <f t="shared" si="28"/>
        <v/>
      </c>
      <c r="J51" s="399" t="str">
        <f t="shared" si="28"/>
        <v/>
      </c>
      <c r="K51" s="399" t="str">
        <f t="shared" si="28"/>
        <v/>
      </c>
      <c r="L51" s="399" t="str">
        <f t="shared" si="28"/>
        <v/>
      </c>
      <c r="M51" s="399" t="str">
        <f t="shared" si="28"/>
        <v/>
      </c>
      <c r="N51" s="399" t="str">
        <f t="shared" si="28"/>
        <v/>
      </c>
      <c r="O51" s="399" t="str">
        <f t="shared" si="28"/>
        <v/>
      </c>
      <c r="P51" s="399" t="str">
        <f t="shared" si="28"/>
        <v/>
      </c>
      <c r="Q51" s="399" t="str">
        <f t="shared" si="28"/>
        <v/>
      </c>
      <c r="R51" s="399" t="str">
        <f t="shared" si="28"/>
        <v/>
      </c>
      <c r="S51" s="399" t="str">
        <f t="shared" si="28"/>
        <v/>
      </c>
      <c r="T51" s="399" t="str">
        <f t="shared" si="28"/>
        <v/>
      </c>
      <c r="U51" s="399" t="str">
        <f t="shared" si="28"/>
        <v/>
      </c>
      <c r="V51" s="399" t="str">
        <f t="shared" si="28"/>
        <v/>
      </c>
      <c r="W51" s="399" t="str">
        <f t="shared" si="28"/>
        <v/>
      </c>
    </row>
    <row r="52" spans="1:27" x14ac:dyDescent="0.3">
      <c r="A52" s="625"/>
      <c r="B52" s="396" t="s">
        <v>188</v>
      </c>
      <c r="C52" s="397"/>
      <c r="D52" s="399" t="str">
        <f t="shared" ref="D52:W52" si="29">IFERROR(D14/D3,"")</f>
        <v/>
      </c>
      <c r="E52" s="399" t="str">
        <f t="shared" si="29"/>
        <v/>
      </c>
      <c r="F52" s="399" t="str">
        <f t="shared" si="29"/>
        <v/>
      </c>
      <c r="G52" s="399" t="str">
        <f t="shared" si="29"/>
        <v/>
      </c>
      <c r="H52" s="399" t="str">
        <f t="shared" si="29"/>
        <v/>
      </c>
      <c r="I52" s="399" t="str">
        <f t="shared" si="29"/>
        <v/>
      </c>
      <c r="J52" s="399" t="str">
        <f t="shared" si="29"/>
        <v/>
      </c>
      <c r="K52" s="399" t="str">
        <f t="shared" si="29"/>
        <v/>
      </c>
      <c r="L52" s="399" t="str">
        <f t="shared" si="29"/>
        <v/>
      </c>
      <c r="M52" s="399" t="str">
        <f t="shared" si="29"/>
        <v/>
      </c>
      <c r="N52" s="399" t="str">
        <f t="shared" si="29"/>
        <v/>
      </c>
      <c r="O52" s="399" t="str">
        <f t="shared" si="29"/>
        <v/>
      </c>
      <c r="P52" s="399" t="str">
        <f t="shared" si="29"/>
        <v/>
      </c>
      <c r="Q52" s="399" t="str">
        <f t="shared" si="29"/>
        <v/>
      </c>
      <c r="R52" s="399" t="str">
        <f t="shared" si="29"/>
        <v/>
      </c>
      <c r="S52" s="399" t="str">
        <f t="shared" si="29"/>
        <v/>
      </c>
      <c r="T52" s="399" t="str">
        <f t="shared" si="29"/>
        <v/>
      </c>
      <c r="U52" s="399" t="str">
        <f t="shared" si="29"/>
        <v/>
      </c>
      <c r="V52" s="399" t="str">
        <f t="shared" si="29"/>
        <v/>
      </c>
      <c r="W52" s="399" t="str">
        <f t="shared" si="29"/>
        <v/>
      </c>
    </row>
    <row r="53" spans="1:27" x14ac:dyDescent="0.3">
      <c r="A53" s="625"/>
      <c r="B53" s="627" t="s">
        <v>189</v>
      </c>
      <c r="C53" s="628"/>
      <c r="D53" s="400"/>
      <c r="E53" s="400"/>
      <c r="F53" s="400"/>
      <c r="G53" s="400"/>
      <c r="H53" s="400"/>
      <c r="I53" s="400"/>
      <c r="J53" s="400"/>
      <c r="K53" s="400"/>
      <c r="L53" s="400"/>
      <c r="M53" s="400"/>
      <c r="N53" s="400"/>
      <c r="O53" s="400"/>
      <c r="P53" s="400"/>
      <c r="Q53" s="400"/>
      <c r="R53" s="400"/>
      <c r="S53" s="400"/>
      <c r="T53" s="400"/>
      <c r="U53" s="400"/>
      <c r="V53" s="400"/>
      <c r="W53" s="400"/>
    </row>
    <row r="54" spans="1:27" x14ac:dyDescent="0.3">
      <c r="A54" s="625"/>
      <c r="B54" s="629" t="s">
        <v>100</v>
      </c>
      <c r="C54" s="630"/>
      <c r="D54" s="401" t="str">
        <f t="shared" ref="D54:W54" si="30">IFERROR(D6/D4,"")</f>
        <v/>
      </c>
      <c r="E54" s="401" t="str">
        <f t="shared" si="30"/>
        <v/>
      </c>
      <c r="F54" s="401" t="str">
        <f t="shared" si="30"/>
        <v/>
      </c>
      <c r="G54" s="401" t="str">
        <f t="shared" si="30"/>
        <v/>
      </c>
      <c r="H54" s="401" t="str">
        <f t="shared" si="30"/>
        <v/>
      </c>
      <c r="I54" s="401" t="str">
        <f t="shared" si="30"/>
        <v/>
      </c>
      <c r="J54" s="401" t="str">
        <f t="shared" si="30"/>
        <v/>
      </c>
      <c r="K54" s="401" t="str">
        <f t="shared" si="30"/>
        <v/>
      </c>
      <c r="L54" s="401" t="str">
        <f t="shared" si="30"/>
        <v/>
      </c>
      <c r="M54" s="401" t="str">
        <f t="shared" si="30"/>
        <v/>
      </c>
      <c r="N54" s="401" t="str">
        <f t="shared" si="30"/>
        <v/>
      </c>
      <c r="O54" s="401" t="str">
        <f t="shared" si="30"/>
        <v/>
      </c>
      <c r="P54" s="401" t="str">
        <f t="shared" si="30"/>
        <v/>
      </c>
      <c r="Q54" s="401" t="str">
        <f t="shared" si="30"/>
        <v/>
      </c>
      <c r="R54" s="401" t="str">
        <f t="shared" si="30"/>
        <v/>
      </c>
      <c r="S54" s="401" t="str">
        <f t="shared" si="30"/>
        <v/>
      </c>
      <c r="T54" s="401" t="str">
        <f t="shared" si="30"/>
        <v/>
      </c>
      <c r="U54" s="401" t="str">
        <f t="shared" si="30"/>
        <v/>
      </c>
      <c r="V54" s="401" t="str">
        <f t="shared" si="30"/>
        <v/>
      </c>
      <c r="W54" s="401" t="str">
        <f t="shared" si="30"/>
        <v/>
      </c>
      <c r="Z54" s="402"/>
      <c r="AA54" s="402"/>
    </row>
    <row r="55" spans="1:27" x14ac:dyDescent="0.3">
      <c r="A55" s="625"/>
      <c r="B55" s="631" t="s">
        <v>190</v>
      </c>
      <c r="C55" s="632"/>
      <c r="D55" s="403" t="str">
        <f>IFERROR(D7/#REF!,"")</f>
        <v/>
      </c>
      <c r="E55" s="403" t="str">
        <f t="shared" ref="E55:W58" si="31">IFERROR(E7/D6,"")</f>
        <v/>
      </c>
      <c r="F55" s="403" t="str">
        <f t="shared" si="31"/>
        <v/>
      </c>
      <c r="G55" s="403" t="str">
        <f t="shared" si="31"/>
        <v/>
      </c>
      <c r="H55" s="403" t="str">
        <f t="shared" si="31"/>
        <v/>
      </c>
      <c r="I55" s="403" t="str">
        <f t="shared" si="31"/>
        <v/>
      </c>
      <c r="J55" s="403" t="str">
        <f t="shared" si="31"/>
        <v/>
      </c>
      <c r="K55" s="403" t="str">
        <f t="shared" si="31"/>
        <v/>
      </c>
      <c r="L55" s="403" t="str">
        <f t="shared" si="31"/>
        <v/>
      </c>
      <c r="M55" s="403" t="str">
        <f t="shared" si="31"/>
        <v/>
      </c>
      <c r="N55" s="403" t="str">
        <f t="shared" si="31"/>
        <v/>
      </c>
      <c r="O55" s="403" t="str">
        <f t="shared" si="31"/>
        <v/>
      </c>
      <c r="P55" s="403" t="str">
        <f t="shared" si="31"/>
        <v/>
      </c>
      <c r="Q55" s="403" t="str">
        <f t="shared" si="31"/>
        <v/>
      </c>
      <c r="R55" s="403" t="str">
        <f t="shared" si="31"/>
        <v/>
      </c>
      <c r="S55" s="403" t="str">
        <f t="shared" si="31"/>
        <v/>
      </c>
      <c r="T55" s="403" t="str">
        <f t="shared" si="31"/>
        <v/>
      </c>
      <c r="U55" s="403" t="str">
        <f t="shared" si="31"/>
        <v/>
      </c>
      <c r="V55" s="403" t="str">
        <f t="shared" si="31"/>
        <v/>
      </c>
      <c r="W55" s="403" t="str">
        <f t="shared" si="31"/>
        <v/>
      </c>
      <c r="Z55" s="402"/>
      <c r="AA55" s="402"/>
    </row>
    <row r="56" spans="1:27" x14ac:dyDescent="0.3">
      <c r="A56" s="625"/>
      <c r="B56" s="631" t="s">
        <v>191</v>
      </c>
      <c r="C56" s="632"/>
      <c r="D56" s="403" t="str">
        <f>IFERROR(D8/#REF!,"")</f>
        <v/>
      </c>
      <c r="E56" s="403" t="str">
        <f t="shared" si="31"/>
        <v/>
      </c>
      <c r="F56" s="403" t="str">
        <f t="shared" si="31"/>
        <v/>
      </c>
      <c r="G56" s="403" t="str">
        <f t="shared" si="31"/>
        <v/>
      </c>
      <c r="H56" s="403" t="str">
        <f t="shared" si="31"/>
        <v/>
      </c>
      <c r="I56" s="403" t="str">
        <f t="shared" si="31"/>
        <v/>
      </c>
      <c r="J56" s="403" t="str">
        <f t="shared" si="31"/>
        <v/>
      </c>
      <c r="K56" s="403" t="str">
        <f t="shared" si="31"/>
        <v/>
      </c>
      <c r="L56" s="403" t="str">
        <f t="shared" si="31"/>
        <v/>
      </c>
      <c r="M56" s="403" t="str">
        <f t="shared" si="31"/>
        <v/>
      </c>
      <c r="N56" s="403" t="str">
        <f t="shared" si="31"/>
        <v/>
      </c>
      <c r="O56" s="403" t="str">
        <f t="shared" si="31"/>
        <v/>
      </c>
      <c r="P56" s="403" t="str">
        <f t="shared" si="31"/>
        <v/>
      </c>
      <c r="Q56" s="403" t="str">
        <f t="shared" si="31"/>
        <v/>
      </c>
      <c r="R56" s="403" t="str">
        <f t="shared" si="31"/>
        <v/>
      </c>
      <c r="S56" s="403" t="str">
        <f t="shared" si="31"/>
        <v/>
      </c>
      <c r="T56" s="403" t="str">
        <f t="shared" si="31"/>
        <v/>
      </c>
      <c r="U56" s="403" t="str">
        <f t="shared" si="31"/>
        <v/>
      </c>
      <c r="V56" s="403" t="str">
        <f t="shared" si="31"/>
        <v/>
      </c>
      <c r="W56" s="403" t="str">
        <f t="shared" si="31"/>
        <v/>
      </c>
      <c r="Z56" s="402"/>
      <c r="AA56" s="402"/>
    </row>
    <row r="57" spans="1:27" x14ac:dyDescent="0.3">
      <c r="A57" s="625"/>
      <c r="B57" s="631" t="s">
        <v>192</v>
      </c>
      <c r="C57" s="632"/>
      <c r="D57" s="403" t="str">
        <f>IFERROR(D9/#REF!,"")</f>
        <v/>
      </c>
      <c r="E57" s="403" t="str">
        <f t="shared" si="31"/>
        <v/>
      </c>
      <c r="F57" s="403" t="str">
        <f t="shared" si="31"/>
        <v/>
      </c>
      <c r="G57" s="403" t="str">
        <f t="shared" si="31"/>
        <v/>
      </c>
      <c r="H57" s="403" t="str">
        <f t="shared" si="31"/>
        <v/>
      </c>
      <c r="I57" s="403" t="str">
        <f t="shared" si="31"/>
        <v/>
      </c>
      <c r="J57" s="403" t="str">
        <f t="shared" si="31"/>
        <v/>
      </c>
      <c r="K57" s="403" t="str">
        <f t="shared" si="31"/>
        <v/>
      </c>
      <c r="L57" s="403" t="str">
        <f t="shared" si="31"/>
        <v/>
      </c>
      <c r="M57" s="403" t="str">
        <f t="shared" si="31"/>
        <v/>
      </c>
      <c r="N57" s="403" t="str">
        <f t="shared" si="31"/>
        <v/>
      </c>
      <c r="O57" s="403" t="str">
        <f t="shared" si="31"/>
        <v/>
      </c>
      <c r="P57" s="403" t="str">
        <f t="shared" si="31"/>
        <v/>
      </c>
      <c r="Q57" s="403" t="str">
        <f t="shared" si="31"/>
        <v/>
      </c>
      <c r="R57" s="403" t="str">
        <f t="shared" si="31"/>
        <v/>
      </c>
      <c r="S57" s="403" t="str">
        <f t="shared" si="31"/>
        <v/>
      </c>
      <c r="T57" s="403" t="str">
        <f t="shared" si="31"/>
        <v/>
      </c>
      <c r="U57" s="403" t="str">
        <f t="shared" si="31"/>
        <v/>
      </c>
      <c r="V57" s="403" t="str">
        <f t="shared" si="31"/>
        <v/>
      </c>
      <c r="W57" s="403" t="str">
        <f t="shared" si="31"/>
        <v/>
      </c>
      <c r="Z57" s="402"/>
      <c r="AA57" s="402"/>
    </row>
    <row r="58" spans="1:27" x14ac:dyDescent="0.3">
      <c r="A58" s="625"/>
      <c r="B58" s="404" t="s">
        <v>193</v>
      </c>
      <c r="C58" s="397"/>
      <c r="D58" s="403" t="str">
        <f>IFERROR(D10/#REF!,"")</f>
        <v/>
      </c>
      <c r="E58" s="403" t="str">
        <f t="shared" si="31"/>
        <v/>
      </c>
      <c r="F58" s="403" t="str">
        <f t="shared" si="31"/>
        <v/>
      </c>
      <c r="G58" s="403" t="str">
        <f t="shared" si="31"/>
        <v/>
      </c>
      <c r="H58" s="403" t="str">
        <f t="shared" si="31"/>
        <v/>
      </c>
      <c r="I58" s="403" t="str">
        <f t="shared" si="31"/>
        <v/>
      </c>
      <c r="J58" s="403" t="str">
        <f t="shared" si="31"/>
        <v/>
      </c>
      <c r="K58" s="403" t="str">
        <f t="shared" si="31"/>
        <v/>
      </c>
      <c r="L58" s="403" t="str">
        <f t="shared" si="31"/>
        <v/>
      </c>
      <c r="M58" s="403" t="str">
        <f t="shared" si="31"/>
        <v/>
      </c>
      <c r="N58" s="403" t="str">
        <f t="shared" si="31"/>
        <v/>
      </c>
      <c r="O58" s="403" t="str">
        <f t="shared" si="31"/>
        <v/>
      </c>
      <c r="P58" s="403" t="str">
        <f t="shared" si="31"/>
        <v/>
      </c>
      <c r="Q58" s="403" t="str">
        <f t="shared" si="31"/>
        <v/>
      </c>
      <c r="R58" s="403" t="str">
        <f t="shared" si="31"/>
        <v/>
      </c>
      <c r="S58" s="403" t="str">
        <f t="shared" si="31"/>
        <v/>
      </c>
      <c r="T58" s="403" t="str">
        <f t="shared" si="31"/>
        <v/>
      </c>
      <c r="U58" s="403" t="str">
        <f t="shared" si="31"/>
        <v/>
      </c>
      <c r="V58" s="403" t="str">
        <f t="shared" si="31"/>
        <v/>
      </c>
      <c r="W58" s="403" t="str">
        <f t="shared" si="31"/>
        <v/>
      </c>
      <c r="Z58" s="402"/>
      <c r="AA58" s="402"/>
    </row>
    <row r="59" spans="1:27" s="409" customFormat="1" x14ac:dyDescent="0.3">
      <c r="A59" s="625"/>
      <c r="B59" s="405" t="s">
        <v>194</v>
      </c>
      <c r="C59" s="406"/>
      <c r="D59" s="407"/>
      <c r="E59" s="407"/>
      <c r="F59" s="407"/>
      <c r="G59" s="407"/>
      <c r="H59" s="407"/>
      <c r="I59" s="407"/>
      <c r="J59" s="407"/>
      <c r="K59" s="407"/>
      <c r="L59" s="407"/>
      <c r="M59" s="407"/>
      <c r="N59" s="407"/>
      <c r="O59" s="407"/>
      <c r="P59" s="407"/>
      <c r="Q59" s="407"/>
      <c r="R59" s="407"/>
      <c r="S59" s="407"/>
      <c r="T59" s="407"/>
      <c r="U59" s="407"/>
      <c r="V59" s="407"/>
      <c r="W59" s="407"/>
      <c r="X59"/>
      <c r="Y59"/>
      <c r="Z59" s="408"/>
      <c r="AA59" s="408"/>
    </row>
    <row r="60" spans="1:27" s="409" customFormat="1" x14ac:dyDescent="0.3">
      <c r="A60" s="625"/>
      <c r="B60" s="631" t="s">
        <v>100</v>
      </c>
      <c r="C60" s="632"/>
      <c r="D60" s="410"/>
      <c r="E60" s="410"/>
      <c r="F60" s="410"/>
      <c r="G60" s="410"/>
      <c r="H60" s="401"/>
      <c r="I60" s="410"/>
      <c r="J60" s="410"/>
      <c r="K60" s="410"/>
      <c r="L60" s="410"/>
      <c r="M60" s="410"/>
      <c r="N60" s="410"/>
      <c r="O60" s="410"/>
      <c r="P60" s="401"/>
      <c r="Q60" s="410"/>
      <c r="R60" s="410"/>
      <c r="S60" s="410"/>
      <c r="T60" s="410"/>
      <c r="U60" s="410"/>
      <c r="V60" s="410"/>
      <c r="W60" s="410"/>
      <c r="X60"/>
      <c r="Y60"/>
      <c r="Z60" s="408"/>
      <c r="AA60" s="408"/>
    </row>
    <row r="61" spans="1:27" x14ac:dyDescent="0.3">
      <c r="A61" s="625"/>
      <c r="B61" s="629" t="s">
        <v>195</v>
      </c>
      <c r="C61" s="630"/>
      <c r="D61" s="403" t="str">
        <f t="shared" ref="D61:W61" si="32">IFERROR(D7:D10/D3,"")</f>
        <v/>
      </c>
      <c r="E61" s="403" t="str">
        <f t="shared" si="32"/>
        <v/>
      </c>
      <c r="F61" s="403" t="str">
        <f t="shared" si="32"/>
        <v/>
      </c>
      <c r="G61" s="403" t="str">
        <f t="shared" si="32"/>
        <v/>
      </c>
      <c r="H61" s="411" t="str">
        <f t="shared" si="32"/>
        <v/>
      </c>
      <c r="I61" s="403" t="str">
        <f t="shared" si="32"/>
        <v/>
      </c>
      <c r="J61" s="403" t="str">
        <f t="shared" si="32"/>
        <v/>
      </c>
      <c r="K61" s="403" t="str">
        <f t="shared" si="32"/>
        <v/>
      </c>
      <c r="L61" s="403" t="str">
        <f t="shared" si="32"/>
        <v/>
      </c>
      <c r="M61" s="403" t="str">
        <f t="shared" si="32"/>
        <v/>
      </c>
      <c r="N61" s="403" t="str">
        <f t="shared" si="32"/>
        <v/>
      </c>
      <c r="O61" s="403" t="str">
        <f t="shared" si="32"/>
        <v/>
      </c>
      <c r="P61" s="411" t="str">
        <f t="shared" si="32"/>
        <v/>
      </c>
      <c r="Q61" s="403" t="str">
        <f t="shared" si="32"/>
        <v/>
      </c>
      <c r="R61" s="403" t="str">
        <f t="shared" si="32"/>
        <v/>
      </c>
      <c r="S61" s="403" t="str">
        <f t="shared" si="32"/>
        <v/>
      </c>
      <c r="T61" s="403" t="str">
        <f t="shared" si="32"/>
        <v/>
      </c>
      <c r="U61" s="403" t="str">
        <f t="shared" si="32"/>
        <v/>
      </c>
      <c r="V61" s="403" t="str">
        <f t="shared" si="32"/>
        <v/>
      </c>
      <c r="W61" s="403" t="str">
        <f t="shared" si="32"/>
        <v/>
      </c>
      <c r="Z61" s="402"/>
      <c r="AA61" s="402"/>
    </row>
    <row r="62" spans="1:27" x14ac:dyDescent="0.3">
      <c r="A62" s="625"/>
      <c r="B62" s="631" t="s">
        <v>196</v>
      </c>
      <c r="C62" s="632"/>
      <c r="D62" s="403" t="str">
        <f t="shared" ref="D62:W62" si="33">IFERROR(D8:D10/D3,"")</f>
        <v/>
      </c>
      <c r="E62" s="403" t="str">
        <f t="shared" si="33"/>
        <v/>
      </c>
      <c r="F62" s="403" t="str">
        <f t="shared" si="33"/>
        <v/>
      </c>
      <c r="G62" s="403" t="str">
        <f t="shared" si="33"/>
        <v/>
      </c>
      <c r="H62" s="411" t="str">
        <f t="shared" si="33"/>
        <v/>
      </c>
      <c r="I62" s="403" t="str">
        <f t="shared" si="33"/>
        <v/>
      </c>
      <c r="J62" s="403" t="str">
        <f t="shared" si="33"/>
        <v/>
      </c>
      <c r="K62" s="403" t="str">
        <f t="shared" si="33"/>
        <v/>
      </c>
      <c r="L62" s="403" t="str">
        <f t="shared" si="33"/>
        <v/>
      </c>
      <c r="M62" s="403" t="str">
        <f t="shared" si="33"/>
        <v/>
      </c>
      <c r="N62" s="403" t="str">
        <f t="shared" si="33"/>
        <v/>
      </c>
      <c r="O62" s="403" t="str">
        <f t="shared" si="33"/>
        <v/>
      </c>
      <c r="P62" s="411" t="str">
        <f t="shared" si="33"/>
        <v/>
      </c>
      <c r="Q62" s="403" t="str">
        <f t="shared" si="33"/>
        <v/>
      </c>
      <c r="R62" s="403" t="str">
        <f t="shared" si="33"/>
        <v/>
      </c>
      <c r="S62" s="403" t="str">
        <f t="shared" si="33"/>
        <v/>
      </c>
      <c r="T62" s="403" t="str">
        <f t="shared" si="33"/>
        <v/>
      </c>
      <c r="U62" s="403" t="str">
        <f t="shared" si="33"/>
        <v/>
      </c>
      <c r="V62" s="403" t="str">
        <f t="shared" si="33"/>
        <v/>
      </c>
      <c r="W62" s="403" t="str">
        <f t="shared" si="33"/>
        <v/>
      </c>
      <c r="Z62" s="402"/>
      <c r="AA62" s="402"/>
    </row>
    <row r="63" spans="1:27" x14ac:dyDescent="0.3">
      <c r="A63" s="625"/>
      <c r="B63" s="631" t="s">
        <v>197</v>
      </c>
      <c r="C63" s="632"/>
      <c r="D63" s="403" t="str">
        <f t="shared" ref="D63:W63" si="34">IFERROR(D9:D10/D3,"")</f>
        <v/>
      </c>
      <c r="E63" s="403" t="str">
        <f t="shared" si="34"/>
        <v/>
      </c>
      <c r="F63" s="403" t="str">
        <f t="shared" si="34"/>
        <v/>
      </c>
      <c r="G63" s="403" t="str">
        <f t="shared" si="34"/>
        <v/>
      </c>
      <c r="H63" s="411" t="str">
        <f t="shared" si="34"/>
        <v/>
      </c>
      <c r="I63" s="403" t="str">
        <f t="shared" si="34"/>
        <v/>
      </c>
      <c r="J63" s="403" t="str">
        <f t="shared" si="34"/>
        <v/>
      </c>
      <c r="K63" s="403" t="str">
        <f t="shared" si="34"/>
        <v/>
      </c>
      <c r="L63" s="403" t="str">
        <f t="shared" si="34"/>
        <v/>
      </c>
      <c r="M63" s="403" t="str">
        <f t="shared" si="34"/>
        <v/>
      </c>
      <c r="N63" s="403" t="str">
        <f t="shared" si="34"/>
        <v/>
      </c>
      <c r="O63" s="403" t="str">
        <f t="shared" si="34"/>
        <v/>
      </c>
      <c r="P63" s="411" t="str">
        <f t="shared" si="34"/>
        <v/>
      </c>
      <c r="Q63" s="403" t="str">
        <f t="shared" si="34"/>
        <v/>
      </c>
      <c r="R63" s="403" t="str">
        <f t="shared" si="34"/>
        <v/>
      </c>
      <c r="S63" s="403" t="str">
        <f t="shared" si="34"/>
        <v/>
      </c>
      <c r="T63" s="403" t="str">
        <f t="shared" si="34"/>
        <v/>
      </c>
      <c r="U63" s="403" t="str">
        <f t="shared" si="34"/>
        <v/>
      </c>
      <c r="V63" s="403" t="str">
        <f t="shared" si="34"/>
        <v/>
      </c>
      <c r="W63" s="403" t="str">
        <f t="shared" si="34"/>
        <v/>
      </c>
      <c r="Z63" s="402"/>
      <c r="AA63" s="402"/>
    </row>
    <row r="64" spans="1:27" ht="14.5" thickBot="1" x14ac:dyDescent="0.35">
      <c r="A64" s="626"/>
      <c r="B64" s="633" t="s">
        <v>198</v>
      </c>
      <c r="C64" s="634"/>
      <c r="D64" s="412" t="str">
        <f t="shared" ref="D64:W64" si="35">IFERROR(D10/D3,"")</f>
        <v/>
      </c>
      <c r="E64" s="412" t="str">
        <f t="shared" si="35"/>
        <v/>
      </c>
      <c r="F64" s="412" t="str">
        <f t="shared" si="35"/>
        <v/>
      </c>
      <c r="G64" s="412" t="str">
        <f t="shared" si="35"/>
        <v/>
      </c>
      <c r="H64" s="413" t="str">
        <f t="shared" si="35"/>
        <v/>
      </c>
      <c r="I64" s="412" t="str">
        <f t="shared" si="35"/>
        <v/>
      </c>
      <c r="J64" s="412" t="str">
        <f t="shared" si="35"/>
        <v/>
      </c>
      <c r="K64" s="412" t="str">
        <f t="shared" si="35"/>
        <v/>
      </c>
      <c r="L64" s="412" t="str">
        <f t="shared" si="35"/>
        <v/>
      </c>
      <c r="M64" s="412" t="str">
        <f t="shared" si="35"/>
        <v/>
      </c>
      <c r="N64" s="412" t="str">
        <f t="shared" si="35"/>
        <v/>
      </c>
      <c r="O64" s="412" t="str">
        <f t="shared" si="35"/>
        <v/>
      </c>
      <c r="P64" s="413" t="str">
        <f t="shared" si="35"/>
        <v/>
      </c>
      <c r="Q64" s="412" t="str">
        <f t="shared" si="35"/>
        <v/>
      </c>
      <c r="R64" s="412" t="str">
        <f t="shared" si="35"/>
        <v/>
      </c>
      <c r="S64" s="412" t="str">
        <f t="shared" si="35"/>
        <v/>
      </c>
      <c r="T64" s="412" t="str">
        <f t="shared" si="35"/>
        <v/>
      </c>
      <c r="U64" s="412" t="str">
        <f t="shared" si="35"/>
        <v/>
      </c>
      <c r="V64" s="412" t="str">
        <f t="shared" si="35"/>
        <v/>
      </c>
      <c r="W64" s="412" t="str">
        <f t="shared" si="35"/>
        <v/>
      </c>
      <c r="Z64" s="402"/>
      <c r="AA64" s="402"/>
    </row>
    <row r="65" spans="1:28" ht="12.75" customHeight="1" x14ac:dyDescent="0.3">
      <c r="A65" s="625" t="s">
        <v>199</v>
      </c>
      <c r="B65" s="393" t="s">
        <v>145</v>
      </c>
      <c r="C65" s="397"/>
      <c r="D65" s="414">
        <f>D16</f>
        <v>9997700</v>
      </c>
      <c r="E65" s="414">
        <f t="shared" ref="E65:W65" si="36">D65+E16</f>
        <v>125892697.09999999</v>
      </c>
      <c r="F65" s="414">
        <f t="shared" si="36"/>
        <v>125973797.09999999</v>
      </c>
      <c r="G65" s="414">
        <f t="shared" si="36"/>
        <v>166165437.09999999</v>
      </c>
      <c r="H65" s="414">
        <f t="shared" si="36"/>
        <v>235684397.09999999</v>
      </c>
      <c r="I65" s="414">
        <f t="shared" si="36"/>
        <v>423688305.10000002</v>
      </c>
      <c r="J65" s="414">
        <f t="shared" si="36"/>
        <v>552618419.10000002</v>
      </c>
      <c r="K65" s="414">
        <f t="shared" si="36"/>
        <v>1363559600.0999999</v>
      </c>
      <c r="L65" s="414">
        <f t="shared" si="36"/>
        <v>1704803895.0999999</v>
      </c>
      <c r="M65" s="414">
        <f t="shared" si="36"/>
        <v>2620205126.0999999</v>
      </c>
      <c r="N65" s="414">
        <f t="shared" si="36"/>
        <v>5537207931</v>
      </c>
      <c r="O65" s="414">
        <f t="shared" si="36"/>
        <v>5812056760</v>
      </c>
      <c r="P65" s="414">
        <f t="shared" si="36"/>
        <v>6039204548</v>
      </c>
      <c r="Q65" s="414">
        <f t="shared" si="36"/>
        <v>6655671829</v>
      </c>
      <c r="R65" s="414">
        <f t="shared" si="36"/>
        <v>6826905328</v>
      </c>
      <c r="S65" s="414">
        <f t="shared" si="36"/>
        <v>7179959922</v>
      </c>
      <c r="T65" s="414">
        <f t="shared" si="36"/>
        <v>7776010460</v>
      </c>
      <c r="U65" s="414">
        <f t="shared" si="36"/>
        <v>8271423828</v>
      </c>
      <c r="V65" s="414">
        <f t="shared" si="36"/>
        <v>9373677033</v>
      </c>
      <c r="W65" s="414">
        <f t="shared" si="36"/>
        <v>11018813939</v>
      </c>
      <c r="Z65" s="402"/>
      <c r="AA65" s="402"/>
    </row>
    <row r="66" spans="1:28" x14ac:dyDescent="0.3">
      <c r="A66" s="625"/>
      <c r="B66" s="393" t="s">
        <v>177</v>
      </c>
      <c r="C66" s="397"/>
      <c r="D66" s="395">
        <f>SUM(D21:D26)</f>
        <v>0</v>
      </c>
      <c r="E66" s="395">
        <f t="shared" ref="E66:W66" si="37">SUM(E21:E26)</f>
        <v>0</v>
      </c>
      <c r="F66" s="395">
        <f t="shared" si="37"/>
        <v>0</v>
      </c>
      <c r="G66" s="395">
        <f t="shared" si="37"/>
        <v>0</v>
      </c>
      <c r="H66" s="395">
        <f t="shared" si="37"/>
        <v>0</v>
      </c>
      <c r="I66" s="395">
        <f t="shared" si="37"/>
        <v>0</v>
      </c>
      <c r="J66" s="395">
        <f t="shared" si="37"/>
        <v>133251.95000000001</v>
      </c>
      <c r="K66" s="395">
        <f t="shared" si="37"/>
        <v>487405.12</v>
      </c>
      <c r="L66" s="395">
        <f t="shared" si="37"/>
        <v>423329.62</v>
      </c>
      <c r="M66" s="395">
        <f t="shared" si="37"/>
        <v>375429.62</v>
      </c>
      <c r="N66" s="395">
        <f t="shared" si="37"/>
        <v>356784.36</v>
      </c>
      <c r="O66" s="395">
        <f t="shared" si="37"/>
        <v>271339.3</v>
      </c>
      <c r="P66" s="395">
        <f t="shared" si="37"/>
        <v>227968.63</v>
      </c>
      <c r="Q66" s="395">
        <f t="shared" si="37"/>
        <v>270959.45999999996</v>
      </c>
      <c r="R66" s="395">
        <f t="shared" si="37"/>
        <v>335711.01</v>
      </c>
      <c r="S66" s="395">
        <f t="shared" si="37"/>
        <v>495764.01</v>
      </c>
      <c r="T66" s="395">
        <f t="shared" si="37"/>
        <v>428847.16000000003</v>
      </c>
      <c r="U66" s="395">
        <f t="shared" si="37"/>
        <v>1022090.1599999999</v>
      </c>
      <c r="V66" s="395">
        <f t="shared" si="37"/>
        <v>965793.15999999992</v>
      </c>
      <c r="W66" s="395">
        <f t="shared" si="37"/>
        <v>883046.16</v>
      </c>
    </row>
    <row r="67" spans="1:28" x14ac:dyDescent="0.3">
      <c r="A67" s="625"/>
      <c r="B67" s="396" t="s">
        <v>178</v>
      </c>
      <c r="C67" s="397"/>
      <c r="D67" s="395">
        <f>SUM(D20:D22)</f>
        <v>0</v>
      </c>
      <c r="E67" s="395">
        <f t="shared" ref="E67:W67" si="38">SUM(E20:E22)</f>
        <v>0</v>
      </c>
      <c r="F67" s="395">
        <f t="shared" si="38"/>
        <v>0</v>
      </c>
      <c r="G67" s="395">
        <f t="shared" si="38"/>
        <v>0</v>
      </c>
      <c r="H67" s="395">
        <f t="shared" si="38"/>
        <v>122800</v>
      </c>
      <c r="I67" s="395">
        <f t="shared" si="38"/>
        <v>191781.9</v>
      </c>
      <c r="J67" s="395">
        <f t="shared" si="38"/>
        <v>715032.22</v>
      </c>
      <c r="K67" s="395">
        <f t="shared" si="38"/>
        <v>579005.12</v>
      </c>
      <c r="L67" s="395">
        <f t="shared" si="38"/>
        <v>358891.77</v>
      </c>
      <c r="M67" s="395">
        <f t="shared" si="38"/>
        <v>128511.5</v>
      </c>
      <c r="N67" s="395">
        <f t="shared" si="38"/>
        <v>120635.4</v>
      </c>
      <c r="O67" s="395">
        <f t="shared" si="38"/>
        <v>20500</v>
      </c>
      <c r="P67" s="395">
        <f t="shared" si="38"/>
        <v>67400</v>
      </c>
      <c r="Q67" s="395">
        <f t="shared" si="38"/>
        <v>153127.72</v>
      </c>
      <c r="R67" s="395">
        <f t="shared" si="38"/>
        <v>363610.72</v>
      </c>
      <c r="S67" s="395">
        <f t="shared" si="38"/>
        <v>278313.71999999997</v>
      </c>
      <c r="T67" s="395">
        <f t="shared" si="38"/>
        <v>1113380</v>
      </c>
      <c r="U67" s="395">
        <f t="shared" si="38"/>
        <v>721460</v>
      </c>
      <c r="V67" s="395">
        <f t="shared" si="38"/>
        <v>657060</v>
      </c>
      <c r="W67" s="395">
        <f t="shared" si="38"/>
        <v>810589.8</v>
      </c>
    </row>
    <row r="68" spans="1:28" s="419" customFormat="1" x14ac:dyDescent="0.3">
      <c r="A68" s="625"/>
      <c r="B68" s="415" t="s">
        <v>179</v>
      </c>
      <c r="C68" s="416"/>
      <c r="D68" s="417">
        <f t="shared" ref="D68" si="39">SUM(D20:D26)</f>
        <v>0</v>
      </c>
      <c r="E68" s="417">
        <f t="shared" ref="E68:W68" si="40">SUM(E20:E26)</f>
        <v>0</v>
      </c>
      <c r="F68" s="417">
        <f t="shared" si="40"/>
        <v>0</v>
      </c>
      <c r="G68" s="417">
        <f t="shared" si="40"/>
        <v>0</v>
      </c>
      <c r="H68" s="417">
        <f t="shared" si="40"/>
        <v>122800</v>
      </c>
      <c r="I68" s="417">
        <f t="shared" si="40"/>
        <v>191781.9</v>
      </c>
      <c r="J68" s="417">
        <f t="shared" si="40"/>
        <v>715032.22</v>
      </c>
      <c r="K68" s="417">
        <f t="shared" si="40"/>
        <v>579005.12</v>
      </c>
      <c r="L68" s="417">
        <f t="shared" si="40"/>
        <v>472029.62</v>
      </c>
      <c r="M68" s="417">
        <f t="shared" si="40"/>
        <v>411729.62</v>
      </c>
      <c r="N68" s="417">
        <f t="shared" si="40"/>
        <v>392419.76</v>
      </c>
      <c r="O68" s="417">
        <f t="shared" si="40"/>
        <v>271339.3</v>
      </c>
      <c r="P68" s="417">
        <f t="shared" si="40"/>
        <v>295368.63</v>
      </c>
      <c r="Q68" s="417">
        <f t="shared" si="40"/>
        <v>366687.18</v>
      </c>
      <c r="R68" s="417">
        <f t="shared" si="40"/>
        <v>558611.01</v>
      </c>
      <c r="S68" s="417">
        <f t="shared" si="40"/>
        <v>511564.01</v>
      </c>
      <c r="T68" s="417">
        <f t="shared" si="40"/>
        <v>1374907.16</v>
      </c>
      <c r="U68" s="417">
        <f t="shared" si="40"/>
        <v>1038890.1599999999</v>
      </c>
      <c r="V68" s="417">
        <f t="shared" si="40"/>
        <v>965793.15999999992</v>
      </c>
      <c r="W68" s="417">
        <f t="shared" si="40"/>
        <v>1676835.96</v>
      </c>
      <c r="X68"/>
      <c r="Y68"/>
      <c r="Z68" s="331"/>
      <c r="AA68" s="418"/>
    </row>
    <row r="69" spans="1:28" x14ac:dyDescent="0.3">
      <c r="A69" s="625"/>
      <c r="B69" s="396" t="s">
        <v>142</v>
      </c>
      <c r="C69" s="397"/>
      <c r="D69" s="398">
        <f>SUM(D22:D26)/D18</f>
        <v>0</v>
      </c>
      <c r="E69" s="398">
        <f t="shared" ref="E69:W69" si="41">SUM(E22:E26)/E18</f>
        <v>0</v>
      </c>
      <c r="F69" s="398">
        <f t="shared" si="41"/>
        <v>0</v>
      </c>
      <c r="G69" s="398">
        <f t="shared" si="41"/>
        <v>0</v>
      </c>
      <c r="H69" s="398">
        <f t="shared" si="41"/>
        <v>0</v>
      </c>
      <c r="I69" s="398">
        <f t="shared" si="41"/>
        <v>0</v>
      </c>
      <c r="J69" s="398">
        <f t="shared" si="41"/>
        <v>0</v>
      </c>
      <c r="K69" s="398">
        <f t="shared" si="41"/>
        <v>3.24499829928834E-4</v>
      </c>
      <c r="L69" s="398">
        <f t="shared" si="41"/>
        <v>8.1861422615871248E-4</v>
      </c>
      <c r="M69" s="398">
        <f t="shared" si="41"/>
        <v>4.0734621854434413E-4</v>
      </c>
      <c r="N69" s="398">
        <f t="shared" si="41"/>
        <v>1.7135541440103005E-4</v>
      </c>
      <c r="O69" s="398">
        <f t="shared" si="41"/>
        <v>1.3306305450301828E-4</v>
      </c>
      <c r="P69" s="398">
        <f t="shared" si="41"/>
        <v>1.2493366012811702E-4</v>
      </c>
      <c r="Q69" s="398">
        <f t="shared" si="41"/>
        <v>1.2309267292290733E-4</v>
      </c>
      <c r="R69" s="398">
        <f t="shared" si="41"/>
        <v>1.453434010778284E-4</v>
      </c>
      <c r="S69" s="398">
        <f t="shared" si="41"/>
        <v>1.7341111179293867E-4</v>
      </c>
      <c r="T69" s="398">
        <f t="shared" si="41"/>
        <v>3.0048707087630986E-4</v>
      </c>
      <c r="U69" s="398">
        <f t="shared" si="41"/>
        <v>3.0830649064008769E-4</v>
      </c>
      <c r="V69" s="398">
        <f t="shared" si="41"/>
        <v>6.7514861187624258E-4</v>
      </c>
      <c r="W69" s="398">
        <f t="shared" si="41"/>
        <v>5.0127330581413649E-4</v>
      </c>
      <c r="Z69" s="420">
        <f>_xlfn.STDEV.S(L69:W69)</f>
        <v>2.3383388568105318E-4</v>
      </c>
    </row>
    <row r="70" spans="1:28" x14ac:dyDescent="0.3">
      <c r="A70" s="625"/>
      <c r="B70" s="396" t="s">
        <v>200</v>
      </c>
      <c r="C70" s="397"/>
      <c r="D70" s="399">
        <f>(SUM(D23:D26)+D32)/D18</f>
        <v>0</v>
      </c>
      <c r="E70" s="399">
        <f t="shared" ref="E70:W70" si="42">(SUM(E23:E26)+E32)/E18</f>
        <v>0</v>
      </c>
      <c r="F70" s="399">
        <f t="shared" si="42"/>
        <v>0</v>
      </c>
      <c r="G70" s="399">
        <f t="shared" si="42"/>
        <v>0</v>
      </c>
      <c r="H70" s="399">
        <f t="shared" si="42"/>
        <v>0</v>
      </c>
      <c r="I70" s="399">
        <f t="shared" si="42"/>
        <v>0</v>
      </c>
      <c r="J70" s="399">
        <f t="shared" si="42"/>
        <v>0</v>
      </c>
      <c r="K70" s="399">
        <f t="shared" si="42"/>
        <v>0</v>
      </c>
      <c r="L70" s="399">
        <f t="shared" si="42"/>
        <v>2.4384369425821625E-4</v>
      </c>
      <c r="M70" s="399">
        <f t="shared" si="42"/>
        <v>3.5309877997972229E-4</v>
      </c>
      <c r="N70" s="399">
        <f t="shared" si="42"/>
        <v>1.4531667515855918E-4</v>
      </c>
      <c r="O70" s="399">
        <f t="shared" si="42"/>
        <v>1.3306305450301828E-4</v>
      </c>
      <c r="P70" s="399">
        <f t="shared" si="42"/>
        <v>1.2493366012811702E-4</v>
      </c>
      <c r="Q70" s="399">
        <f t="shared" si="42"/>
        <v>1.2309267292290733E-4</v>
      </c>
      <c r="R70" s="399">
        <f t="shared" si="42"/>
        <v>1.1483781222365197E-4</v>
      </c>
      <c r="S70" s="399">
        <f t="shared" si="42"/>
        <v>1.4305587628514347E-4</v>
      </c>
      <c r="T70" s="399">
        <f t="shared" si="42"/>
        <v>1.9025800894745295E-4</v>
      </c>
      <c r="U70" s="399">
        <f t="shared" si="42"/>
        <v>2.9368823834229632E-4</v>
      </c>
      <c r="V70" s="399">
        <f t="shared" si="42"/>
        <v>2.1964411673332392E-4</v>
      </c>
      <c r="W70" s="399">
        <f t="shared" si="42"/>
        <v>4.9173655460095251E-4</v>
      </c>
      <c r="Z70" s="420">
        <f t="shared" ref="Z70" si="43">_xlfn.STDEV.S(L70:W70)</f>
        <v>1.1546258592127354E-4</v>
      </c>
    </row>
    <row r="71" spans="1:28" x14ac:dyDescent="0.3">
      <c r="A71" s="625"/>
      <c r="B71" s="396" t="s">
        <v>144</v>
      </c>
      <c r="C71" s="397"/>
      <c r="D71" s="399">
        <f t="shared" ref="D71:W71" si="44">SUM(D23:D26)/D65</f>
        <v>0</v>
      </c>
      <c r="E71" s="399">
        <f t="shared" si="44"/>
        <v>0</v>
      </c>
      <c r="F71" s="399">
        <f t="shared" si="44"/>
        <v>0</v>
      </c>
      <c r="G71" s="399">
        <f t="shared" si="44"/>
        <v>0</v>
      </c>
      <c r="H71" s="399">
        <f t="shared" si="44"/>
        <v>0</v>
      </c>
      <c r="I71" s="399">
        <f t="shared" si="44"/>
        <v>0</v>
      </c>
      <c r="J71" s="399">
        <f t="shared" si="44"/>
        <v>0</v>
      </c>
      <c r="K71" s="399">
        <f t="shared" si="44"/>
        <v>0</v>
      </c>
      <c r="L71" s="399">
        <f t="shared" si="44"/>
        <v>6.6364143304214825E-5</v>
      </c>
      <c r="M71" s="399">
        <f t="shared" si="44"/>
        <v>1.0809005645353852E-4</v>
      </c>
      <c r="N71" s="399">
        <f t="shared" si="44"/>
        <v>4.9083285906317173E-5</v>
      </c>
      <c r="O71" s="399">
        <f t="shared" si="44"/>
        <v>4.3158439491908885E-5</v>
      </c>
      <c r="P71" s="399">
        <f t="shared" si="44"/>
        <v>3.7748121989922706E-5</v>
      </c>
      <c r="Q71" s="399">
        <f t="shared" si="44"/>
        <v>3.2086837435325719E-5</v>
      </c>
      <c r="R71" s="399">
        <f t="shared" si="44"/>
        <v>2.8563497021149844E-5</v>
      </c>
      <c r="S71" s="399">
        <f t="shared" si="44"/>
        <v>3.2486294148425751E-5</v>
      </c>
      <c r="T71" s="399">
        <f t="shared" si="44"/>
        <v>3.3632562783358191E-5</v>
      </c>
      <c r="U71" s="399">
        <f t="shared" si="44"/>
        <v>3.8376725289478182E-5</v>
      </c>
      <c r="V71" s="399">
        <f t="shared" si="44"/>
        <v>3.2936184905145114E-5</v>
      </c>
      <c r="W71" s="399">
        <f t="shared" si="44"/>
        <v>7.8615190781469458E-5</v>
      </c>
      <c r="Z71" s="420"/>
    </row>
    <row r="72" spans="1:28" x14ac:dyDescent="0.3">
      <c r="A72" s="625"/>
      <c r="B72" s="396" t="s">
        <v>146</v>
      </c>
      <c r="C72" s="397"/>
      <c r="D72" s="399">
        <f>SUM(D21:D26)/D18</f>
        <v>0</v>
      </c>
      <c r="E72" s="399">
        <f t="shared" ref="E72:W72" si="45">SUM(E21:E26)/E18</f>
        <v>0</v>
      </c>
      <c r="F72" s="399">
        <f t="shared" si="45"/>
        <v>0</v>
      </c>
      <c r="G72" s="399">
        <f t="shared" si="45"/>
        <v>0</v>
      </c>
      <c r="H72" s="399">
        <f t="shared" si="45"/>
        <v>0</v>
      </c>
      <c r="I72" s="399">
        <f t="shared" si="45"/>
        <v>0</v>
      </c>
      <c r="J72" s="399">
        <f t="shared" si="45"/>
        <v>2.9282542630952903E-3</v>
      </c>
      <c r="K72" s="399">
        <f t="shared" si="45"/>
        <v>1.3620071719915498E-3</v>
      </c>
      <c r="L72" s="399">
        <f t="shared" si="45"/>
        <v>9.1239367223017642E-4</v>
      </c>
      <c r="M72" s="399">
        <f t="shared" si="45"/>
        <v>4.6806235699273322E-4</v>
      </c>
      <c r="N72" s="399">
        <f t="shared" si="45"/>
        <v>1.9076416664952475E-4</v>
      </c>
      <c r="O72" s="399">
        <f t="shared" si="45"/>
        <v>1.4393771655681875E-4</v>
      </c>
      <c r="P72" s="399">
        <f t="shared" si="45"/>
        <v>1.2493366012811702E-4</v>
      </c>
      <c r="Q72" s="399">
        <f t="shared" si="45"/>
        <v>1.5617722663818117E-4</v>
      </c>
      <c r="R72" s="399">
        <f t="shared" si="45"/>
        <v>1.9770390048031493E-4</v>
      </c>
      <c r="S72" s="399">
        <f t="shared" si="45"/>
        <v>3.0405944996332747E-4</v>
      </c>
      <c r="T72" s="399">
        <f t="shared" si="45"/>
        <v>3.1198138963605077E-4</v>
      </c>
      <c r="U72" s="399">
        <f t="shared" si="45"/>
        <v>9.456437867069585E-4</v>
      </c>
      <c r="V72" s="399">
        <f t="shared" si="45"/>
        <v>6.8710074931790856E-4</v>
      </c>
      <c r="W72" s="399">
        <f t="shared" si="45"/>
        <v>5.0127330581413649E-4</v>
      </c>
      <c r="Z72" s="420">
        <f>_xlfn.STDEV.S(L72:W72)</f>
        <v>2.9514178582604352E-4</v>
      </c>
      <c r="AA72" s="420">
        <f>_xlfn.STDEV.S(H72:O72)</f>
        <v>1.0021589188302013E-3</v>
      </c>
    </row>
    <row r="73" spans="1:28" x14ac:dyDescent="0.3">
      <c r="A73" s="625"/>
      <c r="B73" s="396" t="s">
        <v>201</v>
      </c>
      <c r="C73" s="397"/>
      <c r="D73" s="399" t="str">
        <f>IFERROR((D66+D32)/#REF!,"")</f>
        <v/>
      </c>
      <c r="E73" s="399" t="str">
        <f>IFERROR((E66+E32)/#REF!,"")</f>
        <v/>
      </c>
      <c r="F73" s="399" t="str">
        <f>IFERROR((F66+F32)/#REF!,"")</f>
        <v/>
      </c>
      <c r="G73" s="399" t="str">
        <f>IFERROR((G66+G32)/#REF!,"")</f>
        <v/>
      </c>
      <c r="H73" s="399" t="str">
        <f>IFERROR((H66+H32)/#REF!,"")</f>
        <v/>
      </c>
      <c r="I73" s="399" t="str">
        <f>IFERROR((I66+I32)/#REF!,"")</f>
        <v/>
      </c>
      <c r="J73" s="399" t="str">
        <f>IFERROR((J66+J32)/#REF!,"")</f>
        <v/>
      </c>
      <c r="K73" s="399" t="str">
        <f>IFERROR((K66+K32)/#REF!,"")</f>
        <v/>
      </c>
      <c r="L73" s="399" t="str">
        <f>IFERROR((L66+L32)/#REF!,"")</f>
        <v/>
      </c>
      <c r="M73" s="399" t="str">
        <f>IFERROR((M66+M32)/#REF!,"")</f>
        <v/>
      </c>
      <c r="N73" s="399" t="str">
        <f>IFERROR((N66+N32)/#REF!,"")</f>
        <v/>
      </c>
      <c r="O73" s="399" t="str">
        <f>IFERROR((O66+O32)/#REF!,"")</f>
        <v/>
      </c>
      <c r="P73" s="399" t="str">
        <f>IFERROR((P66+P32)/#REF!,"")</f>
        <v/>
      </c>
      <c r="Q73" s="399" t="str">
        <f>IFERROR((Q66+Q32)/#REF!,"")</f>
        <v/>
      </c>
      <c r="R73" s="399" t="str">
        <f>IFERROR((R66+R32)/#REF!,"")</f>
        <v/>
      </c>
      <c r="S73" s="399" t="str">
        <f>IFERROR((S66+S32)/#REF!,"")</f>
        <v/>
      </c>
      <c r="T73" s="399" t="str">
        <f>IFERROR((T66+T32)/#REF!,"")</f>
        <v/>
      </c>
      <c r="U73" s="399" t="str">
        <f>IFERROR((U66+U32)/#REF!,"")</f>
        <v/>
      </c>
      <c r="V73" s="399" t="str">
        <f>IFERROR((V66+V32)/#REF!,"")</f>
        <v/>
      </c>
      <c r="W73" s="399" t="str">
        <f>IFERROR((W66+W32)/#REF!,"")</f>
        <v/>
      </c>
      <c r="Z73" s="420"/>
    </row>
    <row r="74" spans="1:28" x14ac:dyDescent="0.3">
      <c r="A74" s="625"/>
      <c r="B74" s="396" t="s">
        <v>202</v>
      </c>
      <c r="C74" s="397"/>
      <c r="D74" s="398">
        <f>IFERROR(D66/D65,"")</f>
        <v>0</v>
      </c>
      <c r="E74" s="398">
        <f t="shared" ref="E74:W74" si="46">IFERROR(E66/E65,"")</f>
        <v>0</v>
      </c>
      <c r="F74" s="398">
        <f t="shared" si="46"/>
        <v>0</v>
      </c>
      <c r="G74" s="398">
        <f t="shared" si="46"/>
        <v>0</v>
      </c>
      <c r="H74" s="398">
        <f t="shared" si="46"/>
        <v>0</v>
      </c>
      <c r="I74" s="398">
        <f t="shared" si="46"/>
        <v>0</v>
      </c>
      <c r="J74" s="398">
        <f t="shared" si="46"/>
        <v>2.4112831819289609E-4</v>
      </c>
      <c r="K74" s="398">
        <f t="shared" si="46"/>
        <v>3.5745054338970952E-4</v>
      </c>
      <c r="L74" s="398">
        <f t="shared" si="46"/>
        <v>2.4831572781875208E-4</v>
      </c>
      <c r="M74" s="398">
        <f t="shared" si="46"/>
        <v>1.4328253015778267E-4</v>
      </c>
      <c r="N74" s="398">
        <f t="shared" si="46"/>
        <v>6.4433982694156474E-5</v>
      </c>
      <c r="O74" s="398">
        <f t="shared" si="46"/>
        <v>4.6685590179955502E-5</v>
      </c>
      <c r="P74" s="398">
        <f t="shared" si="46"/>
        <v>3.7748121989922706E-5</v>
      </c>
      <c r="Q74" s="398">
        <f t="shared" si="46"/>
        <v>4.0711060725587343E-5</v>
      </c>
      <c r="R74" s="398">
        <f t="shared" si="46"/>
        <v>4.9174698325331752E-5</v>
      </c>
      <c r="S74" s="398">
        <f t="shared" si="46"/>
        <v>6.9048297676556304E-5</v>
      </c>
      <c r="T74" s="398">
        <f t="shared" si="46"/>
        <v>5.5150023550765652E-5</v>
      </c>
      <c r="U74" s="398">
        <f t="shared" si="46"/>
        <v>1.2356882941242506E-4</v>
      </c>
      <c r="V74" s="398">
        <f t="shared" si="46"/>
        <v>1.0303247664709678E-4</v>
      </c>
      <c r="W74" s="398">
        <f t="shared" si="46"/>
        <v>8.0139855785616416E-5</v>
      </c>
      <c r="Z74" s="420"/>
    </row>
    <row r="75" spans="1:28" x14ac:dyDescent="0.3">
      <c r="A75" s="625"/>
      <c r="B75" s="396" t="s">
        <v>203</v>
      </c>
      <c r="C75" s="397"/>
      <c r="D75" s="399">
        <f>IFERROR((D20+D21+D22+D23+D24+D25+D26)/D18,"")</f>
        <v>0</v>
      </c>
      <c r="E75" s="399">
        <f t="shared" ref="E75:W75" si="47">IFERROR((E20+E21+E22+E23+E24+E25+E26)/E18,"")</f>
        <v>0</v>
      </c>
      <c r="F75" s="399">
        <f t="shared" si="47"/>
        <v>0</v>
      </c>
      <c r="G75" s="399">
        <f t="shared" si="47"/>
        <v>0</v>
      </c>
      <c r="H75" s="399">
        <f t="shared" si="47"/>
        <v>3.2297266107646299E-3</v>
      </c>
      <c r="I75" s="399">
        <f t="shared" si="47"/>
        <v>7.1021229726890298E-3</v>
      </c>
      <c r="J75" s="399">
        <f t="shared" si="47"/>
        <v>1.5713061958684202E-2</v>
      </c>
      <c r="K75" s="399">
        <f t="shared" si="47"/>
        <v>1.6179746451162186E-3</v>
      </c>
      <c r="L75" s="399">
        <f t="shared" si="47"/>
        <v>1.0173557862386635E-3</v>
      </c>
      <c r="M75" s="399">
        <f t="shared" si="47"/>
        <v>5.1331894478896572E-4</v>
      </c>
      <c r="N75" s="399">
        <f t="shared" si="47"/>
        <v>2.098175729821972E-4</v>
      </c>
      <c r="O75" s="399">
        <f t="shared" si="47"/>
        <v>1.4393771655681875E-4</v>
      </c>
      <c r="P75" s="399">
        <f t="shared" si="47"/>
        <v>1.6187088562548079E-4</v>
      </c>
      <c r="Q75" s="399">
        <f t="shared" si="47"/>
        <v>2.1135333978070204E-4</v>
      </c>
      <c r="R75" s="399">
        <f t="shared" si="47"/>
        <v>3.289721583103521E-4</v>
      </c>
      <c r="S75" s="399">
        <f t="shared" si="47"/>
        <v>3.1374982524777088E-4</v>
      </c>
      <c r="T75" s="399">
        <f t="shared" si="47"/>
        <v>1.0002291874740548E-3</v>
      </c>
      <c r="U75" s="399">
        <f t="shared" si="47"/>
        <v>9.6118724484638228E-4</v>
      </c>
      <c r="V75" s="399">
        <f t="shared" si="47"/>
        <v>6.8710074931790856E-4</v>
      </c>
      <c r="W75" s="399">
        <f t="shared" si="47"/>
        <v>9.5187901046670203E-4</v>
      </c>
      <c r="Z75" s="420"/>
    </row>
    <row r="76" spans="1:28" x14ac:dyDescent="0.3">
      <c r="A76" s="625"/>
      <c r="B76" s="396" t="s">
        <v>204</v>
      </c>
      <c r="C76" s="397"/>
      <c r="D76" s="399">
        <f t="shared" ref="D76" si="48">IFERROR((D20+D21+D22+D23+D24+D25+D26)/D65,"")</f>
        <v>0</v>
      </c>
      <c r="E76" s="399">
        <f t="shared" ref="E76:W76" si="49">IFERROR((E20+E21+E22+E23+E24+E25+E26)/E65,"")</f>
        <v>0</v>
      </c>
      <c r="F76" s="399">
        <f t="shared" si="49"/>
        <v>0</v>
      </c>
      <c r="G76" s="399">
        <f t="shared" si="49"/>
        <v>0</v>
      </c>
      <c r="H76" s="399">
        <f t="shared" si="49"/>
        <v>5.2103576439935663E-4</v>
      </c>
      <c r="I76" s="399">
        <f t="shared" si="49"/>
        <v>4.5264855718577158E-4</v>
      </c>
      <c r="J76" s="399">
        <f t="shared" si="49"/>
        <v>1.2938986383488787E-3</v>
      </c>
      <c r="K76" s="399">
        <f t="shared" si="49"/>
        <v>4.2462765834184091E-4</v>
      </c>
      <c r="L76" s="399">
        <f t="shared" si="49"/>
        <v>2.7688206330166312E-4</v>
      </c>
      <c r="M76" s="399">
        <f t="shared" si="49"/>
        <v>1.5713640733648667E-4</v>
      </c>
      <c r="N76" s="399">
        <f t="shared" si="49"/>
        <v>7.0869608815490225E-5</v>
      </c>
      <c r="O76" s="399">
        <f t="shared" si="49"/>
        <v>4.6685590179955502E-5</v>
      </c>
      <c r="P76" s="399">
        <f t="shared" si="49"/>
        <v>4.8908532183732222E-5</v>
      </c>
      <c r="Q76" s="399">
        <f t="shared" si="49"/>
        <v>5.5093939337915633E-5</v>
      </c>
      <c r="R76" s="399">
        <f t="shared" si="49"/>
        <v>8.182492405583861E-5</v>
      </c>
      <c r="S76" s="399">
        <f t="shared" si="49"/>
        <v>7.1248867062965757E-5</v>
      </c>
      <c r="T76" s="399">
        <f t="shared" si="49"/>
        <v>1.7681395454295724E-4</v>
      </c>
      <c r="U76" s="399">
        <f t="shared" si="49"/>
        <v>1.2559991866009843E-4</v>
      </c>
      <c r="V76" s="399">
        <f t="shared" si="49"/>
        <v>1.0303247664709678E-4</v>
      </c>
      <c r="W76" s="399">
        <f t="shared" si="49"/>
        <v>1.521793515420934E-4</v>
      </c>
    </row>
    <row r="77" spans="1:28" x14ac:dyDescent="0.3">
      <c r="A77" s="625"/>
      <c r="B77" s="396" t="s">
        <v>205</v>
      </c>
      <c r="C77" s="397"/>
      <c r="D77" s="398">
        <f t="shared" ref="D77" si="50">D32/D17</f>
        <v>0</v>
      </c>
      <c r="E77" s="398">
        <f t="shared" ref="E77:W77" si="51">E32/E17</f>
        <v>0</v>
      </c>
      <c r="F77" s="398">
        <f t="shared" si="51"/>
        <v>0</v>
      </c>
      <c r="G77" s="398">
        <f t="shared" si="51"/>
        <v>0</v>
      </c>
      <c r="H77" s="398">
        <f t="shared" si="51"/>
        <v>0</v>
      </c>
      <c r="I77" s="398">
        <f t="shared" si="51"/>
        <v>0</v>
      </c>
      <c r="J77" s="398">
        <f t="shared" si="51"/>
        <v>0</v>
      </c>
      <c r="K77" s="398">
        <f t="shared" si="51"/>
        <v>0</v>
      </c>
      <c r="L77" s="398">
        <f t="shared" si="51"/>
        <v>0</v>
      </c>
      <c r="M77" s="398">
        <f t="shared" si="51"/>
        <v>0</v>
      </c>
      <c r="N77" s="398">
        <f t="shared" si="51"/>
        <v>0</v>
      </c>
      <c r="O77" s="398">
        <f t="shared" si="51"/>
        <v>0</v>
      </c>
      <c r="P77" s="398">
        <f t="shared" si="51"/>
        <v>0</v>
      </c>
      <c r="Q77" s="398">
        <f t="shared" si="51"/>
        <v>0</v>
      </c>
      <c r="R77" s="398">
        <f t="shared" si="51"/>
        <v>0</v>
      </c>
      <c r="S77" s="398">
        <f t="shared" si="51"/>
        <v>0</v>
      </c>
      <c r="T77" s="398">
        <f t="shared" si="51"/>
        <v>0</v>
      </c>
      <c r="U77" s="398">
        <f t="shared" si="51"/>
        <v>0</v>
      </c>
      <c r="V77" s="398">
        <f t="shared" si="51"/>
        <v>0</v>
      </c>
      <c r="W77" s="398">
        <f t="shared" si="51"/>
        <v>0</v>
      </c>
    </row>
    <row r="78" spans="1:28" x14ac:dyDescent="0.3">
      <c r="A78" s="625"/>
      <c r="B78" s="627" t="s">
        <v>189</v>
      </c>
      <c r="C78" s="628"/>
      <c r="D78" s="421"/>
      <c r="E78" s="421"/>
      <c r="F78" s="421"/>
      <c r="G78" s="421"/>
      <c r="H78" s="421"/>
      <c r="I78" s="421"/>
      <c r="J78" s="421"/>
      <c r="K78" s="421"/>
      <c r="L78" s="421"/>
      <c r="M78" s="421"/>
      <c r="N78" s="421"/>
      <c r="O78" s="421"/>
      <c r="P78" s="421"/>
      <c r="Q78" s="421"/>
      <c r="R78" s="421"/>
      <c r="S78" s="421"/>
      <c r="T78" s="421"/>
      <c r="U78" s="421"/>
      <c r="V78" s="421"/>
      <c r="W78" s="421"/>
      <c r="Z78" s="331" t="s">
        <v>206</v>
      </c>
      <c r="AA78" s="331" t="s">
        <v>207</v>
      </c>
    </row>
    <row r="79" spans="1:28" x14ac:dyDescent="0.3">
      <c r="A79" s="625"/>
      <c r="B79" s="635" t="s">
        <v>100</v>
      </c>
      <c r="C79" s="636"/>
      <c r="D79" s="422"/>
      <c r="E79" s="422"/>
      <c r="F79" s="422"/>
      <c r="G79" s="422"/>
      <c r="H79" s="422"/>
      <c r="I79" s="422"/>
      <c r="J79" s="422"/>
      <c r="K79" s="422"/>
      <c r="L79" s="422"/>
      <c r="M79" s="422"/>
      <c r="N79" s="422"/>
      <c r="O79" s="422"/>
      <c r="P79" s="422"/>
      <c r="Q79" s="422"/>
      <c r="R79" s="422"/>
      <c r="S79" s="422"/>
      <c r="T79" s="422"/>
      <c r="U79" s="422"/>
      <c r="V79" s="422"/>
      <c r="W79" s="422"/>
      <c r="Z79" s="402"/>
      <c r="AA79" s="402"/>
      <c r="AB79" s="423"/>
    </row>
    <row r="80" spans="1:28" x14ac:dyDescent="0.3">
      <c r="A80" s="625"/>
      <c r="B80" s="637" t="s">
        <v>190</v>
      </c>
      <c r="C80" s="638"/>
      <c r="D80" s="424" t="str">
        <f>IFERROR(D20/C19,"")</f>
        <v/>
      </c>
      <c r="E80" s="424" t="str">
        <f t="shared" ref="E80:W86" si="52">IFERROR(E20/D19,"")</f>
        <v/>
      </c>
      <c r="F80" s="424" t="str">
        <f t="shared" si="52"/>
        <v/>
      </c>
      <c r="G80" s="424" t="str">
        <f t="shared" si="52"/>
        <v/>
      </c>
      <c r="H80" s="424">
        <f t="shared" si="52"/>
        <v>2.843250752489002E-2</v>
      </c>
      <c r="I80" s="424">
        <f t="shared" si="52"/>
        <v>7.3266032755070461E-3</v>
      </c>
      <c r="J80" s="424">
        <f t="shared" si="52"/>
        <v>6.0722754414758674E-3</v>
      </c>
      <c r="K80" s="424">
        <f t="shared" si="52"/>
        <v>9.9763736382821777E-4</v>
      </c>
      <c r="L80" s="424">
        <f t="shared" si="52"/>
        <v>1.8746032105909616E-3</v>
      </c>
      <c r="M80" s="424">
        <f t="shared" si="52"/>
        <v>1.4888935920972974E-3</v>
      </c>
      <c r="N80" s="424">
        <f t="shared" si="52"/>
        <v>7.0543692057227743E-3</v>
      </c>
      <c r="O80" s="424">
        <f t="shared" si="52"/>
        <v>0</v>
      </c>
      <c r="P80" s="424">
        <f t="shared" si="52"/>
        <v>1.6515504602450035E-3</v>
      </c>
      <c r="Q80" s="424">
        <f t="shared" si="52"/>
        <v>1.5144107533895134E-3</v>
      </c>
      <c r="R80" s="424">
        <f t="shared" si="52"/>
        <v>9.9330979339151844E-4</v>
      </c>
      <c r="S80" s="424">
        <f t="shared" si="52"/>
        <v>1.8374882992630867E-5</v>
      </c>
      <c r="T80" s="424">
        <f t="shared" si="52"/>
        <v>8.4805110673690301E-3</v>
      </c>
      <c r="U80" s="424">
        <f t="shared" si="52"/>
        <v>9.2876543839175191E-6</v>
      </c>
      <c r="V80" s="424">
        <f t="shared" si="52"/>
        <v>0</v>
      </c>
      <c r="W80" s="424">
        <f t="shared" si="52"/>
        <v>5.0350369623273546E-3</v>
      </c>
      <c r="Z80" s="402">
        <f>AVERAGE(H80:W80)</f>
        <v>4.434335699263197E-3</v>
      </c>
      <c r="AA80" s="402">
        <f>AVERAGE(H80:N80)</f>
        <v>7.6066985163017412E-3</v>
      </c>
      <c r="AB80" s="423"/>
    </row>
    <row r="81" spans="1:28" x14ac:dyDescent="0.3">
      <c r="A81" s="625"/>
      <c r="B81" s="637" t="s">
        <v>191</v>
      </c>
      <c r="C81" s="638"/>
      <c r="D81" s="424" t="str">
        <f t="shared" ref="D81:S86" si="53">IFERROR(D21/C20,"")</f>
        <v/>
      </c>
      <c r="E81" s="424" t="str">
        <f t="shared" si="53"/>
        <v/>
      </c>
      <c r="F81" s="424" t="str">
        <f t="shared" si="53"/>
        <v/>
      </c>
      <c r="G81" s="424" t="str">
        <f t="shared" si="53"/>
        <v/>
      </c>
      <c r="H81" s="424" t="str">
        <f t="shared" si="53"/>
        <v/>
      </c>
      <c r="I81" s="424">
        <f t="shared" si="53"/>
        <v>0</v>
      </c>
      <c r="J81" s="424">
        <f t="shared" si="53"/>
        <v>0.69480983346186487</v>
      </c>
      <c r="K81" s="424">
        <f t="shared" si="53"/>
        <v>0.63817954844016966</v>
      </c>
      <c r="L81" s="424">
        <f t="shared" si="53"/>
        <v>0.47501637554585152</v>
      </c>
      <c r="M81" s="424">
        <f t="shared" si="53"/>
        <v>1</v>
      </c>
      <c r="N81" s="424">
        <f t="shared" si="53"/>
        <v>1</v>
      </c>
      <c r="O81" s="424">
        <f t="shared" si="53"/>
        <v>0.57527065782901265</v>
      </c>
      <c r="P81" s="424" t="str">
        <f t="shared" si="53"/>
        <v/>
      </c>
      <c r="Q81" s="424">
        <f t="shared" si="53"/>
        <v>0.85163204747774479</v>
      </c>
      <c r="R81" s="424">
        <f t="shared" si="53"/>
        <v>0.9287876071842095</v>
      </c>
      <c r="S81" s="424">
        <f t="shared" si="53"/>
        <v>0.95567519066846118</v>
      </c>
      <c r="T81" s="424">
        <f t="shared" si="52"/>
        <v>1</v>
      </c>
      <c r="U81" s="424">
        <f t="shared" si="52"/>
        <v>0.72813563621757604</v>
      </c>
      <c r="V81" s="424">
        <f t="shared" si="52"/>
        <v>1</v>
      </c>
      <c r="W81" s="424" t="str">
        <f t="shared" si="52"/>
        <v/>
      </c>
      <c r="Z81" s="402">
        <f t="shared" ref="Z81:Z85" si="54">AVERAGE(H81:W81)</f>
        <v>0.75750053052499144</v>
      </c>
      <c r="AA81" s="402">
        <f t="shared" ref="AA81:AA85" si="55">AVERAGE(H81:N81)</f>
        <v>0.63466762624131434</v>
      </c>
      <c r="AB81" s="423"/>
    </row>
    <row r="82" spans="1:28" x14ac:dyDescent="0.3">
      <c r="A82" s="625"/>
      <c r="B82" s="637" t="s">
        <v>192</v>
      </c>
      <c r="C82" s="638"/>
      <c r="D82" s="424" t="str">
        <f t="shared" si="53"/>
        <v/>
      </c>
      <c r="E82" s="424" t="str">
        <f t="shared" si="52"/>
        <v/>
      </c>
      <c r="F82" s="424" t="str">
        <f t="shared" si="52"/>
        <v/>
      </c>
      <c r="G82" s="424" t="str">
        <f t="shared" si="52"/>
        <v/>
      </c>
      <c r="H82" s="424" t="str">
        <f t="shared" si="52"/>
        <v/>
      </c>
      <c r="I82" s="424" t="str">
        <f t="shared" si="52"/>
        <v/>
      </c>
      <c r="J82" s="424" t="str">
        <f t="shared" si="52"/>
        <v/>
      </c>
      <c r="K82" s="424">
        <f t="shared" si="52"/>
        <v>0.87146829746206333</v>
      </c>
      <c r="L82" s="424">
        <f t="shared" si="52"/>
        <v>0.71827212903071846</v>
      </c>
      <c r="M82" s="424">
        <f t="shared" si="52"/>
        <v>1</v>
      </c>
      <c r="N82" s="424">
        <f t="shared" si="52"/>
        <v>1</v>
      </c>
      <c r="O82" s="424">
        <f t="shared" si="52"/>
        <v>0</v>
      </c>
      <c r="P82" s="424">
        <f t="shared" si="52"/>
        <v>0</v>
      </c>
      <c r="Q82" s="424" t="str">
        <f t="shared" si="52"/>
        <v/>
      </c>
      <c r="R82" s="424">
        <f t="shared" si="52"/>
        <v>0.90243902439024393</v>
      </c>
      <c r="S82" s="424">
        <f t="shared" si="52"/>
        <v>0.55666763242947537</v>
      </c>
      <c r="T82" s="424">
        <f t="shared" si="52"/>
        <v>0.71129471411135103</v>
      </c>
      <c r="U82" s="424">
        <f t="shared" si="52"/>
        <v>1</v>
      </c>
      <c r="V82" s="424">
        <f t="shared" si="52"/>
        <v>0.92944865429840606</v>
      </c>
      <c r="W82" s="424">
        <f t="shared" si="52"/>
        <v>1</v>
      </c>
      <c r="Z82" s="402">
        <f t="shared" si="54"/>
        <v>0.72413253764352159</v>
      </c>
      <c r="AA82" s="402">
        <f t="shared" si="55"/>
        <v>0.89743510662319548</v>
      </c>
      <c r="AB82" s="423"/>
    </row>
    <row r="83" spans="1:28" x14ac:dyDescent="0.3">
      <c r="A83" s="625"/>
      <c r="B83" s="425" t="s">
        <v>193</v>
      </c>
      <c r="C83" s="426"/>
      <c r="D83" s="424" t="str">
        <f t="shared" si="53"/>
        <v/>
      </c>
      <c r="E83" s="424" t="str">
        <f t="shared" si="52"/>
        <v/>
      </c>
      <c r="F83" s="424" t="str">
        <f t="shared" si="52"/>
        <v/>
      </c>
      <c r="G83" s="424" t="str">
        <f t="shared" si="52"/>
        <v/>
      </c>
      <c r="H83" s="424" t="str">
        <f t="shared" si="52"/>
        <v/>
      </c>
      <c r="I83" s="424" t="str">
        <f t="shared" si="52"/>
        <v/>
      </c>
      <c r="J83" s="424" t="str">
        <f t="shared" si="52"/>
        <v/>
      </c>
      <c r="K83" s="424" t="str">
        <f t="shared" si="52"/>
        <v/>
      </c>
      <c r="L83" s="424">
        <f t="shared" si="52"/>
        <v>0.9742776847505078</v>
      </c>
      <c r="M83" s="424">
        <f t="shared" si="52"/>
        <v>0.63776847833549888</v>
      </c>
      <c r="N83" s="424">
        <f t="shared" si="52"/>
        <v>0.8621054204060995</v>
      </c>
      <c r="O83" s="424">
        <f t="shared" si="52"/>
        <v>0.9659308008213553</v>
      </c>
      <c r="P83" s="424" t="str">
        <f t="shared" si="52"/>
        <v/>
      </c>
      <c r="Q83" s="424" t="str">
        <f t="shared" si="52"/>
        <v/>
      </c>
      <c r="R83" s="424" t="str">
        <f t="shared" si="52"/>
        <v/>
      </c>
      <c r="S83" s="424">
        <f t="shared" si="52"/>
        <v>0.96138996138996136</v>
      </c>
      <c r="T83" s="424">
        <f t="shared" si="52"/>
        <v>0.86226535406916271</v>
      </c>
      <c r="U83" s="424">
        <f t="shared" si="52"/>
        <v>0.46673706441393875</v>
      </c>
      <c r="V83" s="424">
        <f t="shared" si="52"/>
        <v>1</v>
      </c>
      <c r="W83" s="424">
        <f t="shared" si="52"/>
        <v>0.91550307687501953</v>
      </c>
      <c r="Z83" s="402">
        <f t="shared" si="54"/>
        <v>0.8495530934512826</v>
      </c>
      <c r="AA83" s="402">
        <f t="shared" si="55"/>
        <v>0.82471719449736869</v>
      </c>
      <c r="AB83" s="423"/>
    </row>
    <row r="84" spans="1:28" x14ac:dyDescent="0.3">
      <c r="A84" s="625"/>
      <c r="B84" s="425" t="s">
        <v>208</v>
      </c>
      <c r="C84" s="426"/>
      <c r="D84" s="424" t="str">
        <f t="shared" si="53"/>
        <v/>
      </c>
      <c r="E84" s="424" t="str">
        <f t="shared" si="52"/>
        <v/>
      </c>
      <c r="F84" s="424" t="str">
        <f t="shared" si="52"/>
        <v/>
      </c>
      <c r="G84" s="424" t="str">
        <f t="shared" si="52"/>
        <v/>
      </c>
      <c r="H84" s="424" t="str">
        <f t="shared" si="52"/>
        <v/>
      </c>
      <c r="I84" s="424" t="str">
        <f t="shared" si="52"/>
        <v/>
      </c>
      <c r="J84" s="424" t="str">
        <f t="shared" si="52"/>
        <v/>
      </c>
      <c r="K84" s="424" t="str">
        <f t="shared" si="52"/>
        <v/>
      </c>
      <c r="L84" s="424" t="str">
        <f t="shared" si="52"/>
        <v/>
      </c>
      <c r="M84" s="424">
        <f t="shared" si="52"/>
        <v>1</v>
      </c>
      <c r="N84" s="424">
        <f t="shared" si="52"/>
        <v>0.74162047132215869</v>
      </c>
      <c r="O84" s="424">
        <f t="shared" si="52"/>
        <v>1</v>
      </c>
      <c r="P84" s="424">
        <f t="shared" si="52"/>
        <v>0.88819988933018401</v>
      </c>
      <c r="Q84" s="424" t="str">
        <f t="shared" si="52"/>
        <v/>
      </c>
      <c r="R84" s="424" t="str">
        <f t="shared" si="52"/>
        <v/>
      </c>
      <c r="S84" s="424" t="str">
        <f t="shared" si="52"/>
        <v/>
      </c>
      <c r="T84" s="424">
        <f t="shared" si="52"/>
        <v>0.97991967871485941</v>
      </c>
      <c r="U84" s="424">
        <f t="shared" si="52"/>
        <v>0.88712815792778832</v>
      </c>
      <c r="V84" s="424">
        <f t="shared" si="52"/>
        <v>0.97341628959276016</v>
      </c>
      <c r="W84" s="424">
        <f t="shared" si="52"/>
        <v>1</v>
      </c>
      <c r="Z84" s="402">
        <f t="shared" si="54"/>
        <v>0.93378556086096876</v>
      </c>
      <c r="AA84" s="402">
        <f t="shared" si="55"/>
        <v>0.8708102356610794</v>
      </c>
      <c r="AB84" s="423"/>
    </row>
    <row r="85" spans="1:28" x14ac:dyDescent="0.3">
      <c r="A85" s="625"/>
      <c r="B85" s="425" t="s">
        <v>209</v>
      </c>
      <c r="C85" s="426"/>
      <c r="D85" s="424" t="str">
        <f t="shared" si="53"/>
        <v/>
      </c>
      <c r="E85" s="424" t="str">
        <f t="shared" si="52"/>
        <v/>
      </c>
      <c r="F85" s="424" t="str">
        <f t="shared" si="52"/>
        <v/>
      </c>
      <c r="G85" s="424" t="str">
        <f t="shared" si="52"/>
        <v/>
      </c>
      <c r="H85" s="424" t="str">
        <f t="shared" si="52"/>
        <v/>
      </c>
      <c r="I85" s="424" t="str">
        <f t="shared" si="52"/>
        <v/>
      </c>
      <c r="J85" s="424" t="str">
        <f t="shared" si="52"/>
        <v/>
      </c>
      <c r="K85" s="424" t="str">
        <f t="shared" si="52"/>
        <v/>
      </c>
      <c r="L85" s="424" t="str">
        <f t="shared" si="52"/>
        <v/>
      </c>
      <c r="M85" s="424" t="str">
        <f t="shared" si="52"/>
        <v/>
      </c>
      <c r="N85" s="424">
        <f t="shared" si="52"/>
        <v>0.95580612500591089</v>
      </c>
      <c r="O85" s="424">
        <f t="shared" si="52"/>
        <v>0.8661284444342614</v>
      </c>
      <c r="P85" s="424">
        <f t="shared" si="52"/>
        <v>0.8344107806939205</v>
      </c>
      <c r="Q85" s="424">
        <f t="shared" si="52"/>
        <v>0.92438859537892926</v>
      </c>
      <c r="R85" s="424" t="str">
        <f t="shared" si="52"/>
        <v/>
      </c>
      <c r="S85" s="424" t="str">
        <f t="shared" si="52"/>
        <v/>
      </c>
      <c r="T85" s="424" t="str">
        <f t="shared" si="52"/>
        <v/>
      </c>
      <c r="U85" s="424">
        <f t="shared" si="52"/>
        <v>1</v>
      </c>
      <c r="V85" s="424">
        <f t="shared" si="52"/>
        <v>0.77239662628249761</v>
      </c>
      <c r="W85" s="424">
        <f t="shared" si="52"/>
        <v>0.77222545031958167</v>
      </c>
      <c r="Z85" s="402">
        <f t="shared" si="54"/>
        <v>0.87505086030215729</v>
      </c>
      <c r="AA85" s="402">
        <f t="shared" si="55"/>
        <v>0.95580612500591089</v>
      </c>
      <c r="AB85" s="423"/>
    </row>
    <row r="86" spans="1:28" x14ac:dyDescent="0.3">
      <c r="A86" s="625"/>
      <c r="B86" s="425" t="s">
        <v>210</v>
      </c>
      <c r="C86" s="427"/>
      <c r="D86" s="424" t="str">
        <f t="shared" si="53"/>
        <v/>
      </c>
      <c r="E86" s="424" t="str">
        <f t="shared" si="52"/>
        <v/>
      </c>
      <c r="F86" s="424" t="str">
        <f t="shared" si="52"/>
        <v/>
      </c>
      <c r="G86" s="424" t="str">
        <f t="shared" si="52"/>
        <v/>
      </c>
      <c r="H86" s="424" t="str">
        <f t="shared" si="52"/>
        <v/>
      </c>
      <c r="I86" s="424" t="str">
        <f t="shared" si="52"/>
        <v/>
      </c>
      <c r="J86" s="424" t="str">
        <f t="shared" si="52"/>
        <v/>
      </c>
      <c r="K86" s="424" t="str">
        <f t="shared" si="52"/>
        <v/>
      </c>
      <c r="L86" s="424" t="str">
        <f t="shared" si="52"/>
        <v/>
      </c>
      <c r="M86" s="424" t="str">
        <f t="shared" si="52"/>
        <v/>
      </c>
      <c r="N86" s="424" t="str">
        <f t="shared" si="52"/>
        <v/>
      </c>
      <c r="O86" s="424">
        <f t="shared" si="52"/>
        <v>0.52745500303547732</v>
      </c>
      <c r="P86" s="424">
        <f t="shared" si="52"/>
        <v>1.4177411223083536</v>
      </c>
      <c r="Q86" s="424">
        <f t="shared" si="52"/>
        <v>5.5890405750798724</v>
      </c>
      <c r="R86" s="424">
        <f t="shared" si="52"/>
        <v>5.048879292867964</v>
      </c>
      <c r="S86" s="424" t="str">
        <f t="shared" si="52"/>
        <v/>
      </c>
      <c r="T86" s="424" t="str">
        <f t="shared" si="52"/>
        <v/>
      </c>
      <c r="U86" s="424" t="str">
        <f t="shared" si="52"/>
        <v/>
      </c>
      <c r="V86" s="424">
        <f t="shared" si="52"/>
        <v>3.9928368852459015</v>
      </c>
      <c r="W86" s="424">
        <f t="shared" si="52"/>
        <v>7.2197853004098116</v>
      </c>
      <c r="Z86" s="402"/>
      <c r="AA86" s="402"/>
      <c r="AB86" s="423"/>
    </row>
    <row r="87" spans="1:28" x14ac:dyDescent="0.3">
      <c r="A87" s="625"/>
      <c r="B87" s="405" t="s">
        <v>194</v>
      </c>
      <c r="C87" s="406"/>
      <c r="D87" s="428"/>
      <c r="E87" s="428"/>
      <c r="F87" s="428"/>
      <c r="G87" s="428"/>
      <c r="H87" s="428"/>
      <c r="I87" s="428"/>
      <c r="J87" s="428"/>
      <c r="K87" s="428"/>
      <c r="L87" s="428"/>
      <c r="M87" s="428"/>
      <c r="N87" s="428"/>
      <c r="O87" s="428"/>
      <c r="P87" s="428"/>
      <c r="Q87" s="428"/>
      <c r="R87" s="428"/>
      <c r="S87" s="428"/>
      <c r="T87" s="428"/>
      <c r="U87" s="428"/>
      <c r="V87" s="428"/>
      <c r="W87" s="428"/>
      <c r="Z87" s="402"/>
      <c r="AA87" s="408"/>
    </row>
    <row r="88" spans="1:28" x14ac:dyDescent="0.3">
      <c r="A88" s="625"/>
      <c r="B88" s="631" t="s">
        <v>100</v>
      </c>
      <c r="C88" s="632"/>
      <c r="D88" s="429">
        <f>IFERROR(D19/D18,"")</f>
        <v>0</v>
      </c>
      <c r="E88" s="429">
        <f t="shared" ref="E88:W88" si="56">IFERROR(E19/E18,"")</f>
        <v>0</v>
      </c>
      <c r="F88" s="429">
        <f t="shared" si="56"/>
        <v>0</v>
      </c>
      <c r="G88" s="429">
        <f t="shared" si="56"/>
        <v>8.8228672238740466E-2</v>
      </c>
      <c r="H88" s="429">
        <f t="shared" si="56"/>
        <v>0.68844989198726403</v>
      </c>
      <c r="I88" s="429">
        <f t="shared" si="56"/>
        <v>3.5480366444436013</v>
      </c>
      <c r="J88" s="429">
        <f t="shared" si="56"/>
        <v>2.017706432790078</v>
      </c>
      <c r="K88" s="429">
        <f t="shared" si="56"/>
        <v>7.2595368185620221E-2</v>
      </c>
      <c r="L88" s="429">
        <f t="shared" si="56"/>
        <v>5.2546836136061682E-2</v>
      </c>
      <c r="M88" s="429">
        <f t="shared" si="56"/>
        <v>6.2979416663864821E-3</v>
      </c>
      <c r="N88" s="429">
        <f t="shared" si="56"/>
        <v>4.8634086200317027E-2</v>
      </c>
      <c r="O88" s="429">
        <f t="shared" si="56"/>
        <v>2.1648607056373684E-2</v>
      </c>
      <c r="P88" s="429">
        <f t="shared" si="56"/>
        <v>3.4641636848828185E-2</v>
      </c>
      <c r="Q88" s="429">
        <f t="shared" si="56"/>
        <v>0.1293417520185767</v>
      </c>
      <c r="R88" s="429">
        <f t="shared" si="56"/>
        <v>0.50638654489594204</v>
      </c>
      <c r="S88" s="429">
        <f t="shared" si="56"/>
        <v>6.8419542356338292E-2</v>
      </c>
      <c r="T88" s="429">
        <f t="shared" si="56"/>
        <v>1.3159196911979913</v>
      </c>
      <c r="U88" s="429">
        <f t="shared" si="56"/>
        <v>0.34601090839380028</v>
      </c>
      <c r="V88" s="429">
        <f t="shared" si="56"/>
        <v>0.11216029627770671</v>
      </c>
      <c r="W88" s="429">
        <f t="shared" si="56"/>
        <v>0.79512250756698921</v>
      </c>
      <c r="Z88" s="402"/>
      <c r="AA88" s="402"/>
    </row>
    <row r="89" spans="1:28" x14ac:dyDescent="0.3">
      <c r="A89" s="625"/>
      <c r="B89" s="635" t="s">
        <v>195</v>
      </c>
      <c r="C89" s="636"/>
      <c r="D89" s="430">
        <f>IFERROR(SUM(D20:D26)/D18,"")</f>
        <v>0</v>
      </c>
      <c r="E89" s="430">
        <f t="shared" ref="E89:W89" si="57">IFERROR(SUM(E20:E26)/E18,"")</f>
        <v>0</v>
      </c>
      <c r="F89" s="430">
        <f t="shared" si="57"/>
        <v>0</v>
      </c>
      <c r="G89" s="430">
        <f t="shared" si="57"/>
        <v>0</v>
      </c>
      <c r="H89" s="430">
        <f t="shared" si="57"/>
        <v>3.2297266107646299E-3</v>
      </c>
      <c r="I89" s="430">
        <f t="shared" si="57"/>
        <v>7.1021229726890298E-3</v>
      </c>
      <c r="J89" s="430">
        <f t="shared" si="57"/>
        <v>1.5713061958684202E-2</v>
      </c>
      <c r="K89" s="430">
        <f t="shared" si="57"/>
        <v>1.6179746451162186E-3</v>
      </c>
      <c r="L89" s="430">
        <f t="shared" si="57"/>
        <v>1.0173557862386635E-3</v>
      </c>
      <c r="M89" s="430">
        <f t="shared" si="57"/>
        <v>5.1331894478896572E-4</v>
      </c>
      <c r="N89" s="430">
        <f t="shared" si="57"/>
        <v>2.098175729821972E-4</v>
      </c>
      <c r="O89" s="430">
        <f t="shared" si="57"/>
        <v>1.4393771655681875E-4</v>
      </c>
      <c r="P89" s="430">
        <f t="shared" si="57"/>
        <v>1.6187088562548079E-4</v>
      </c>
      <c r="Q89" s="430">
        <f t="shared" si="57"/>
        <v>2.1135333978070204E-4</v>
      </c>
      <c r="R89" s="430">
        <f t="shared" si="57"/>
        <v>3.289721583103521E-4</v>
      </c>
      <c r="S89" s="430">
        <f t="shared" si="57"/>
        <v>3.1374982524777088E-4</v>
      </c>
      <c r="T89" s="430">
        <f t="shared" si="57"/>
        <v>1.0002291874740548E-3</v>
      </c>
      <c r="U89" s="430">
        <f t="shared" si="57"/>
        <v>9.6118724484638228E-4</v>
      </c>
      <c r="V89" s="430">
        <f t="shared" si="57"/>
        <v>6.8710074931790856E-4</v>
      </c>
      <c r="W89" s="430">
        <f t="shared" si="57"/>
        <v>9.5187901046670203E-4</v>
      </c>
      <c r="Z89" s="402"/>
      <c r="AA89" s="402"/>
    </row>
    <row r="90" spans="1:28" x14ac:dyDescent="0.3">
      <c r="A90" s="625"/>
      <c r="B90" s="637" t="s">
        <v>196</v>
      </c>
      <c r="C90" s="638"/>
      <c r="D90" s="430">
        <f>IFERROR(SUM(D21:D26)/D18,"")</f>
        <v>0</v>
      </c>
      <c r="E90" s="430">
        <f t="shared" ref="E90:W90" si="58">IFERROR(SUM(E21:E26)/E18,"")</f>
        <v>0</v>
      </c>
      <c r="F90" s="430">
        <f t="shared" si="58"/>
        <v>0</v>
      </c>
      <c r="G90" s="430">
        <f t="shared" si="58"/>
        <v>0</v>
      </c>
      <c r="H90" s="430">
        <f t="shared" si="58"/>
        <v>0</v>
      </c>
      <c r="I90" s="430">
        <f t="shared" si="58"/>
        <v>0</v>
      </c>
      <c r="J90" s="430">
        <f t="shared" si="58"/>
        <v>2.9282542630952903E-3</v>
      </c>
      <c r="K90" s="430">
        <f t="shared" si="58"/>
        <v>1.3620071719915498E-3</v>
      </c>
      <c r="L90" s="430">
        <f t="shared" si="58"/>
        <v>9.1239367223017642E-4</v>
      </c>
      <c r="M90" s="430">
        <f t="shared" si="58"/>
        <v>4.6806235699273322E-4</v>
      </c>
      <c r="N90" s="430">
        <f t="shared" si="58"/>
        <v>1.9076416664952475E-4</v>
      </c>
      <c r="O90" s="430">
        <f t="shared" si="58"/>
        <v>1.4393771655681875E-4</v>
      </c>
      <c r="P90" s="430">
        <f t="shared" si="58"/>
        <v>1.2493366012811702E-4</v>
      </c>
      <c r="Q90" s="430">
        <f t="shared" si="58"/>
        <v>1.5617722663818117E-4</v>
      </c>
      <c r="R90" s="430">
        <f t="shared" si="58"/>
        <v>1.9770390048031493E-4</v>
      </c>
      <c r="S90" s="430">
        <f t="shared" si="58"/>
        <v>3.0405944996332747E-4</v>
      </c>
      <c r="T90" s="430">
        <f t="shared" si="58"/>
        <v>3.1198138963605077E-4</v>
      </c>
      <c r="U90" s="430">
        <f t="shared" si="58"/>
        <v>9.456437867069585E-4</v>
      </c>
      <c r="V90" s="430">
        <f t="shared" si="58"/>
        <v>6.8710074931790856E-4</v>
      </c>
      <c r="W90" s="430">
        <f t="shared" si="58"/>
        <v>5.0127330581413649E-4</v>
      </c>
      <c r="Z90" s="402"/>
      <c r="AA90" s="402"/>
    </row>
    <row r="91" spans="1:28" x14ac:dyDescent="0.3">
      <c r="A91" s="625"/>
      <c r="B91" s="637" t="s">
        <v>211</v>
      </c>
      <c r="C91" s="638"/>
      <c r="D91" s="430">
        <f>IFERROR(SUM(D22:D26)/D18,"")</f>
        <v>0</v>
      </c>
      <c r="E91" s="430">
        <f t="shared" ref="E91:W91" si="59">IFERROR(SUM(E22:E26)/E18,"")</f>
        <v>0</v>
      </c>
      <c r="F91" s="430">
        <f t="shared" si="59"/>
        <v>0</v>
      </c>
      <c r="G91" s="430">
        <f t="shared" si="59"/>
        <v>0</v>
      </c>
      <c r="H91" s="430">
        <f t="shared" si="59"/>
        <v>0</v>
      </c>
      <c r="I91" s="430">
        <f t="shared" si="59"/>
        <v>0</v>
      </c>
      <c r="J91" s="430">
        <f t="shared" si="59"/>
        <v>0</v>
      </c>
      <c r="K91" s="430">
        <f t="shared" si="59"/>
        <v>3.24499829928834E-4</v>
      </c>
      <c r="L91" s="430">
        <f t="shared" si="59"/>
        <v>8.1861422615871248E-4</v>
      </c>
      <c r="M91" s="430">
        <f t="shared" si="59"/>
        <v>4.0734621854434413E-4</v>
      </c>
      <c r="N91" s="430">
        <f t="shared" si="59"/>
        <v>1.7135541440103005E-4</v>
      </c>
      <c r="O91" s="430">
        <f t="shared" si="59"/>
        <v>1.3306305450301828E-4</v>
      </c>
      <c r="P91" s="430">
        <f t="shared" si="59"/>
        <v>1.2493366012811702E-4</v>
      </c>
      <c r="Q91" s="430">
        <f t="shared" si="59"/>
        <v>1.2309267292290733E-4</v>
      </c>
      <c r="R91" s="430">
        <f t="shared" si="59"/>
        <v>1.453434010778284E-4</v>
      </c>
      <c r="S91" s="430">
        <f t="shared" si="59"/>
        <v>1.7341111179293867E-4</v>
      </c>
      <c r="T91" s="430">
        <f t="shared" si="59"/>
        <v>3.0048707087630986E-4</v>
      </c>
      <c r="U91" s="430">
        <f t="shared" si="59"/>
        <v>3.0830649064008769E-4</v>
      </c>
      <c r="V91" s="430">
        <f t="shared" si="59"/>
        <v>6.7514861187624258E-4</v>
      </c>
      <c r="W91" s="430">
        <f t="shared" si="59"/>
        <v>5.0127330581413649E-4</v>
      </c>
      <c r="Z91" s="402"/>
      <c r="AA91" s="402"/>
    </row>
    <row r="92" spans="1:28" x14ac:dyDescent="0.3">
      <c r="A92" s="625"/>
      <c r="B92" s="637" t="s">
        <v>197</v>
      </c>
      <c r="C92" s="638"/>
      <c r="D92" s="430">
        <f>IFERROR(SUM(D22:D26)/D18,"")</f>
        <v>0</v>
      </c>
      <c r="E92" s="430">
        <f t="shared" ref="E92:W92" si="60">IFERROR(SUM(E22:E26)/E18,"")</f>
        <v>0</v>
      </c>
      <c r="F92" s="430">
        <f t="shared" si="60"/>
        <v>0</v>
      </c>
      <c r="G92" s="430">
        <f t="shared" si="60"/>
        <v>0</v>
      </c>
      <c r="H92" s="430">
        <f t="shared" si="60"/>
        <v>0</v>
      </c>
      <c r="I92" s="430">
        <f t="shared" si="60"/>
        <v>0</v>
      </c>
      <c r="J92" s="430">
        <f t="shared" si="60"/>
        <v>0</v>
      </c>
      <c r="K92" s="430">
        <f t="shared" si="60"/>
        <v>3.24499829928834E-4</v>
      </c>
      <c r="L92" s="430">
        <f t="shared" si="60"/>
        <v>8.1861422615871248E-4</v>
      </c>
      <c r="M92" s="430">
        <f t="shared" si="60"/>
        <v>4.0734621854434413E-4</v>
      </c>
      <c r="N92" s="430">
        <f t="shared" si="60"/>
        <v>1.7135541440103005E-4</v>
      </c>
      <c r="O92" s="430">
        <f t="shared" si="60"/>
        <v>1.3306305450301828E-4</v>
      </c>
      <c r="P92" s="430">
        <f t="shared" si="60"/>
        <v>1.2493366012811702E-4</v>
      </c>
      <c r="Q92" s="430">
        <f t="shared" si="60"/>
        <v>1.2309267292290733E-4</v>
      </c>
      <c r="R92" s="430">
        <f t="shared" si="60"/>
        <v>1.453434010778284E-4</v>
      </c>
      <c r="S92" s="430">
        <f t="shared" si="60"/>
        <v>1.7341111179293867E-4</v>
      </c>
      <c r="T92" s="430">
        <f t="shared" si="60"/>
        <v>3.0048707087630986E-4</v>
      </c>
      <c r="U92" s="430">
        <f t="shared" si="60"/>
        <v>3.0830649064008769E-4</v>
      </c>
      <c r="V92" s="430">
        <f t="shared" si="60"/>
        <v>6.7514861187624258E-4</v>
      </c>
      <c r="W92" s="430">
        <f t="shared" si="60"/>
        <v>5.0127330581413649E-4</v>
      </c>
      <c r="Z92" s="402"/>
      <c r="AA92" s="402"/>
    </row>
    <row r="93" spans="1:28" x14ac:dyDescent="0.3">
      <c r="A93" s="625"/>
      <c r="B93" s="637" t="s">
        <v>198</v>
      </c>
      <c r="C93" s="638"/>
      <c r="D93" s="430">
        <f>IFERROR(SUM(D24:D26)/D18,"")</f>
        <v>0</v>
      </c>
      <c r="E93" s="430">
        <f t="shared" ref="E93:W93" si="61">IFERROR(SUM(E24:E26)/E18,"")</f>
        <v>0</v>
      </c>
      <c r="F93" s="430">
        <f t="shared" si="61"/>
        <v>0</v>
      </c>
      <c r="G93" s="430">
        <f t="shared" si="61"/>
        <v>0</v>
      </c>
      <c r="H93" s="430">
        <f t="shared" si="61"/>
        <v>0</v>
      </c>
      <c r="I93" s="430">
        <f t="shared" si="61"/>
        <v>0</v>
      </c>
      <c r="J93" s="430">
        <f t="shared" si="61"/>
        <v>0</v>
      </c>
      <c r="K93" s="430">
        <f t="shared" si="61"/>
        <v>0</v>
      </c>
      <c r="L93" s="430">
        <f t="shared" si="61"/>
        <v>0</v>
      </c>
      <c r="M93" s="430">
        <f t="shared" si="61"/>
        <v>1.4105325183476548E-4</v>
      </c>
      <c r="N93" s="430">
        <f t="shared" si="61"/>
        <v>1.2526016248722556E-4</v>
      </c>
      <c r="O93" s="430">
        <f t="shared" si="61"/>
        <v>1.0810924333324856E-4</v>
      </c>
      <c r="P93" s="430">
        <f t="shared" si="61"/>
        <v>1.2493366012811702E-4</v>
      </c>
      <c r="Q93" s="430">
        <f t="shared" si="61"/>
        <v>1.2309267292290733E-4</v>
      </c>
      <c r="R93" s="430">
        <f t="shared" si="61"/>
        <v>1.1483781222365197E-4</v>
      </c>
      <c r="S93" s="430">
        <f t="shared" si="61"/>
        <v>1.1251279469240397E-4</v>
      </c>
      <c r="T93" s="430">
        <f t="shared" si="61"/>
        <v>1.5921118468794604E-4</v>
      </c>
      <c r="U93" s="430">
        <f t="shared" si="61"/>
        <v>2.2825768122205543E-4</v>
      </c>
      <c r="V93" s="430">
        <f t="shared" si="61"/>
        <v>2.084034160441381E-4</v>
      </c>
      <c r="W93" s="430">
        <f t="shared" si="61"/>
        <v>1.589947634628604E-4</v>
      </c>
      <c r="Z93" s="402"/>
      <c r="AA93" s="402"/>
    </row>
    <row r="94" spans="1:28" ht="14.5" thickBot="1" x14ac:dyDescent="0.35">
      <c r="A94" s="626"/>
      <c r="B94" s="639" t="s">
        <v>212</v>
      </c>
      <c r="C94" s="640"/>
      <c r="D94" s="431">
        <f>IFERROR(D26/D18,"")</f>
        <v>0</v>
      </c>
      <c r="E94" s="431">
        <f t="shared" ref="E94:W94" si="62">IFERROR(E26/E18,"")</f>
        <v>0</v>
      </c>
      <c r="F94" s="431">
        <f t="shared" si="62"/>
        <v>0</v>
      </c>
      <c r="G94" s="431">
        <f t="shared" si="62"/>
        <v>0</v>
      </c>
      <c r="H94" s="431">
        <f t="shared" si="62"/>
        <v>0</v>
      </c>
      <c r="I94" s="431">
        <f t="shared" si="62"/>
        <v>0</v>
      </c>
      <c r="J94" s="431">
        <f t="shared" si="62"/>
        <v>0</v>
      </c>
      <c r="K94" s="431">
        <f t="shared" si="62"/>
        <v>0</v>
      </c>
      <c r="L94" s="431">
        <f t="shared" si="62"/>
        <v>0</v>
      </c>
      <c r="M94" s="431">
        <f t="shared" si="62"/>
        <v>0</v>
      </c>
      <c r="N94" s="431">
        <f t="shared" si="62"/>
        <v>0</v>
      </c>
      <c r="O94" s="431">
        <f t="shared" si="62"/>
        <v>3.0256943562212863E-5</v>
      </c>
      <c r="P94" s="431">
        <f t="shared" si="62"/>
        <v>8.4882714206133787E-5</v>
      </c>
      <c r="Q94" s="431">
        <f t="shared" si="62"/>
        <v>1.008312122082274E-4</v>
      </c>
      <c r="R94" s="431">
        <f t="shared" si="62"/>
        <v>1.1483781222365197E-4</v>
      </c>
      <c r="S94" s="431">
        <f t="shared" si="62"/>
        <v>1.1251279469240397E-4</v>
      </c>
      <c r="T94" s="431">
        <f t="shared" si="62"/>
        <v>1.2370974446798685E-4</v>
      </c>
      <c r="U94" s="431">
        <f t="shared" si="62"/>
        <v>1.4807960204383033E-4</v>
      </c>
      <c r="V94" s="431">
        <f t="shared" si="62"/>
        <v>1.386237642529216E-4</v>
      </c>
      <c r="W94" s="431">
        <f t="shared" si="62"/>
        <v>1.1984867038779073E-4</v>
      </c>
      <c r="Z94" s="402"/>
      <c r="AA94" s="402"/>
    </row>
    <row r="95" spans="1:28" x14ac:dyDescent="0.3">
      <c r="S95"/>
      <c r="T95"/>
    </row>
    <row r="97" spans="2:3" x14ac:dyDescent="0.3">
      <c r="B97"/>
      <c r="C97"/>
    </row>
    <row r="98" spans="2:3" x14ac:dyDescent="0.3">
      <c r="B98"/>
      <c r="C98"/>
    </row>
    <row r="99" spans="2:3" x14ac:dyDescent="0.3">
      <c r="B99"/>
      <c r="C99"/>
    </row>
    <row r="100" spans="2:3" x14ac:dyDescent="0.3">
      <c r="B100"/>
      <c r="C100"/>
    </row>
    <row r="101" spans="2:3" x14ac:dyDescent="0.3">
      <c r="B101"/>
      <c r="C101"/>
    </row>
    <row r="102" spans="2:3" x14ac:dyDescent="0.3">
      <c r="B102"/>
      <c r="C102"/>
    </row>
    <row r="103" spans="2:3" x14ac:dyDescent="0.3">
      <c r="B103"/>
      <c r="C103"/>
    </row>
    <row r="104" spans="2:3" x14ac:dyDescent="0.3">
      <c r="B104"/>
      <c r="C104"/>
    </row>
    <row r="105" spans="2:3" x14ac:dyDescent="0.3">
      <c r="B105"/>
      <c r="C105"/>
    </row>
    <row r="106" spans="2:3" x14ac:dyDescent="0.3">
      <c r="B106"/>
      <c r="C106"/>
    </row>
    <row r="107" spans="2:3" x14ac:dyDescent="0.3">
      <c r="B107"/>
      <c r="C107"/>
    </row>
  </sheetData>
  <mergeCells count="25">
    <mergeCell ref="A65:A94"/>
    <mergeCell ref="B78:C78"/>
    <mergeCell ref="B79:C79"/>
    <mergeCell ref="B80:C80"/>
    <mergeCell ref="B81:C81"/>
    <mergeCell ref="B82:C82"/>
    <mergeCell ref="B88:C88"/>
    <mergeCell ref="B89:C89"/>
    <mergeCell ref="B90:C90"/>
    <mergeCell ref="B91:C91"/>
    <mergeCell ref="B92:C92"/>
    <mergeCell ref="B93:C93"/>
    <mergeCell ref="B94:C94"/>
    <mergeCell ref="A39:C39"/>
    <mergeCell ref="A40:A64"/>
    <mergeCell ref="B53:C53"/>
    <mergeCell ref="B54:C54"/>
    <mergeCell ref="B55:C55"/>
    <mergeCell ref="B56:C56"/>
    <mergeCell ref="B57:C57"/>
    <mergeCell ref="B60:C60"/>
    <mergeCell ref="B61:C61"/>
    <mergeCell ref="B62:C62"/>
    <mergeCell ref="B63:C63"/>
    <mergeCell ref="B64:C6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3"/>
  <sheetViews>
    <sheetView showGridLines="0" zoomScale="50" zoomScaleNormal="50" workbookViewId="0">
      <selection activeCell="B93" sqref="B93:C93"/>
    </sheetView>
  </sheetViews>
  <sheetFormatPr defaultColWidth="9.08203125" defaultRowHeight="15" x14ac:dyDescent="0.3"/>
  <cols>
    <col min="1" max="1" width="37.83203125" style="432" bestFit="1" customWidth="1"/>
    <col min="2" max="2" width="9.83203125" style="432" bestFit="1" customWidth="1"/>
    <col min="3" max="3" width="16.25" style="432" customWidth="1"/>
    <col min="4" max="4" width="6.33203125" style="432" customWidth="1"/>
    <col min="5" max="5" width="23.83203125" style="432" bestFit="1" customWidth="1"/>
    <col min="6" max="6" width="10" style="432" customWidth="1"/>
    <col min="7" max="7" width="11.25" style="432" bestFit="1" customWidth="1"/>
    <col min="8" max="8" width="11" style="432" bestFit="1" customWidth="1"/>
    <col min="9" max="10" width="12.08203125" style="432" bestFit="1" customWidth="1"/>
    <col min="11" max="11" width="13.83203125" style="432" customWidth="1"/>
    <col min="12" max="12" width="10.75" style="432" bestFit="1" customWidth="1"/>
    <col min="13" max="13" width="10.33203125" style="432" customWidth="1"/>
    <col min="14" max="14" width="4.58203125" style="432" bestFit="1" customWidth="1"/>
    <col min="15" max="15" width="25.75" style="432" bestFit="1" customWidth="1"/>
    <col min="16" max="17" width="11.25" style="432" bestFit="1" customWidth="1"/>
    <col min="18" max="18" width="9.83203125" style="432" bestFit="1" customWidth="1"/>
    <col min="19" max="20" width="10.83203125" style="432" bestFit="1" customWidth="1"/>
    <col min="21" max="21" width="12.08203125" style="432" bestFit="1" customWidth="1"/>
    <col min="22" max="22" width="9.83203125" style="432" bestFit="1" customWidth="1"/>
    <col min="23" max="16384" width="9.08203125" style="432"/>
  </cols>
  <sheetData>
    <row r="1" spans="1:22" ht="15.5" thickBot="1" x14ac:dyDescent="0.35">
      <c r="D1" s="644" t="s">
        <v>213</v>
      </c>
      <c r="E1" s="645"/>
      <c r="F1" s="645"/>
      <c r="G1" s="645"/>
      <c r="H1" s="645"/>
      <c r="I1" s="645"/>
      <c r="J1" s="645"/>
      <c r="K1" s="646"/>
      <c r="N1" s="647" t="s">
        <v>207</v>
      </c>
      <c r="O1" s="647"/>
      <c r="P1" s="647"/>
      <c r="Q1" s="647"/>
      <c r="R1" s="647"/>
      <c r="S1" s="647"/>
      <c r="T1" s="647"/>
      <c r="U1" s="647"/>
    </row>
    <row r="2" spans="1:22" ht="15" customHeight="1" thickBot="1" x14ac:dyDescent="0.35">
      <c r="A2" s="648" t="s">
        <v>214</v>
      </c>
      <c r="B2" s="649"/>
      <c r="D2" s="650" t="s">
        <v>215</v>
      </c>
      <c r="E2" s="433" t="s">
        <v>216</v>
      </c>
      <c r="F2" s="434" t="s">
        <v>217</v>
      </c>
      <c r="G2" s="435" t="s">
        <v>91</v>
      </c>
      <c r="H2" s="435" t="s">
        <v>92</v>
      </c>
      <c r="I2" s="435" t="s">
        <v>218</v>
      </c>
      <c r="J2" s="435" t="s">
        <v>219</v>
      </c>
      <c r="K2" s="436" t="s">
        <v>220</v>
      </c>
      <c r="N2" s="641" t="s">
        <v>215</v>
      </c>
      <c r="O2" s="433" t="s">
        <v>216</v>
      </c>
      <c r="P2" s="434" t="str">
        <f t="shared" ref="P2:U2" si="0">F2</f>
        <v>Repay</v>
      </c>
      <c r="Q2" s="434" t="str">
        <f t="shared" si="0"/>
        <v>0 DPD</v>
      </c>
      <c r="R2" s="434" t="str">
        <f t="shared" si="0"/>
        <v>1-30 DPD</v>
      </c>
      <c r="S2" s="434" t="str">
        <f t="shared" si="0"/>
        <v>31-90 DPD</v>
      </c>
      <c r="T2" s="434" t="str">
        <f t="shared" si="0"/>
        <v>91-120 DPD</v>
      </c>
      <c r="U2" s="434" t="str">
        <f t="shared" si="0"/>
        <v>120-180 DPD</v>
      </c>
    </row>
    <row r="3" spans="1:22" s="444" customFormat="1" x14ac:dyDescent="0.3">
      <c r="A3" s="437" t="s">
        <v>217</v>
      </c>
      <c r="B3" s="438">
        <v>0</v>
      </c>
      <c r="C3" s="439"/>
      <c r="D3" s="651"/>
      <c r="E3" s="440" t="s">
        <v>217</v>
      </c>
      <c r="F3" s="441">
        <v>1</v>
      </c>
      <c r="G3" s="442">
        <v>0</v>
      </c>
      <c r="H3" s="442">
        <v>0</v>
      </c>
      <c r="I3" s="442">
        <v>0</v>
      </c>
      <c r="J3" s="442">
        <v>0</v>
      </c>
      <c r="K3" s="443">
        <v>0</v>
      </c>
      <c r="N3" s="642"/>
      <c r="O3" s="445" t="str">
        <f t="shared" ref="O3:O8" si="1">E3</f>
        <v>Repay</v>
      </c>
      <c r="P3" s="446">
        <v>1</v>
      </c>
      <c r="Q3" s="447">
        <v>0</v>
      </c>
      <c r="R3" s="447">
        <v>0</v>
      </c>
      <c r="S3" s="447">
        <v>0</v>
      </c>
      <c r="T3" s="447">
        <v>0</v>
      </c>
      <c r="U3" s="448">
        <v>0</v>
      </c>
      <c r="V3" s="432"/>
    </row>
    <row r="4" spans="1:22" x14ac:dyDescent="0.3">
      <c r="A4" s="449" t="s">
        <v>91</v>
      </c>
      <c r="B4" s="450">
        <v>1</v>
      </c>
      <c r="C4" s="439"/>
      <c r="D4" s="651"/>
      <c r="E4" s="451" t="s">
        <v>91</v>
      </c>
      <c r="F4" s="452">
        <f>B13</f>
        <v>0.05</v>
      </c>
      <c r="G4" s="447">
        <f>1-H4-F4+B11</f>
        <v>0.94556566430073674</v>
      </c>
      <c r="H4" s="453">
        <f>Offcn_40!Z80</f>
        <v>4.434335699263197E-3</v>
      </c>
      <c r="I4" s="447">
        <v>0</v>
      </c>
      <c r="J4" s="447">
        <v>0</v>
      </c>
      <c r="K4" s="448">
        <v>0</v>
      </c>
      <c r="N4" s="642"/>
      <c r="O4" s="445" t="str">
        <f t="shared" si="1"/>
        <v>0 DPD</v>
      </c>
      <c r="P4" s="452">
        <f>B13</f>
        <v>0.05</v>
      </c>
      <c r="Q4" s="447">
        <f>1-R4-P4+B11</f>
        <v>0.94239330148369826</v>
      </c>
      <c r="R4" s="453">
        <f>Offcn_40!AA80</f>
        <v>7.6066985163017412E-3</v>
      </c>
      <c r="S4" s="447">
        <v>0</v>
      </c>
      <c r="T4" s="447">
        <v>0</v>
      </c>
      <c r="U4" s="448">
        <v>0</v>
      </c>
    </row>
    <row r="5" spans="1:22" x14ac:dyDescent="0.3">
      <c r="A5" s="454" t="s">
        <v>92</v>
      </c>
      <c r="B5" s="450">
        <v>0</v>
      </c>
      <c r="C5" s="439"/>
      <c r="D5" s="651"/>
      <c r="E5" s="451" t="s">
        <v>92</v>
      </c>
      <c r="F5" s="447">
        <v>0</v>
      </c>
      <c r="G5" s="447">
        <f>(1-$I$5)/3</f>
        <v>8.0833156491669514E-2</v>
      </c>
      <c r="H5" s="447">
        <f>(1-$I$5)*2/3</f>
        <v>0.16166631298333903</v>
      </c>
      <c r="I5" s="453">
        <f>Offcn_40!Z81</f>
        <v>0.75750053052499144</v>
      </c>
      <c r="J5" s="447">
        <v>0</v>
      </c>
      <c r="K5" s="448">
        <v>0</v>
      </c>
      <c r="N5" s="642"/>
      <c r="O5" s="445" t="str">
        <f t="shared" si="1"/>
        <v>1-30 DPD</v>
      </c>
      <c r="P5" s="447">
        <v>0</v>
      </c>
      <c r="Q5" s="447">
        <f>(1-$S$5)/3</f>
        <v>0.12177745791956189</v>
      </c>
      <c r="R5" s="447">
        <f>(1-$S$5)*2/3</f>
        <v>0.24355491583912378</v>
      </c>
      <c r="S5" s="453">
        <f>Offcn_40!AA81</f>
        <v>0.63466762624131434</v>
      </c>
      <c r="T5" s="447">
        <v>0</v>
      </c>
      <c r="U5" s="448">
        <v>0</v>
      </c>
    </row>
    <row r="6" spans="1:22" x14ac:dyDescent="0.3">
      <c r="A6" s="454" t="s">
        <v>93</v>
      </c>
      <c r="B6" s="450">
        <v>0</v>
      </c>
      <c r="C6" s="439"/>
      <c r="D6" s="651"/>
      <c r="E6" s="451" t="s">
        <v>218</v>
      </c>
      <c r="F6" s="447">
        <v>0</v>
      </c>
      <c r="G6" s="447">
        <v>0</v>
      </c>
      <c r="H6" s="447">
        <f>(1-$J$6)/3</f>
        <v>9.1955820785492803E-2</v>
      </c>
      <c r="I6" s="447">
        <f>(1-$J$6)*2/3</f>
        <v>0.18391164157098561</v>
      </c>
      <c r="J6" s="453">
        <f>Offcn_40!Z82</f>
        <v>0.72413253764352159</v>
      </c>
      <c r="K6" s="448">
        <v>0</v>
      </c>
      <c r="N6" s="642"/>
      <c r="O6" s="445" t="str">
        <f t="shared" si="1"/>
        <v>31-90 DPD</v>
      </c>
      <c r="P6" s="447">
        <v>0</v>
      </c>
      <c r="Q6" s="447">
        <f>G6</f>
        <v>0</v>
      </c>
      <c r="R6" s="447">
        <f>(1-$T$6)/3</f>
        <v>3.4188297792268174E-2</v>
      </c>
      <c r="S6" s="447">
        <f>(1-$T$6)*2/3</f>
        <v>6.8376595584536348E-2</v>
      </c>
      <c r="T6" s="453">
        <f>Offcn_40!AA82</f>
        <v>0.89743510662319548</v>
      </c>
      <c r="U6" s="448">
        <f>K6</f>
        <v>0</v>
      </c>
    </row>
    <row r="7" spans="1:22" x14ac:dyDescent="0.3">
      <c r="A7" s="454" t="s">
        <v>94</v>
      </c>
      <c r="B7" s="450">
        <v>0</v>
      </c>
      <c r="C7" s="439"/>
      <c r="D7" s="651"/>
      <c r="E7" s="451" t="s">
        <v>219</v>
      </c>
      <c r="F7" s="447">
        <v>0</v>
      </c>
      <c r="G7" s="455">
        <v>0</v>
      </c>
      <c r="H7" s="455">
        <v>0</v>
      </c>
      <c r="I7" s="455">
        <f>(1-$K$7)/3</f>
        <v>5.0148968849572463E-2</v>
      </c>
      <c r="J7" s="455">
        <f>(1-$K$7)*2/3</f>
        <v>0.10029793769914493</v>
      </c>
      <c r="K7" s="456">
        <f>Offcn_40!Z83</f>
        <v>0.8495530934512826</v>
      </c>
      <c r="N7" s="642"/>
      <c r="O7" s="445" t="str">
        <f t="shared" si="1"/>
        <v>91-120 DPD</v>
      </c>
      <c r="P7" s="447">
        <v>0</v>
      </c>
      <c r="Q7" s="455">
        <f>G7</f>
        <v>0</v>
      </c>
      <c r="R7" s="455">
        <f>H7</f>
        <v>0</v>
      </c>
      <c r="S7" s="455">
        <f>I7</f>
        <v>5.0148968849572463E-2</v>
      </c>
      <c r="T7" s="455">
        <f>J7</f>
        <v>0.10029793769914493</v>
      </c>
      <c r="U7" s="456">
        <f>K7</f>
        <v>0.8495530934512826</v>
      </c>
    </row>
    <row r="8" spans="1:22" x14ac:dyDescent="0.3">
      <c r="A8" s="457" t="s">
        <v>221</v>
      </c>
      <c r="B8" s="458">
        <v>0</v>
      </c>
      <c r="C8" s="439"/>
      <c r="D8" s="651"/>
      <c r="E8" s="451" t="s">
        <v>220</v>
      </c>
      <c r="F8" s="447">
        <v>0</v>
      </c>
      <c r="G8" s="447">
        <v>0</v>
      </c>
      <c r="H8" s="447">
        <v>0</v>
      </c>
      <c r="I8" s="447">
        <v>0</v>
      </c>
      <c r="J8" s="447">
        <v>0</v>
      </c>
      <c r="K8" s="448">
        <v>1</v>
      </c>
      <c r="N8" s="642"/>
      <c r="O8" s="445" t="str">
        <f t="shared" si="1"/>
        <v>120-180 DPD</v>
      </c>
      <c r="P8" s="447">
        <v>0</v>
      </c>
      <c r="Q8" s="447">
        <v>0</v>
      </c>
      <c r="R8" s="447">
        <v>0</v>
      </c>
      <c r="S8" s="447">
        <v>0</v>
      </c>
      <c r="T8" s="447">
        <v>0</v>
      </c>
      <c r="U8" s="448">
        <v>1</v>
      </c>
    </row>
    <row r="9" spans="1:22" x14ac:dyDescent="0.3">
      <c r="D9" s="651"/>
      <c r="E9" s="459"/>
      <c r="F9" s="460"/>
      <c r="G9" s="460"/>
      <c r="H9" s="460"/>
      <c r="I9" s="460"/>
      <c r="J9" s="460"/>
      <c r="K9" s="461"/>
      <c r="N9" s="642"/>
      <c r="O9" s="459"/>
      <c r="P9" s="460"/>
      <c r="Q9" s="460"/>
      <c r="R9" s="460"/>
      <c r="S9" s="460"/>
      <c r="T9" s="460"/>
      <c r="U9" s="461"/>
    </row>
    <row r="10" spans="1:22" x14ac:dyDescent="0.3">
      <c r="D10" s="651"/>
      <c r="E10" s="462" t="s">
        <v>222</v>
      </c>
      <c r="F10" s="463" t="str">
        <f t="shared" ref="F10:K10" si="2">F2</f>
        <v>Repay</v>
      </c>
      <c r="G10" s="463" t="str">
        <f t="shared" si="2"/>
        <v>0 DPD</v>
      </c>
      <c r="H10" s="463" t="str">
        <f t="shared" si="2"/>
        <v>1-30 DPD</v>
      </c>
      <c r="I10" s="463" t="str">
        <f t="shared" si="2"/>
        <v>31-90 DPD</v>
      </c>
      <c r="J10" s="463" t="str">
        <f t="shared" si="2"/>
        <v>91-120 DPD</v>
      </c>
      <c r="K10" s="463" t="str">
        <f t="shared" si="2"/>
        <v>120-180 DPD</v>
      </c>
      <c r="N10" s="642"/>
      <c r="O10" s="462" t="s">
        <v>222</v>
      </c>
      <c r="P10" s="463" t="str">
        <f>'Prediction_Offcn (2)'!P2</f>
        <v>Repay</v>
      </c>
      <c r="Q10" s="464" t="str">
        <f>'Prediction_Offcn (2)'!Q2</f>
        <v>0 DPD</v>
      </c>
      <c r="R10" s="464" t="str">
        <f>'Prediction_Offcn (2)'!R2</f>
        <v>1-30 DPD</v>
      </c>
      <c r="S10" s="464" t="str">
        <f>'Prediction_Offcn (2)'!S2</f>
        <v>31-90 DPD</v>
      </c>
      <c r="T10" s="464" t="str">
        <f>'Prediction_Offcn (2)'!T2</f>
        <v>91-120 DPD</v>
      </c>
      <c r="U10" s="465" t="str">
        <f>'Prediction_Offcn (2)'!U2</f>
        <v>120-180 DPD</v>
      </c>
    </row>
    <row r="11" spans="1:22" x14ac:dyDescent="0.3">
      <c r="A11" s="466" t="s">
        <v>223</v>
      </c>
      <c r="B11" s="467"/>
      <c r="D11" s="651"/>
      <c r="E11" s="445" t="str">
        <f t="shared" ref="E11:E16" si="3">E3</f>
        <v>Repay</v>
      </c>
      <c r="F11" s="447">
        <f t="array" ref="F11:K16">MMULT(F3:K8,MMULT(F3:K8,MMULT(F3:K8,MMULT(F3:K8,MMULT(F3:K8,MMULT(F3:K8,MMULT(F3:K8,MMULT(F3:K8,MMULT(F3:K8,MMULT(F3:K8,MMULT(F3:K8,F3:K8)))))))))))</f>
        <v>1</v>
      </c>
      <c r="G11" s="447">
        <v>0</v>
      </c>
      <c r="H11" s="447">
        <v>0</v>
      </c>
      <c r="I11" s="447">
        <v>0</v>
      </c>
      <c r="J11" s="447">
        <v>0</v>
      </c>
      <c r="K11" s="468">
        <v>0</v>
      </c>
      <c r="L11" s="472"/>
      <c r="M11" s="472"/>
      <c r="N11" s="642"/>
      <c r="O11" s="445" t="str">
        <f>'Prediction_Offcn (2)'!O3</f>
        <v>Repay</v>
      </c>
      <c r="P11" s="447">
        <f t="array" ref="P11:U16">MMULT(P3:U8,MMULT(P3:U8,MMULT(P3:U8,MMULT(P3:U8,MMULT(P3:U8,MMULT(P3:U8,MMULT(P3:U8,MMULT(P3:U8,MMULT(P3:U8,MMULT(P3:U8,MMULT(P3:U8,P3:U8)))))))))))</f>
        <v>1</v>
      </c>
      <c r="Q11" s="447">
        <v>0</v>
      </c>
      <c r="R11" s="447">
        <v>0</v>
      </c>
      <c r="S11" s="447">
        <v>0</v>
      </c>
      <c r="T11" s="447">
        <v>0</v>
      </c>
      <c r="U11" s="468">
        <v>0</v>
      </c>
    </row>
    <row r="12" spans="1:22" x14ac:dyDescent="0.3">
      <c r="A12" s="466" t="s">
        <v>224</v>
      </c>
      <c r="B12" s="473">
        <v>0.1</v>
      </c>
      <c r="D12" s="651"/>
      <c r="E12" s="445" t="str">
        <f t="shared" si="3"/>
        <v>0 DPD</v>
      </c>
      <c r="F12" s="447">
        <v>0.45017839158898038</v>
      </c>
      <c r="G12" s="447">
        <v>0.51380362822475334</v>
      </c>
      <c r="H12" s="447">
        <v>3.3130238853949058E-3</v>
      </c>
      <c r="I12" s="447">
        <v>3.4876853394535832E-3</v>
      </c>
      <c r="J12" s="447">
        <v>2.9837732481094162E-3</v>
      </c>
      <c r="K12" s="468">
        <v>2.6233497713307897E-2</v>
      </c>
      <c r="L12" s="472"/>
      <c r="M12" s="472"/>
      <c r="N12" s="642"/>
      <c r="O12" s="445" t="str">
        <f>'Prediction_Offcn (2)'!O4</f>
        <v>0 DPD</v>
      </c>
      <c r="P12" s="447">
        <v>0.44440218531803488</v>
      </c>
      <c r="Q12" s="447">
        <v>0.49827359455996728</v>
      </c>
      <c r="R12" s="447">
        <v>5.6249366897125454E-3</v>
      </c>
      <c r="S12" s="447">
        <v>4.3426614876100229E-3</v>
      </c>
      <c r="T12" s="447">
        <v>4.6200281568980301E-3</v>
      </c>
      <c r="U12" s="468">
        <v>4.2736593787777402E-2</v>
      </c>
    </row>
    <row r="13" spans="1:22" x14ac:dyDescent="0.3">
      <c r="A13" s="474" t="s">
        <v>225</v>
      </c>
      <c r="B13" s="473">
        <v>0.05</v>
      </c>
      <c r="D13" s="651"/>
      <c r="E13" s="445" t="str">
        <f t="shared" si="3"/>
        <v>1-30 DPD</v>
      </c>
      <c r="F13" s="447">
        <v>4.4052394043840822E-2</v>
      </c>
      <c r="G13" s="447">
        <v>6.0392851680864675E-2</v>
      </c>
      <c r="H13" s="447">
        <v>4.5406224413388984E-4</v>
      </c>
      <c r="I13" s="447">
        <v>6.4066725762570217E-4</v>
      </c>
      <c r="J13" s="447">
        <v>7.8009548016654245E-4</v>
      </c>
      <c r="K13" s="469">
        <v>0.89367992929336826</v>
      </c>
      <c r="L13" s="472"/>
      <c r="M13" s="472"/>
      <c r="N13" s="642"/>
      <c r="O13" s="451" t="str">
        <f>'Prediction_Offcn (2)'!O5</f>
        <v>1-30 DPD</v>
      </c>
      <c r="P13" s="447">
        <v>6.7601264398480965E-2</v>
      </c>
      <c r="Q13" s="447">
        <v>9.0050958318340299E-2</v>
      </c>
      <c r="R13" s="447">
        <v>1.0206189968979364E-3</v>
      </c>
      <c r="S13" s="447">
        <v>8.0142212719909174E-4</v>
      </c>
      <c r="T13" s="447">
        <v>8.8771543519820264E-4</v>
      </c>
      <c r="U13" s="469">
        <v>0.8396380207238836</v>
      </c>
    </row>
    <row r="14" spans="1:22" x14ac:dyDescent="0.3">
      <c r="D14" s="651"/>
      <c r="E14" s="445" t="str">
        <f t="shared" si="3"/>
        <v>31-90 DPD</v>
      </c>
      <c r="F14" s="447">
        <v>4.7008655238552199E-3</v>
      </c>
      <c r="G14" s="447">
        <v>7.7178182976899079E-3</v>
      </c>
      <c r="H14" s="447">
        <v>7.7772993088905205E-5</v>
      </c>
      <c r="I14" s="447">
        <v>1.5234921815942396E-4</v>
      </c>
      <c r="J14" s="447">
        <v>2.3084736963018777E-4</v>
      </c>
      <c r="K14" s="468">
        <v>0.98712034659757619</v>
      </c>
      <c r="L14" s="472"/>
      <c r="M14" s="472"/>
      <c r="N14" s="642"/>
      <c r="O14" s="451" t="str">
        <f>'Prediction_Offcn (2)'!O6</f>
        <v>31-90 DPD</v>
      </c>
      <c r="P14" s="447">
        <v>2.3965672241503702E-3</v>
      </c>
      <c r="Q14" s="447">
        <v>3.7450516327792909E-3</v>
      </c>
      <c r="R14" s="447">
        <v>4.31710350569824E-5</v>
      </c>
      <c r="S14" s="447">
        <v>3.6305288293302349E-5</v>
      </c>
      <c r="T14" s="447">
        <v>4.6382761302780911E-5</v>
      </c>
      <c r="U14" s="468">
        <v>0.99373252205841722</v>
      </c>
    </row>
    <row r="15" spans="1:22" x14ac:dyDescent="0.3">
      <c r="D15" s="651"/>
      <c r="E15" s="445" t="str">
        <f t="shared" si="3"/>
        <v>91-120 DPD</v>
      </c>
      <c r="F15" s="447">
        <v>2.3661206018070176E-4</v>
      </c>
      <c r="G15" s="447">
        <v>4.5726400424026361E-4</v>
      </c>
      <c r="H15" s="447">
        <v>6.5582503469091997E-6</v>
      </c>
      <c r="I15" s="447">
        <v>1.5987069972388219E-5</v>
      </c>
      <c r="J15" s="447">
        <v>2.6631453743160327E-5</v>
      </c>
      <c r="K15" s="468">
        <v>0.99925694716151658</v>
      </c>
      <c r="L15" s="472"/>
      <c r="M15" s="472"/>
      <c r="N15" s="642"/>
      <c r="O15" s="451" t="str">
        <f>'Prediction_Offcn (2)'!O7</f>
        <v>91-120 DPD</v>
      </c>
      <c r="P15" s="447">
        <v>1.2121047942132561E-4</v>
      </c>
      <c r="Q15" s="447">
        <v>2.2264113523962496E-4</v>
      </c>
      <c r="R15" s="447">
        <v>2.6721686002523608E-6</v>
      </c>
      <c r="S15" s="447">
        <v>2.591883953016503E-6</v>
      </c>
      <c r="T15" s="447">
        <v>4.1370797526218501E-6</v>
      </c>
      <c r="U15" s="468">
        <v>0.99964674725303315</v>
      </c>
    </row>
    <row r="16" spans="1:22" ht="15.75" customHeight="1" thickBot="1" x14ac:dyDescent="0.35">
      <c r="A16" s="432" t="s">
        <v>226</v>
      </c>
      <c r="D16" s="651"/>
      <c r="E16" s="445" t="str">
        <f t="shared" si="3"/>
        <v>120-180 DPD</v>
      </c>
      <c r="F16" s="470">
        <v>0</v>
      </c>
      <c r="G16" s="470">
        <v>0</v>
      </c>
      <c r="H16" s="470">
        <v>0</v>
      </c>
      <c r="I16" s="470">
        <v>0</v>
      </c>
      <c r="J16" s="470">
        <v>0</v>
      </c>
      <c r="K16" s="471">
        <v>1</v>
      </c>
      <c r="L16" s="472"/>
      <c r="M16" s="472"/>
      <c r="N16" s="642"/>
      <c r="O16" s="475" t="str">
        <f>'Prediction_Offcn (2)'!O8</f>
        <v>120-180 DPD</v>
      </c>
      <c r="P16" s="470">
        <v>0</v>
      </c>
      <c r="Q16" s="470">
        <v>0</v>
      </c>
      <c r="R16" s="470">
        <v>0</v>
      </c>
      <c r="S16" s="470">
        <v>0</v>
      </c>
      <c r="T16" s="470">
        <v>0</v>
      </c>
      <c r="U16" s="471">
        <v>1</v>
      </c>
    </row>
    <row r="17" spans="1:21" ht="15.75" customHeight="1" thickBot="1" x14ac:dyDescent="0.35">
      <c r="A17" s="432" t="s">
        <v>87</v>
      </c>
      <c r="B17" s="476">
        <f>Offcn_40!Z72</f>
        <v>2.9514178582604352E-4</v>
      </c>
      <c r="D17" s="643"/>
      <c r="E17" s="477" t="s">
        <v>85</v>
      </c>
      <c r="F17" s="478"/>
      <c r="G17" s="478">
        <f>K12</f>
        <v>2.6233497713307897E-2</v>
      </c>
      <c r="H17" s="478">
        <f>K13</f>
        <v>0.89367992929336826</v>
      </c>
      <c r="I17" s="478">
        <f>K14</f>
        <v>0.98712034659757619</v>
      </c>
      <c r="J17" s="478">
        <f>K15</f>
        <v>0.99925694716151658</v>
      </c>
      <c r="K17" s="479">
        <f>K16</f>
        <v>1</v>
      </c>
      <c r="L17" s="472"/>
      <c r="M17" s="472"/>
      <c r="N17" s="643"/>
      <c r="O17" s="477" t="s">
        <v>85</v>
      </c>
      <c r="P17" s="478"/>
      <c r="Q17" s="478">
        <f>U12</f>
        <v>4.2736593787777402E-2</v>
      </c>
      <c r="R17" s="478">
        <f>U13</f>
        <v>0.8396380207238836</v>
      </c>
      <c r="S17" s="478">
        <f>U14</f>
        <v>0.99373252205841722</v>
      </c>
      <c r="T17" s="478">
        <f>U15</f>
        <v>0.99964674725303315</v>
      </c>
      <c r="U17" s="479">
        <f>U16</f>
        <v>1</v>
      </c>
    </row>
    <row r="18" spans="1:21" ht="15.75" customHeight="1" x14ac:dyDescent="0.3">
      <c r="A18" s="444" t="s">
        <v>96</v>
      </c>
      <c r="B18" s="439">
        <f>Offcn_40!AA72</f>
        <v>1.0021589188302013E-3</v>
      </c>
      <c r="C18" s="439"/>
      <c r="D18" s="641" t="s">
        <v>227</v>
      </c>
      <c r="E18" s="433" t="s">
        <v>216</v>
      </c>
      <c r="F18" s="434" t="str">
        <f t="shared" ref="F18:K18" si="4">F2</f>
        <v>Repay</v>
      </c>
      <c r="G18" s="434" t="str">
        <f t="shared" si="4"/>
        <v>0 DPD</v>
      </c>
      <c r="H18" s="434" t="str">
        <f t="shared" si="4"/>
        <v>1-30 DPD</v>
      </c>
      <c r="I18" s="434" t="str">
        <f t="shared" si="4"/>
        <v>31-90 DPD</v>
      </c>
      <c r="J18" s="434" t="str">
        <f t="shared" si="4"/>
        <v>91-120 DPD</v>
      </c>
      <c r="K18" s="434" t="str">
        <f t="shared" si="4"/>
        <v>120-180 DPD</v>
      </c>
      <c r="L18" s="472"/>
      <c r="M18" s="472"/>
      <c r="N18" s="641"/>
      <c r="O18" s="433" t="s">
        <v>216</v>
      </c>
      <c r="P18" s="434" t="str">
        <f>'Prediction_Offcn (2)'!P2</f>
        <v>Repay</v>
      </c>
      <c r="Q18" s="435" t="str">
        <f>'Prediction_Offcn (2)'!Q2</f>
        <v>0 DPD</v>
      </c>
      <c r="R18" s="435" t="str">
        <f>'Prediction_Offcn (2)'!R2</f>
        <v>1-30 DPD</v>
      </c>
      <c r="S18" s="435" t="str">
        <f>'Prediction_Offcn (2)'!S2</f>
        <v>31-90 DPD</v>
      </c>
      <c r="T18" s="435" t="str">
        <f>'Prediction_Offcn (2)'!T2</f>
        <v>91-120 DPD</v>
      </c>
      <c r="U18" s="436" t="str">
        <f>'Prediction_Offcn (2)'!U2</f>
        <v>120-180 DPD</v>
      </c>
    </row>
    <row r="19" spans="1:21" ht="15.75" customHeight="1" x14ac:dyDescent="0.3">
      <c r="A19" s="444"/>
      <c r="B19" s="439"/>
      <c r="C19" s="439"/>
      <c r="D19" s="642"/>
      <c r="E19" s="445" t="str">
        <f t="shared" ref="E19:E24" si="5">E3</f>
        <v>Repay</v>
      </c>
      <c r="F19" s="446">
        <v>1</v>
      </c>
      <c r="G19" s="447">
        <v>0</v>
      </c>
      <c r="H19" s="447">
        <v>0</v>
      </c>
      <c r="I19" s="447">
        <v>0</v>
      </c>
      <c r="J19" s="447">
        <v>0</v>
      </c>
      <c r="K19" s="448">
        <v>0</v>
      </c>
      <c r="L19" s="472"/>
      <c r="M19" s="472"/>
      <c r="N19" s="642"/>
      <c r="O19" s="445" t="str">
        <f>'Prediction_Offcn (2)'!O3</f>
        <v>Repay</v>
      </c>
      <c r="P19" s="446">
        <v>1</v>
      </c>
      <c r="Q19" s="447">
        <v>0</v>
      </c>
      <c r="R19" s="447">
        <v>0</v>
      </c>
      <c r="S19" s="447">
        <v>0</v>
      </c>
      <c r="T19" s="447">
        <v>0</v>
      </c>
      <c r="U19" s="448">
        <v>0</v>
      </c>
    </row>
    <row r="20" spans="1:21" ht="15.75" customHeight="1" x14ac:dyDescent="0.3">
      <c r="A20" s="444" t="s">
        <v>126</v>
      </c>
      <c r="B20" s="439" t="s">
        <v>87</v>
      </c>
      <c r="C20" s="439"/>
      <c r="D20" s="642"/>
      <c r="E20" s="445" t="str">
        <f t="shared" si="5"/>
        <v>0 DPD</v>
      </c>
      <c r="F20" s="480">
        <f>B13</f>
        <v>0.05</v>
      </c>
      <c r="G20" s="455">
        <f>1-H20-F20+B12</f>
        <v>1.0455656643007367</v>
      </c>
      <c r="H20" s="481">
        <f>H4</f>
        <v>4.434335699263197E-3</v>
      </c>
      <c r="I20" s="447">
        <v>0</v>
      </c>
      <c r="J20" s="447">
        <v>0</v>
      </c>
      <c r="K20" s="448">
        <v>0</v>
      </c>
      <c r="L20" s="472"/>
      <c r="M20" s="472"/>
      <c r="N20" s="642"/>
      <c r="O20" s="445" t="str">
        <f>'Prediction_Offcn (2)'!O4</f>
        <v>0 DPD</v>
      </c>
      <c r="P20" s="480">
        <f>B13</f>
        <v>0.05</v>
      </c>
      <c r="Q20" s="455">
        <f>1-R20-P20+B12</f>
        <v>1.0423933014836984</v>
      </c>
      <c r="R20" s="481">
        <f>R4</f>
        <v>7.6066985163017412E-3</v>
      </c>
      <c r="S20" s="447">
        <v>0</v>
      </c>
      <c r="T20" s="447">
        <v>0</v>
      </c>
      <c r="U20" s="448">
        <v>0</v>
      </c>
    </row>
    <row r="21" spans="1:21" ht="15.75" customHeight="1" x14ac:dyDescent="0.3">
      <c r="A21" s="444" t="s">
        <v>85</v>
      </c>
      <c r="B21" s="439">
        <v>-3.8569751968197301</v>
      </c>
      <c r="C21" s="439"/>
      <c r="D21" s="642"/>
      <c r="E21" s="445" t="str">
        <f t="shared" si="5"/>
        <v>1-30 DPD</v>
      </c>
      <c r="F21" s="447">
        <v>0</v>
      </c>
      <c r="G21" s="447">
        <f>(1-$I$5)/3</f>
        <v>8.0833156491669514E-2</v>
      </c>
      <c r="H21" s="447">
        <f>(1-$I$5)*2/3</f>
        <v>0.16166631298333903</v>
      </c>
      <c r="I21" s="481">
        <f>I5</f>
        <v>0.75750053052499144</v>
      </c>
      <c r="J21" s="447">
        <v>0</v>
      </c>
      <c r="K21" s="448">
        <v>0</v>
      </c>
      <c r="L21" s="472"/>
      <c r="M21" s="472"/>
      <c r="N21" s="642"/>
      <c r="O21" s="451" t="str">
        <f>'Prediction_Offcn (2)'!O5</f>
        <v>1-30 DPD</v>
      </c>
      <c r="P21" s="447">
        <v>0</v>
      </c>
      <c r="Q21" s="447">
        <f>(1-$S$5)/3</f>
        <v>0.12177745791956189</v>
      </c>
      <c r="R21" s="447">
        <f>(1-$S$5)*2/3</f>
        <v>0.24355491583912378</v>
      </c>
      <c r="S21" s="481">
        <f>S5</f>
        <v>0.63466762624131434</v>
      </c>
      <c r="T21" s="447">
        <v>0</v>
      </c>
      <c r="U21" s="448">
        <v>0</v>
      </c>
    </row>
    <row r="22" spans="1:21" ht="15.75" customHeight="1" x14ac:dyDescent="0.3">
      <c r="A22" s="444" t="s">
        <v>226</v>
      </c>
      <c r="B22" s="439">
        <v>0.65565661346478898</v>
      </c>
      <c r="C22" s="439"/>
      <c r="D22" s="642"/>
      <c r="E22" s="445" t="str">
        <f t="shared" si="5"/>
        <v>31-90 DPD</v>
      </c>
      <c r="F22" s="447">
        <v>0</v>
      </c>
      <c r="G22" s="447">
        <v>0</v>
      </c>
      <c r="H22" s="447">
        <f>(1-$J$22)/3</f>
        <v>9.1955820785492803E-2</v>
      </c>
      <c r="I22" s="447">
        <f>(1-$J$22)*2/3</f>
        <v>0.18391164157098561</v>
      </c>
      <c r="J22" s="481">
        <f>J6</f>
        <v>0.72413253764352159</v>
      </c>
      <c r="K22" s="448">
        <v>0</v>
      </c>
      <c r="L22" s="472"/>
      <c r="M22" s="472"/>
      <c r="N22" s="642"/>
      <c r="O22" s="451" t="str">
        <f>'Prediction_Offcn (2)'!O6</f>
        <v>31-90 DPD</v>
      </c>
      <c r="P22" s="447">
        <v>0</v>
      </c>
      <c r="Q22" s="447">
        <f t="shared" ref="Q22:T23" si="6">G22</f>
        <v>0</v>
      </c>
      <c r="R22" s="447">
        <f>(1-$T$22)/3</f>
        <v>3.4188297792268174E-2</v>
      </c>
      <c r="S22" s="447">
        <f>(1-$T$22)*2/3</f>
        <v>6.8376595584536348E-2</v>
      </c>
      <c r="T22" s="481">
        <f>T6</f>
        <v>0.89743510662319548</v>
      </c>
      <c r="U22" s="448">
        <f>K22</f>
        <v>0</v>
      </c>
    </row>
    <row r="23" spans="1:21" ht="15.75" customHeight="1" x14ac:dyDescent="0.3">
      <c r="A23" s="444"/>
      <c r="B23" s="439" t="s">
        <v>96</v>
      </c>
      <c r="C23" s="439"/>
      <c r="D23" s="642"/>
      <c r="E23" s="445" t="str">
        <f t="shared" si="5"/>
        <v>91-120 DPD</v>
      </c>
      <c r="F23" s="447">
        <v>0</v>
      </c>
      <c r="G23" s="455">
        <v>0</v>
      </c>
      <c r="H23" s="455">
        <v>0</v>
      </c>
      <c r="I23" s="455">
        <f>(1-$K$7)/3</f>
        <v>5.0148968849572463E-2</v>
      </c>
      <c r="J23" s="455">
        <f>(1-$K$7)*2/3</f>
        <v>0.10029793769914493</v>
      </c>
      <c r="K23" s="456">
        <v>0.8</v>
      </c>
      <c r="L23" s="472"/>
      <c r="M23" s="472"/>
      <c r="N23" s="642"/>
      <c r="O23" s="451" t="str">
        <f>'Prediction_Offcn (2)'!O7</f>
        <v>91-120 DPD</v>
      </c>
      <c r="P23" s="447">
        <v>0</v>
      </c>
      <c r="Q23" s="455">
        <f t="shared" si="6"/>
        <v>0</v>
      </c>
      <c r="R23" s="455">
        <f t="shared" si="6"/>
        <v>0</v>
      </c>
      <c r="S23" s="455">
        <f t="shared" si="6"/>
        <v>5.0148968849572463E-2</v>
      </c>
      <c r="T23" s="455">
        <f t="shared" si="6"/>
        <v>0.10029793769914493</v>
      </c>
      <c r="U23" s="456">
        <f>K23</f>
        <v>0.8</v>
      </c>
    </row>
    <row r="24" spans="1:21" ht="15.75" customHeight="1" x14ac:dyDescent="0.3">
      <c r="A24" s="444" t="s">
        <v>85</v>
      </c>
      <c r="B24" s="482">
        <v>-3.2723849861887269</v>
      </c>
      <c r="C24" s="439"/>
      <c r="D24" s="642"/>
      <c r="E24" s="445" t="str">
        <f t="shared" si="5"/>
        <v>120-180 DPD</v>
      </c>
      <c r="F24" s="447">
        <v>0</v>
      </c>
      <c r="G24" s="447">
        <v>0</v>
      </c>
      <c r="H24" s="447">
        <v>0</v>
      </c>
      <c r="I24" s="447">
        <v>0</v>
      </c>
      <c r="J24" s="447">
        <v>0</v>
      </c>
      <c r="K24" s="448">
        <v>1</v>
      </c>
      <c r="L24" s="472"/>
      <c r="M24" s="472"/>
      <c r="N24" s="642"/>
      <c r="O24" s="451" t="str">
        <f>'Prediction_Offcn (2)'!O8</f>
        <v>120-180 DPD</v>
      </c>
      <c r="P24" s="447">
        <v>0</v>
      </c>
      <c r="Q24" s="447">
        <v>0</v>
      </c>
      <c r="R24" s="447">
        <v>0</v>
      </c>
      <c r="S24" s="447">
        <v>0</v>
      </c>
      <c r="T24" s="447">
        <v>0</v>
      </c>
      <c r="U24" s="448">
        <v>1</v>
      </c>
    </row>
    <row r="25" spans="1:21" ht="15.75" customHeight="1" x14ac:dyDescent="0.3">
      <c r="A25" s="444" t="s">
        <v>226</v>
      </c>
      <c r="B25" s="482">
        <v>0.50161299807634085</v>
      </c>
      <c r="C25" s="439"/>
      <c r="D25" s="642"/>
      <c r="E25" s="483"/>
      <c r="F25" s="484"/>
      <c r="G25" s="484"/>
      <c r="H25" s="484"/>
      <c r="I25" s="484"/>
      <c r="J25" s="484"/>
      <c r="K25" s="469"/>
      <c r="L25" s="472"/>
      <c r="M25" s="472"/>
      <c r="N25" s="642"/>
      <c r="O25" s="483"/>
      <c r="P25" s="484"/>
      <c r="Q25" s="484"/>
      <c r="R25" s="484"/>
      <c r="S25" s="484"/>
      <c r="T25" s="484"/>
      <c r="U25" s="469"/>
    </row>
    <row r="26" spans="1:21" x14ac:dyDescent="0.3">
      <c r="A26" s="444"/>
      <c r="B26" s="439"/>
      <c r="C26" s="439"/>
      <c r="D26" s="642"/>
      <c r="E26" s="459"/>
      <c r="F26" s="460"/>
      <c r="G26" s="460"/>
      <c r="H26" s="460"/>
      <c r="I26" s="460"/>
      <c r="J26" s="460"/>
      <c r="K26" s="461"/>
      <c r="L26" s="472"/>
      <c r="M26" s="472"/>
      <c r="N26" s="642"/>
      <c r="O26" s="459" t="s">
        <v>228</v>
      </c>
      <c r="P26" s="460"/>
      <c r="Q26" s="460"/>
      <c r="R26" s="460"/>
      <c r="S26" s="460"/>
      <c r="T26" s="460"/>
      <c r="U26" s="461"/>
    </row>
    <row r="27" spans="1:21" x14ac:dyDescent="0.3">
      <c r="A27" s="444"/>
      <c r="B27" s="439"/>
      <c r="C27" s="439"/>
      <c r="D27" s="642"/>
      <c r="E27" s="462" t="s">
        <v>222</v>
      </c>
      <c r="F27" s="463" t="str">
        <f>'Prediction_Offcn (2)'!F18</f>
        <v>Repay</v>
      </c>
      <c r="G27" s="464" t="str">
        <f>'Prediction_Offcn (2)'!G18</f>
        <v>0 DPD</v>
      </c>
      <c r="H27" s="464" t="str">
        <f>'Prediction_Offcn (2)'!H18</f>
        <v>1-30 DPD</v>
      </c>
      <c r="I27" s="464" t="str">
        <f>'Prediction_Offcn (2)'!I18</f>
        <v>31-90 DPD</v>
      </c>
      <c r="J27" s="464" t="str">
        <f>'Prediction_Offcn (2)'!J18</f>
        <v>91-120 DPD</v>
      </c>
      <c r="K27" s="485" t="str">
        <f>'Prediction_Offcn (2)'!K18</f>
        <v>120-180 DPD</v>
      </c>
      <c r="L27" s="472"/>
      <c r="M27" s="472"/>
      <c r="N27" s="642"/>
      <c r="O27" s="462" t="s">
        <v>222</v>
      </c>
      <c r="P27" s="463" t="str">
        <f>'Prediction_Offcn (2)'!P2</f>
        <v>Repay</v>
      </c>
      <c r="Q27" s="464" t="str">
        <f>'Prediction_Offcn (2)'!Q2</f>
        <v>0 DPD</v>
      </c>
      <c r="R27" s="464" t="str">
        <f>'Prediction_Offcn (2)'!R2</f>
        <v>1-30 DPD</v>
      </c>
      <c r="S27" s="464" t="str">
        <f>'Prediction_Offcn (2)'!S2</f>
        <v>31-90 DPD</v>
      </c>
      <c r="T27" s="464" t="str">
        <f>'Prediction_Offcn (2)'!T2</f>
        <v>91-120 DPD</v>
      </c>
      <c r="U27" s="485" t="str">
        <f>'Prediction_Offcn (2)'!U2</f>
        <v>120-180 DPD</v>
      </c>
    </row>
    <row r="28" spans="1:21" x14ac:dyDescent="0.3">
      <c r="A28" s="444"/>
      <c r="B28" s="439"/>
      <c r="C28" s="439"/>
      <c r="D28" s="642"/>
      <c r="E28" s="445" t="str">
        <f>'Prediction_Offcn (2)'!E19</f>
        <v>Repay</v>
      </c>
      <c r="F28" s="484">
        <f t="array" ref="F28:K33">MMULT(F19:K24,MMULT(F19:K24,MMULT(F19:K24,MMULT(F19:K24,MMULT(F19:K24,MMULT(F19:K24,MMULT(F19:K24,MMULT(F19:K24,MMULT(F19:K24,MMULT(F19:K24,MMULT(F19:K24,F19:K24)))))))))))</f>
        <v>1</v>
      </c>
      <c r="G28" s="484">
        <v>0</v>
      </c>
      <c r="H28" s="484">
        <v>0</v>
      </c>
      <c r="I28" s="484">
        <v>0</v>
      </c>
      <c r="J28" s="484">
        <v>0</v>
      </c>
      <c r="K28" s="486">
        <v>0</v>
      </c>
      <c r="L28" s="472"/>
      <c r="M28" s="472"/>
      <c r="N28" s="642"/>
      <c r="O28" s="445" t="str">
        <f>'Prediction_Offcn (2)'!O3</f>
        <v>Repay</v>
      </c>
      <c r="P28" s="484">
        <f t="array" ref="P28:U33">MMULT(P19:U24,MMULT(P19:U24,MMULT(P19:U24,MMULT(P19:U24,MMULT(P19:U24,MMULT(P19:U24,MMULT(P19:U24,MMULT(P19:U24,MMULT(P19:U24,MMULT(P19:U24,MMULT(P19:U24,P19:U24)))))))))))</f>
        <v>1</v>
      </c>
      <c r="Q28" s="484">
        <v>0</v>
      </c>
      <c r="R28" s="484">
        <v>0</v>
      </c>
      <c r="S28" s="484">
        <v>0</v>
      </c>
      <c r="T28" s="484">
        <v>0</v>
      </c>
      <c r="U28" s="486">
        <v>0</v>
      </c>
    </row>
    <row r="29" spans="1:21" x14ac:dyDescent="0.3">
      <c r="A29" s="444"/>
      <c r="B29" s="439"/>
      <c r="C29" s="439"/>
      <c r="D29" s="642"/>
      <c r="E29" s="445" t="str">
        <f>'Prediction_Offcn (2)'!E20</f>
        <v>0 DPD</v>
      </c>
      <c r="F29" s="484">
        <v>0.77730278264610275</v>
      </c>
      <c r="G29" s="484">
        <v>1.7146674230816814</v>
      </c>
      <c r="H29" s="484">
        <v>9.5063342207126738E-3</v>
      </c>
      <c r="I29" s="484">
        <v>8.7409249279631514E-3</v>
      </c>
      <c r="J29" s="484">
        <v>6.6908914688763119E-3</v>
      </c>
      <c r="K29" s="486">
        <v>3.5498390141785158E-2</v>
      </c>
      <c r="L29" s="472"/>
      <c r="M29" s="472"/>
      <c r="N29" s="642"/>
      <c r="O29" s="445" t="str">
        <f>'Prediction_Offcn (2)'!O4</f>
        <v>0 DPD</v>
      </c>
      <c r="P29" s="484">
        <v>0.76583683099693467</v>
      </c>
      <c r="Q29" s="484">
        <v>1.6659233641319653</v>
      </c>
      <c r="R29" s="484">
        <v>1.631668844982416E-2</v>
      </c>
      <c r="S29" s="484">
        <v>1.1165009197141511E-2</v>
      </c>
      <c r="T29" s="484">
        <v>1.0621854328205119E-2</v>
      </c>
      <c r="U29" s="486">
        <v>5.820463993716915E-2</v>
      </c>
    </row>
    <row r="30" spans="1:21" x14ac:dyDescent="0.3">
      <c r="D30" s="642"/>
      <c r="E30" s="451" t="str">
        <f>'Prediction_Offcn (2)'!E21</f>
        <v>1-30 DPD</v>
      </c>
      <c r="F30" s="484">
        <v>7.1048635324473822E-2</v>
      </c>
      <c r="G30" s="484">
        <v>0.17329021838663716</v>
      </c>
      <c r="H30" s="484">
        <v>1.0254617430974868E-3</v>
      </c>
      <c r="I30" s="484">
        <v>1.1143488367139323E-3</v>
      </c>
      <c r="J30" s="484">
        <v>1.1060014503616125E-3</v>
      </c>
      <c r="K30" s="486">
        <v>0.84233709398783718</v>
      </c>
      <c r="L30" s="472"/>
      <c r="M30" s="472"/>
      <c r="N30" s="642"/>
      <c r="O30" s="451" t="str">
        <f>'Prediction_Offcn (2)'!O5</f>
        <v>1-30 DPD</v>
      </c>
      <c r="P30" s="484">
        <v>0.10909023685462242</v>
      </c>
      <c r="Q30" s="484">
        <v>0.26121777231301579</v>
      </c>
      <c r="R30" s="484">
        <v>2.5625284261667999E-3</v>
      </c>
      <c r="S30" s="484">
        <v>1.767322424622378E-3</v>
      </c>
      <c r="T30" s="484">
        <v>1.7184198717357289E-3</v>
      </c>
      <c r="U30" s="486">
        <v>0.79272191490629296</v>
      </c>
    </row>
    <row r="31" spans="1:21" x14ac:dyDescent="0.3">
      <c r="D31" s="642"/>
      <c r="E31" s="451" t="str">
        <f>'Prediction_Offcn (2)'!E22</f>
        <v>31-90 DPD</v>
      </c>
      <c r="F31" s="484">
        <v>7.1222892129441063E-3</v>
      </c>
      <c r="G31" s="484">
        <v>1.9342590796432614E-2</v>
      </c>
      <c r="H31" s="484">
        <v>1.3527497050116986E-4</v>
      </c>
      <c r="I31" s="484">
        <v>1.9866012510497285E-4</v>
      </c>
      <c r="J31" s="484">
        <v>2.6167224142969331E-4</v>
      </c>
      <c r="K31" s="486">
        <v>0.92960319837722816</v>
      </c>
      <c r="L31" s="472"/>
      <c r="M31" s="472"/>
      <c r="N31" s="642"/>
      <c r="O31" s="451" t="str">
        <f>'Prediction_Offcn (2)'!O6</f>
        <v>31-90 DPD</v>
      </c>
      <c r="P31" s="484">
        <v>3.6554559557975957E-3</v>
      </c>
      <c r="Q31" s="484">
        <v>9.6285506118881543E-3</v>
      </c>
      <c r="R31" s="484">
        <v>9.5202185915450543E-5</v>
      </c>
      <c r="S31" s="484">
        <v>6.8205474597252558E-5</v>
      </c>
      <c r="T31" s="484">
        <v>7.3076253112125785E-5</v>
      </c>
      <c r="U31" s="486">
        <v>0.93582419188709443</v>
      </c>
    </row>
    <row r="32" spans="1:21" x14ac:dyDescent="0.3">
      <c r="D32" s="642"/>
      <c r="E32" s="451" t="str">
        <f>'Prediction_Offcn (2)'!E23</f>
        <v>91-120 DPD</v>
      </c>
      <c r="F32" s="484">
        <v>3.400085787056878E-4</v>
      </c>
      <c r="G32" s="484">
        <v>1.0253808083218019E-3</v>
      </c>
      <c r="H32" s="484">
        <v>9.2981366767662722E-6</v>
      </c>
      <c r="I32" s="484">
        <v>1.8121811135512773E-5</v>
      </c>
      <c r="J32" s="484">
        <v>2.7997090315106251E-5</v>
      </c>
      <c r="K32" s="486">
        <v>0.94097399532528103</v>
      </c>
      <c r="L32" s="472"/>
      <c r="M32" s="472"/>
      <c r="N32" s="642"/>
      <c r="O32" s="451" t="str">
        <f>'Prediction_Offcn (2)'!O7</f>
        <v>91-120 DPD</v>
      </c>
      <c r="P32" s="484">
        <v>1.7530665766176973E-4</v>
      </c>
      <c r="Q32" s="484">
        <v>5.118717084982708E-4</v>
      </c>
      <c r="R32" s="484">
        <v>5.1727247733128097E-6</v>
      </c>
      <c r="S32" s="484">
        <v>4.0835250525831726E-6</v>
      </c>
      <c r="T32" s="484">
        <v>5.3405857438524199E-6</v>
      </c>
      <c r="U32" s="486">
        <v>0.94134089635533147</v>
      </c>
    </row>
    <row r="33" spans="3:22" x14ac:dyDescent="0.3">
      <c r="D33" s="642"/>
      <c r="E33" s="451" t="str">
        <f>'Prediction_Offcn (2)'!E24</f>
        <v>120-180 DPD</v>
      </c>
      <c r="F33" s="484">
        <v>0</v>
      </c>
      <c r="G33" s="484">
        <v>0</v>
      </c>
      <c r="H33" s="484">
        <v>0</v>
      </c>
      <c r="I33" s="484">
        <v>0</v>
      </c>
      <c r="J33" s="484">
        <v>0</v>
      </c>
      <c r="K33" s="486">
        <v>1</v>
      </c>
      <c r="L33" s="472"/>
      <c r="M33" s="472"/>
      <c r="N33" s="642"/>
      <c r="O33" s="451" t="str">
        <f>'Prediction_Offcn (2)'!O8</f>
        <v>120-180 DPD</v>
      </c>
      <c r="P33" s="484">
        <v>0</v>
      </c>
      <c r="Q33" s="484">
        <v>0</v>
      </c>
      <c r="R33" s="484">
        <v>0</v>
      </c>
      <c r="S33" s="484">
        <v>0</v>
      </c>
      <c r="T33" s="484">
        <v>0</v>
      </c>
      <c r="U33" s="486">
        <v>1</v>
      </c>
    </row>
    <row r="34" spans="3:22" x14ac:dyDescent="0.3">
      <c r="D34" s="642"/>
      <c r="E34" s="487"/>
      <c r="F34" s="488"/>
      <c r="G34" s="488"/>
      <c r="H34" s="488"/>
      <c r="I34" s="488"/>
      <c r="J34" s="488"/>
      <c r="K34" s="489"/>
      <c r="L34" s="472"/>
      <c r="M34" s="472"/>
      <c r="N34" s="642"/>
      <c r="O34" s="487"/>
      <c r="P34" s="488"/>
      <c r="Q34" s="488"/>
      <c r="R34" s="488"/>
      <c r="S34" s="488"/>
      <c r="T34" s="488"/>
      <c r="U34" s="489"/>
    </row>
    <row r="35" spans="3:22" x14ac:dyDescent="0.3">
      <c r="D35" s="642"/>
      <c r="E35" s="490"/>
      <c r="F35" s="460"/>
      <c r="G35" s="460"/>
      <c r="H35" s="464" t="str">
        <f>'Prediction_Offcn (2)'!H27</f>
        <v>1-30 DPD</v>
      </c>
      <c r="I35" s="464" t="str">
        <f>'Prediction_Offcn (2)'!I27</f>
        <v>31-90 DPD</v>
      </c>
      <c r="J35" s="464" t="str">
        <f>'Prediction_Offcn (2)'!J27</f>
        <v>91-120 DPD</v>
      </c>
      <c r="K35" s="465" t="str">
        <f>'Prediction_Offcn (2)'!K27</f>
        <v>120-180 DPD</v>
      </c>
      <c r="N35" s="642"/>
      <c r="O35" s="490"/>
      <c r="P35" s="460"/>
      <c r="Q35" s="460"/>
      <c r="R35" s="491" t="str">
        <f>H35</f>
        <v>1-30 DPD</v>
      </c>
      <c r="S35" s="491" t="str">
        <f>I35</f>
        <v>31-90 DPD</v>
      </c>
      <c r="T35" s="491" t="str">
        <f>J35</f>
        <v>91-120 DPD</v>
      </c>
      <c r="U35" s="491" t="str">
        <f>K35</f>
        <v>120-180 DPD</v>
      </c>
    </row>
    <row r="36" spans="3:22" x14ac:dyDescent="0.3">
      <c r="D36" s="642"/>
      <c r="E36" s="492" t="s">
        <v>229</v>
      </c>
      <c r="F36" s="446">
        <f>B3</f>
        <v>0</v>
      </c>
      <c r="G36" s="446">
        <f>B4</f>
        <v>1</v>
      </c>
      <c r="H36" s="446">
        <f>$B$5</f>
        <v>0</v>
      </c>
      <c r="I36" s="446">
        <f>$B$6</f>
        <v>0</v>
      </c>
      <c r="J36" s="446">
        <f>$B$7</f>
        <v>0</v>
      </c>
      <c r="K36" s="493">
        <f>$B$8</f>
        <v>0</v>
      </c>
      <c r="N36" s="642"/>
      <c r="O36" s="492" t="s">
        <v>229</v>
      </c>
      <c r="P36" s="446">
        <f t="shared" ref="P36:U36" si="7">F36</f>
        <v>0</v>
      </c>
      <c r="Q36" s="446">
        <f t="shared" si="7"/>
        <v>1</v>
      </c>
      <c r="R36" s="446">
        <f t="shared" si="7"/>
        <v>0</v>
      </c>
      <c r="S36" s="446">
        <f t="shared" si="7"/>
        <v>0</v>
      </c>
      <c r="T36" s="446">
        <f t="shared" si="7"/>
        <v>0</v>
      </c>
      <c r="U36" s="493">
        <f t="shared" si="7"/>
        <v>0</v>
      </c>
    </row>
    <row r="37" spans="3:22" ht="15.5" thickBot="1" x14ac:dyDescent="0.35">
      <c r="D37" s="642"/>
      <c r="E37" s="492" t="s">
        <v>230</v>
      </c>
      <c r="F37" s="446">
        <f t="array" ref="F37:K37">MMULT(TRANSPOSE($B$3:$B$8),F28:K33)</f>
        <v>0.77730278264610275</v>
      </c>
      <c r="G37" s="446">
        <v>1.7146674230816814</v>
      </c>
      <c r="H37" s="446">
        <v>9.5063342207126738E-3</v>
      </c>
      <c r="I37" s="446">
        <v>8.7409249279631514E-3</v>
      </c>
      <c r="J37" s="446">
        <v>6.6908914688763119E-3</v>
      </c>
      <c r="K37" s="493">
        <v>3.5498390141785158E-2</v>
      </c>
      <c r="N37" s="642"/>
      <c r="O37" s="492" t="s">
        <v>230</v>
      </c>
      <c r="P37" s="446">
        <f t="array" ref="P37:U37">MMULT(TRANSPOSE($B$3:$B$8),P28:U33)</f>
        <v>0.76583683099693467</v>
      </c>
      <c r="Q37" s="446">
        <v>1.6659233641319653</v>
      </c>
      <c r="R37" s="446">
        <v>1.631668844982416E-2</v>
      </c>
      <c r="S37" s="446">
        <v>1.1165009197141511E-2</v>
      </c>
      <c r="T37" s="446">
        <v>1.0621854328205119E-2</v>
      </c>
      <c r="U37" s="493">
        <v>5.820463993716915E-2</v>
      </c>
    </row>
    <row r="38" spans="3:22" ht="15.5" thickBot="1" x14ac:dyDescent="0.35">
      <c r="C38" s="476"/>
      <c r="D38" s="643"/>
      <c r="E38" s="494" t="s">
        <v>231</v>
      </c>
      <c r="F38" s="478"/>
      <c r="G38" s="478">
        <f>G37/SUM($G$37:$K$37)</f>
        <v>0.96595323880153872</v>
      </c>
      <c r="H38" s="478">
        <f>H37/SUM($G$37:$K$37)</f>
        <v>5.355367580917687E-3</v>
      </c>
      <c r="I38" s="478">
        <f>I37/SUM($G$37:$K$37)</f>
        <v>4.9241763333395406E-3</v>
      </c>
      <c r="J38" s="478">
        <f>J37/SUM($G$37:$K$37)</f>
        <v>3.7692955484130504E-3</v>
      </c>
      <c r="K38" s="479">
        <f>K37/SUM($G$37:$K$37)</f>
        <v>1.9997921735791051E-2</v>
      </c>
      <c r="N38" s="643"/>
      <c r="O38" s="494" t="s">
        <v>228</v>
      </c>
      <c r="P38" s="478"/>
      <c r="Q38" s="478">
        <f>Q37/SUM($Q$37:$U$37)</f>
        <v>0.94534873037427392</v>
      </c>
      <c r="R38" s="478">
        <f>R37/SUM($Q$37:$U$37)</f>
        <v>9.2591058160656006E-3</v>
      </c>
      <c r="S38" s="478">
        <f>S37/SUM($Q$37:$U$37)</f>
        <v>6.3357219764034259E-3</v>
      </c>
      <c r="T38" s="478">
        <f>T37/SUM($Q$37:$U$37)</f>
        <v>6.0275020565674561E-3</v>
      </c>
      <c r="U38" s="479">
        <f>U37/SUM($Q$37:$U$37)</f>
        <v>3.3028939776689477E-2</v>
      </c>
    </row>
    <row r="39" spans="3:22" ht="15" customHeight="1" x14ac:dyDescent="0.3">
      <c r="D39" s="641" t="s">
        <v>95</v>
      </c>
      <c r="G39" s="472"/>
      <c r="H39" s="472"/>
      <c r="I39" s="472"/>
      <c r="J39" s="472"/>
      <c r="K39" s="472"/>
      <c r="N39" s="641" t="s">
        <v>95</v>
      </c>
    </row>
    <row r="40" spans="3:22" x14ac:dyDescent="0.3">
      <c r="D40" s="642"/>
      <c r="E40" s="495" t="s">
        <v>85</v>
      </c>
      <c r="F40" s="476">
        <f>K11</f>
        <v>0</v>
      </c>
      <c r="G40" s="476">
        <f>K12</f>
        <v>2.6233497713307897E-2</v>
      </c>
      <c r="H40" s="476">
        <f>K13</f>
        <v>0.89367992929336826</v>
      </c>
      <c r="I40" s="476">
        <f>K14</f>
        <v>0.98712034659757619</v>
      </c>
      <c r="J40" s="476">
        <f>K15</f>
        <v>0.99925694716151658</v>
      </c>
      <c r="K40" s="476">
        <f>K16</f>
        <v>1</v>
      </c>
      <c r="L40" s="472"/>
      <c r="M40" s="472"/>
      <c r="N40" s="642"/>
      <c r="O40" s="495" t="s">
        <v>85</v>
      </c>
      <c r="P40" s="476">
        <f t="shared" ref="P40:U40" si="8">P17</f>
        <v>0</v>
      </c>
      <c r="Q40" s="476">
        <f t="shared" si="8"/>
        <v>4.2736593787777402E-2</v>
      </c>
      <c r="R40" s="476">
        <f t="shared" si="8"/>
        <v>0.8396380207238836</v>
      </c>
      <c r="S40" s="476">
        <f t="shared" si="8"/>
        <v>0.99373252205841722</v>
      </c>
      <c r="T40" s="476">
        <f t="shared" si="8"/>
        <v>0.99964674725303315</v>
      </c>
      <c r="U40" s="476">
        <f t="shared" si="8"/>
        <v>1</v>
      </c>
    </row>
    <row r="41" spans="3:22" x14ac:dyDescent="0.3">
      <c r="D41" s="642"/>
      <c r="E41" s="495" t="s">
        <v>84</v>
      </c>
      <c r="F41" s="496">
        <v>1.03</v>
      </c>
      <c r="G41" s="496">
        <v>1.03</v>
      </c>
      <c r="H41" s="496">
        <v>1.03</v>
      </c>
      <c r="I41" s="496">
        <v>1.03</v>
      </c>
      <c r="J41" s="496">
        <v>1.03</v>
      </c>
      <c r="K41" s="496">
        <v>1.03</v>
      </c>
      <c r="L41" s="497">
        <f>SUMPRODUCT(F41:K41,F38:K38)</f>
        <v>1.0300000000000002</v>
      </c>
      <c r="M41" s="472"/>
      <c r="N41" s="642"/>
      <c r="O41" s="495" t="s">
        <v>84</v>
      </c>
      <c r="P41" s="496">
        <v>1.03</v>
      </c>
      <c r="Q41" s="496">
        <v>1.03</v>
      </c>
      <c r="R41" s="496">
        <v>1.03</v>
      </c>
      <c r="S41" s="496">
        <v>1.03</v>
      </c>
      <c r="T41" s="496">
        <v>1.03</v>
      </c>
      <c r="U41" s="496">
        <v>1.03</v>
      </c>
    </row>
    <row r="42" spans="3:22" x14ac:dyDescent="0.3">
      <c r="D42" s="642"/>
      <c r="E42" s="495" t="s">
        <v>83</v>
      </c>
      <c r="F42" s="496">
        <v>0.85</v>
      </c>
      <c r="G42" s="496">
        <v>0.85</v>
      </c>
      <c r="H42" s="496">
        <v>0.85</v>
      </c>
      <c r="I42" s="496">
        <v>0.85</v>
      </c>
      <c r="J42" s="496">
        <v>0.85</v>
      </c>
      <c r="K42" s="496">
        <v>0.85</v>
      </c>
      <c r="L42" s="497">
        <f>SUMPRODUCT(F42:K42,F38:K38)</f>
        <v>0.85000000000000009</v>
      </c>
      <c r="M42" s="472"/>
      <c r="N42" s="642"/>
      <c r="O42" s="495" t="s">
        <v>83</v>
      </c>
      <c r="P42" s="496">
        <v>0.7</v>
      </c>
      <c r="Q42" s="496">
        <v>0.7</v>
      </c>
      <c r="R42" s="496">
        <v>0.7</v>
      </c>
      <c r="S42" s="496">
        <v>0.7</v>
      </c>
      <c r="T42" s="496">
        <v>0.7</v>
      </c>
      <c r="U42" s="496">
        <v>0.7</v>
      </c>
      <c r="V42" s="439">
        <f>SUMPRODUCT(P42:U42,P38:U38)</f>
        <v>0.7</v>
      </c>
    </row>
    <row r="43" spans="3:22" x14ac:dyDescent="0.3">
      <c r="D43" s="642"/>
      <c r="N43" s="642"/>
      <c r="O43" s="495"/>
    </row>
    <row r="44" spans="3:22" x14ac:dyDescent="0.3">
      <c r="D44" s="642"/>
      <c r="E44" s="495" t="s">
        <v>232</v>
      </c>
      <c r="F44" s="476">
        <f t="shared" ref="F44:K44" si="9">F36*F40*F41*F42</f>
        <v>0</v>
      </c>
      <c r="G44" s="476">
        <f t="shared" si="9"/>
        <v>2.2967427248001063E-2</v>
      </c>
      <c r="H44" s="476">
        <f t="shared" si="9"/>
        <v>0</v>
      </c>
      <c r="I44" s="476">
        <f t="shared" si="9"/>
        <v>0</v>
      </c>
      <c r="J44" s="476">
        <f t="shared" si="9"/>
        <v>0</v>
      </c>
      <c r="K44" s="476">
        <f t="shared" si="9"/>
        <v>0</v>
      </c>
      <c r="L44" s="498">
        <f>SUM(F44:K44)</f>
        <v>2.2967427248001063E-2</v>
      </c>
      <c r="M44" s="498"/>
      <c r="N44" s="642"/>
      <c r="O44" s="495" t="s">
        <v>95</v>
      </c>
      <c r="P44" s="476">
        <f t="shared" ref="P44:U44" si="10">P36*P40*P41*P42</f>
        <v>0</v>
      </c>
      <c r="Q44" s="476">
        <f t="shared" si="10"/>
        <v>3.0813084120987506E-2</v>
      </c>
      <c r="R44" s="476">
        <f t="shared" si="10"/>
        <v>0</v>
      </c>
      <c r="S44" s="476">
        <f t="shared" si="10"/>
        <v>0</v>
      </c>
      <c r="T44" s="476">
        <f t="shared" si="10"/>
        <v>0</v>
      </c>
      <c r="U44" s="476">
        <f t="shared" si="10"/>
        <v>0</v>
      </c>
      <c r="V44" s="498">
        <f>SUM(P44:U44)</f>
        <v>3.0813084120987506E-2</v>
      </c>
    </row>
    <row r="45" spans="3:22" x14ac:dyDescent="0.3">
      <c r="D45" s="642"/>
      <c r="N45" s="642"/>
      <c r="O45" s="495"/>
    </row>
    <row r="46" spans="3:22" x14ac:dyDescent="0.3">
      <c r="D46" s="642"/>
      <c r="E46" s="495" t="s">
        <v>233</v>
      </c>
      <c r="F46" s="499">
        <v>0.03</v>
      </c>
      <c r="G46" s="499">
        <f t="shared" ref="G46:L46" si="11">$F$46</f>
        <v>0.03</v>
      </c>
      <c r="H46" s="499">
        <f t="shared" si="11"/>
        <v>0.03</v>
      </c>
      <c r="I46" s="499">
        <f t="shared" si="11"/>
        <v>0.03</v>
      </c>
      <c r="J46" s="499">
        <f t="shared" si="11"/>
        <v>0.03</v>
      </c>
      <c r="K46" s="499">
        <f t="shared" si="11"/>
        <v>0.03</v>
      </c>
      <c r="L46" s="499">
        <f t="shared" si="11"/>
        <v>0.03</v>
      </c>
      <c r="M46" s="499"/>
      <c r="N46" s="642"/>
      <c r="O46" s="495" t="s">
        <v>233</v>
      </c>
      <c r="P46" s="499">
        <f t="shared" ref="P46:V46" si="12">$F$46</f>
        <v>0.03</v>
      </c>
      <c r="Q46" s="499">
        <f t="shared" si="12"/>
        <v>0.03</v>
      </c>
      <c r="R46" s="499">
        <f t="shared" si="12"/>
        <v>0.03</v>
      </c>
      <c r="S46" s="499">
        <f t="shared" si="12"/>
        <v>0.03</v>
      </c>
      <c r="T46" s="499">
        <f t="shared" si="12"/>
        <v>0.03</v>
      </c>
      <c r="U46" s="499">
        <f t="shared" si="12"/>
        <v>0.03</v>
      </c>
      <c r="V46" s="499">
        <f t="shared" si="12"/>
        <v>0.03</v>
      </c>
    </row>
    <row r="47" spans="3:22" x14ac:dyDescent="0.3">
      <c r="D47" s="642"/>
      <c r="E47" s="495" t="s">
        <v>234</v>
      </c>
      <c r="F47" s="439">
        <v>0</v>
      </c>
      <c r="G47" s="439">
        <v>0</v>
      </c>
      <c r="H47" s="499">
        <v>0.02</v>
      </c>
      <c r="I47" s="499">
        <v>0.02</v>
      </c>
      <c r="J47" s="499">
        <v>0.02</v>
      </c>
      <c r="K47" s="499">
        <v>0.25</v>
      </c>
      <c r="L47" s="476"/>
      <c r="M47" s="476"/>
      <c r="N47" s="642"/>
      <c r="O47" s="495" t="s">
        <v>234</v>
      </c>
      <c r="P47" s="439">
        <v>0</v>
      </c>
      <c r="Q47" s="439">
        <v>0</v>
      </c>
      <c r="R47" s="499">
        <v>0.02</v>
      </c>
      <c r="S47" s="499">
        <v>0.02</v>
      </c>
      <c r="T47" s="499">
        <v>0.02</v>
      </c>
      <c r="U47" s="499">
        <v>0.25</v>
      </c>
      <c r="V47" s="476"/>
    </row>
    <row r="48" spans="3:22" x14ac:dyDescent="0.3">
      <c r="D48" s="642"/>
      <c r="F48" s="472">
        <f t="shared" ref="F48:K48" si="13">F38*F47</f>
        <v>0</v>
      </c>
      <c r="G48" s="472">
        <f t="shared" si="13"/>
        <v>0</v>
      </c>
      <c r="H48" s="472">
        <f t="shared" si="13"/>
        <v>1.0710735161835374E-4</v>
      </c>
      <c r="I48" s="472">
        <f t="shared" si="13"/>
        <v>9.8483526666790812E-5</v>
      </c>
      <c r="J48" s="472">
        <f t="shared" si="13"/>
        <v>7.5385910968261014E-5</v>
      </c>
      <c r="K48" s="472">
        <f t="shared" si="13"/>
        <v>4.9994804339477629E-3</v>
      </c>
      <c r="L48" s="476">
        <f>SUM(F48:K48)</f>
        <v>5.2804572232011682E-3</v>
      </c>
      <c r="M48" s="476"/>
      <c r="N48" s="642"/>
      <c r="O48" s="495"/>
      <c r="P48" s="472">
        <f t="shared" ref="P48:U48" si="14">P38*P47</f>
        <v>0</v>
      </c>
      <c r="Q48" s="472">
        <f t="shared" si="14"/>
        <v>0</v>
      </c>
      <c r="R48" s="472">
        <f t="shared" si="14"/>
        <v>1.8518211632131203E-4</v>
      </c>
      <c r="S48" s="472">
        <f t="shared" si="14"/>
        <v>1.2671443952806853E-4</v>
      </c>
      <c r="T48" s="472">
        <f t="shared" si="14"/>
        <v>1.2055004113134913E-4</v>
      </c>
      <c r="U48" s="472">
        <f t="shared" si="14"/>
        <v>8.2572349441723692E-3</v>
      </c>
      <c r="V48" s="476">
        <f>SUM(P48:U48)</f>
        <v>8.6896815411530992E-3</v>
      </c>
    </row>
    <row r="49" spans="4:22" x14ac:dyDescent="0.3">
      <c r="D49" s="642"/>
      <c r="E49" s="495" t="s">
        <v>235</v>
      </c>
      <c r="L49" s="498">
        <f>ROUND(L46+L48,3)</f>
        <v>3.5000000000000003E-2</v>
      </c>
      <c r="M49" s="498"/>
      <c r="N49" s="642"/>
      <c r="O49" s="495"/>
      <c r="V49" s="498">
        <f>ROUND(V46+V48,3)</f>
        <v>3.9E-2</v>
      </c>
    </row>
    <row r="50" spans="4:22" ht="15.5" thickBot="1" x14ac:dyDescent="0.35">
      <c r="D50" s="643"/>
      <c r="L50" s="439">
        <f>L44/L49</f>
        <v>0.65621220708574457</v>
      </c>
      <c r="M50" s="439"/>
      <c r="N50" s="643"/>
      <c r="V50" s="439">
        <f>V44/V49</f>
        <v>0.79007908002532068</v>
      </c>
    </row>
    <row r="51" spans="4:22" x14ac:dyDescent="0.3">
      <c r="I51" s="500" t="s">
        <v>95</v>
      </c>
      <c r="J51" s="500" t="s">
        <v>236</v>
      </c>
    </row>
    <row r="52" spans="4:22" x14ac:dyDescent="0.3">
      <c r="G52" s="500" t="s">
        <v>237</v>
      </c>
      <c r="H52" s="500" t="s">
        <v>95</v>
      </c>
      <c r="I52" s="501" t="s">
        <v>238</v>
      </c>
      <c r="J52" s="502" t="s">
        <v>235</v>
      </c>
      <c r="K52" s="503" t="s">
        <v>239</v>
      </c>
    </row>
    <row r="53" spans="4:22" x14ac:dyDescent="0.3">
      <c r="G53" s="472">
        <v>0.01</v>
      </c>
      <c r="H53" s="472">
        <f>$I$40*G53*1.03*0.75</f>
        <v>7.6255046774662766E-3</v>
      </c>
      <c r="I53" s="472">
        <f t="shared" ref="I53:I62" si="15">(1-G53)*$G$40*$G$41*$G$42+G53*$H$40*$H$41*$H$42</f>
        <v>3.0561920756484492E-2</v>
      </c>
      <c r="J53" s="472">
        <v>0.04</v>
      </c>
      <c r="K53" s="472">
        <f>I53/J53</f>
        <v>0.76404801891211227</v>
      </c>
      <c r="O53" s="504"/>
    </row>
    <row r="54" spans="4:22" x14ac:dyDescent="0.3">
      <c r="G54" s="472">
        <v>1.4999999999999999E-2</v>
      </c>
      <c r="H54" s="472">
        <f t="shared" ref="H54:H62" si="16">$H$40*G54*1.03*0.75</f>
        <v>1.0355516180686905E-2</v>
      </c>
      <c r="I54" s="472">
        <f t="shared" si="15"/>
        <v>3.4359167510726207E-2</v>
      </c>
      <c r="J54" s="472">
        <v>0.04</v>
      </c>
      <c r="K54" s="472">
        <f t="shared" ref="K54:K62" si="17">I54/J54</f>
        <v>0.85897918776815518</v>
      </c>
    </row>
    <row r="55" spans="4:22" x14ac:dyDescent="0.3">
      <c r="G55" s="472">
        <v>0.02</v>
      </c>
      <c r="H55" s="472">
        <f t="shared" si="16"/>
        <v>1.3807354907582541E-2</v>
      </c>
      <c r="I55" s="472">
        <f t="shared" si="15"/>
        <v>3.8156414264967922E-2</v>
      </c>
      <c r="J55" s="472">
        <v>0.04</v>
      </c>
      <c r="K55" s="472">
        <f t="shared" si="17"/>
        <v>0.95391035662419799</v>
      </c>
    </row>
    <row r="56" spans="4:22" x14ac:dyDescent="0.3">
      <c r="E56" s="505" t="s">
        <v>240</v>
      </c>
      <c r="F56" s="505"/>
      <c r="G56" s="506">
        <v>2.5000000000000001E-2</v>
      </c>
      <c r="H56" s="506">
        <f t="shared" si="16"/>
        <v>1.7259193634478177E-2</v>
      </c>
      <c r="I56" s="506">
        <f t="shared" si="15"/>
        <v>4.1953661019209637E-2</v>
      </c>
      <c r="J56" s="506">
        <v>0.04</v>
      </c>
      <c r="K56" s="506">
        <f t="shared" si="17"/>
        <v>1.048841525480241</v>
      </c>
    </row>
    <row r="57" spans="4:22" x14ac:dyDescent="0.3">
      <c r="F57" s="507"/>
      <c r="G57" s="508">
        <v>0.03</v>
      </c>
      <c r="H57" s="508">
        <f t="shared" si="16"/>
        <v>2.071103236137381E-2</v>
      </c>
      <c r="I57" s="508">
        <f t="shared" si="15"/>
        <v>4.5750907773451352E-2</v>
      </c>
      <c r="J57" s="472">
        <v>0.04</v>
      </c>
      <c r="K57" s="508">
        <f t="shared" si="17"/>
        <v>1.1437726943362838</v>
      </c>
    </row>
    <row r="58" spans="4:22" x14ac:dyDescent="0.3">
      <c r="G58" s="508">
        <v>3.5000000000000003E-2</v>
      </c>
      <c r="H58" s="508">
        <f t="shared" si="16"/>
        <v>2.4162871088269443E-2</v>
      </c>
      <c r="I58" s="508">
        <f t="shared" si="15"/>
        <v>4.954815452769306E-2</v>
      </c>
      <c r="J58" s="472">
        <v>0.04</v>
      </c>
      <c r="K58" s="508">
        <f t="shared" si="17"/>
        <v>1.2387038631923264</v>
      </c>
    </row>
    <row r="59" spans="4:22" x14ac:dyDescent="0.3">
      <c r="E59" s="509" t="s">
        <v>241</v>
      </c>
      <c r="F59" s="509"/>
      <c r="G59" s="510">
        <v>0.04</v>
      </c>
      <c r="H59" s="510">
        <f t="shared" si="16"/>
        <v>2.7614709815165082E-2</v>
      </c>
      <c r="I59" s="510">
        <f t="shared" si="15"/>
        <v>5.3345401281934782E-2</v>
      </c>
      <c r="J59" s="510">
        <v>0.04</v>
      </c>
      <c r="K59" s="510">
        <f t="shared" si="17"/>
        <v>1.3336350320483694</v>
      </c>
      <c r="P59" s="511"/>
    </row>
    <row r="60" spans="4:22" x14ac:dyDescent="0.3">
      <c r="G60" s="472">
        <v>4.4999999999999998E-2</v>
      </c>
      <c r="H60" s="472">
        <f t="shared" si="16"/>
        <v>3.1066548542060708E-2</v>
      </c>
      <c r="I60" s="472">
        <f t="shared" si="15"/>
        <v>5.7142648036176483E-2</v>
      </c>
      <c r="J60" s="472">
        <v>0.04</v>
      </c>
      <c r="K60" s="472">
        <f t="shared" si="17"/>
        <v>1.428566200904412</v>
      </c>
      <c r="P60" s="511"/>
    </row>
    <row r="61" spans="4:22" x14ac:dyDescent="0.3">
      <c r="F61" s="507"/>
      <c r="G61" s="508">
        <v>0.05</v>
      </c>
      <c r="H61" s="508">
        <f t="shared" si="16"/>
        <v>3.4518387268956355E-2</v>
      </c>
      <c r="I61" s="508">
        <f t="shared" si="15"/>
        <v>6.0939894790418211E-2</v>
      </c>
      <c r="J61" s="472">
        <v>0.04</v>
      </c>
      <c r="K61" s="508">
        <f t="shared" si="17"/>
        <v>1.5234973697604552</v>
      </c>
    </row>
    <row r="62" spans="4:22" x14ac:dyDescent="0.3">
      <c r="G62" s="472">
        <v>5.5E-2</v>
      </c>
      <c r="H62" s="472">
        <f t="shared" si="16"/>
        <v>3.7970225995851987E-2</v>
      </c>
      <c r="I62" s="472">
        <f t="shared" si="15"/>
        <v>6.4737141544659926E-2</v>
      </c>
      <c r="J62" s="472">
        <v>0.04</v>
      </c>
      <c r="K62" s="472">
        <f t="shared" si="17"/>
        <v>1.618428538616498</v>
      </c>
    </row>
    <row r="63" spans="4:22" x14ac:dyDescent="0.3">
      <c r="G63" s="472"/>
      <c r="H63" s="472"/>
      <c r="I63" s="472"/>
      <c r="J63" s="472"/>
      <c r="K63" s="472"/>
    </row>
  </sheetData>
  <mergeCells count="9">
    <mergeCell ref="D39:D50"/>
    <mergeCell ref="N39:N50"/>
    <mergeCell ref="D1:K1"/>
    <mergeCell ref="N1:U1"/>
    <mergeCell ref="A2:B2"/>
    <mergeCell ref="D2:D17"/>
    <mergeCell ref="N2:N17"/>
    <mergeCell ref="D18:D38"/>
    <mergeCell ref="N18:N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R107"/>
  <sheetViews>
    <sheetView showGridLines="0" zoomScale="50" zoomScaleNormal="50" workbookViewId="0">
      <pane xSplit="3" ySplit="2" topLeftCell="K19" activePane="bottomRight" state="frozen"/>
      <selection activeCell="D69" sqref="D69"/>
      <selection pane="topRight" activeCell="D69" sqref="D69"/>
      <selection pane="bottomLeft" activeCell="D69" sqref="D69"/>
      <selection pane="bottomRight" activeCell="Y31" sqref="Y31"/>
    </sheetView>
  </sheetViews>
  <sheetFormatPr defaultColWidth="9" defaultRowHeight="14" x14ac:dyDescent="0.3"/>
  <cols>
    <col min="1" max="1" width="2.83203125" style="329" customWidth="1"/>
    <col min="2" max="2" width="44.33203125" style="329" customWidth="1"/>
    <col min="3" max="3" width="5.83203125" style="329" bestFit="1" customWidth="1"/>
    <col min="4" max="18" width="16.5" style="329" bestFit="1" customWidth="1"/>
    <col min="19" max="20" width="15.58203125" style="329" bestFit="1" customWidth="1"/>
    <col min="21" max="21" width="15.25" style="329" bestFit="1" customWidth="1"/>
    <col min="22" max="23" width="15.58203125" style="329" bestFit="1" customWidth="1"/>
    <col min="24" max="25" width="15.58203125" customWidth="1"/>
    <col min="26" max="26" width="8.08203125" style="331" bestFit="1" customWidth="1"/>
    <col min="27" max="27" width="7.75" style="331" bestFit="1" customWidth="1"/>
    <col min="28" max="16384" width="9" style="329"/>
  </cols>
  <sheetData>
    <row r="1" spans="1:35" ht="14.5" thickBot="1" x14ac:dyDescent="0.35"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</row>
    <row r="2" spans="1:35" s="337" customFormat="1" ht="15" thickTop="1" thickBot="1" x14ac:dyDescent="0.35">
      <c r="A2" s="332"/>
      <c r="B2" s="333" t="s">
        <v>149</v>
      </c>
      <c r="C2" s="334" t="s">
        <v>150</v>
      </c>
      <c r="D2" s="335">
        <v>43586</v>
      </c>
      <c r="E2" s="335">
        <v>43617</v>
      </c>
      <c r="F2" s="335">
        <v>43647</v>
      </c>
      <c r="G2" s="335">
        <v>43678</v>
      </c>
      <c r="H2" s="335">
        <v>43709</v>
      </c>
      <c r="I2" s="335">
        <v>43739</v>
      </c>
      <c r="J2" s="335">
        <v>43770</v>
      </c>
      <c r="K2" s="335">
        <v>43800</v>
      </c>
      <c r="L2" s="335">
        <v>43831</v>
      </c>
      <c r="M2" s="335">
        <v>43862</v>
      </c>
      <c r="N2" s="335">
        <v>43891</v>
      </c>
      <c r="O2" s="335">
        <v>43922</v>
      </c>
      <c r="P2" s="335">
        <v>43952</v>
      </c>
      <c r="Q2" s="335">
        <v>43983</v>
      </c>
      <c r="R2" s="335">
        <v>44013</v>
      </c>
      <c r="S2" s="335">
        <v>44044</v>
      </c>
      <c r="T2" s="335">
        <v>44075</v>
      </c>
      <c r="U2" s="335">
        <v>44105</v>
      </c>
      <c r="V2" s="335">
        <v>44136</v>
      </c>
      <c r="W2" s="335">
        <v>44166</v>
      </c>
      <c r="X2"/>
      <c r="Y2"/>
      <c r="Z2" s="336"/>
      <c r="AA2" s="336"/>
      <c r="AB2" s="85"/>
      <c r="AC2" s="85"/>
      <c r="AD2" s="85"/>
      <c r="AE2" s="85"/>
      <c r="AF2" s="85"/>
      <c r="AG2" s="85"/>
      <c r="AH2" s="85"/>
      <c r="AI2" s="85"/>
    </row>
    <row r="3" spans="1:35" s="342" customFormat="1" ht="15" thickTop="1" thickBot="1" x14ac:dyDescent="0.35">
      <c r="A3" s="338"/>
      <c r="B3" s="339" t="s">
        <v>151</v>
      </c>
      <c r="C3" s="340" t="s">
        <v>152</v>
      </c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/>
      <c r="Y3"/>
      <c r="Z3" s="43"/>
      <c r="AA3" s="43"/>
    </row>
    <row r="4" spans="1:35" s="342" customFormat="1" ht="15" thickTop="1" thickBot="1" x14ac:dyDescent="0.35">
      <c r="A4" s="338"/>
      <c r="B4" s="339" t="s">
        <v>153</v>
      </c>
      <c r="C4" s="343" t="s">
        <v>154</v>
      </c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4"/>
      <c r="Q4" s="344"/>
      <c r="R4" s="344"/>
      <c r="S4" s="344"/>
      <c r="T4" s="344"/>
      <c r="U4" s="344"/>
      <c r="V4" s="344"/>
      <c r="W4" s="344"/>
      <c r="X4"/>
      <c r="Y4"/>
      <c r="Z4" s="43"/>
      <c r="AA4" s="43"/>
    </row>
    <row r="5" spans="1:35" ht="15" thickTop="1" thickBot="1" x14ac:dyDescent="0.35">
      <c r="A5" s="331"/>
      <c r="B5" s="339" t="s">
        <v>155</v>
      </c>
      <c r="C5" s="345" t="s">
        <v>156</v>
      </c>
      <c r="D5" s="346"/>
      <c r="E5" s="346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  <c r="T5" s="344"/>
      <c r="U5" s="344"/>
      <c r="V5" s="344"/>
      <c r="W5" s="344"/>
      <c r="Z5" s="43"/>
      <c r="AA5" s="43"/>
    </row>
    <row r="6" spans="1:35" s="342" customFormat="1" ht="14.5" thickTop="1" x14ac:dyDescent="0.3">
      <c r="A6" s="338"/>
      <c r="B6" s="347" t="s">
        <v>157</v>
      </c>
      <c r="C6" s="348" t="s">
        <v>152</v>
      </c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/>
      <c r="Y6"/>
      <c r="Z6" s="43"/>
      <c r="AA6" s="43"/>
    </row>
    <row r="7" spans="1:35" s="342" customFormat="1" x14ac:dyDescent="0.3">
      <c r="A7" s="338"/>
      <c r="B7" s="349" t="s">
        <v>158</v>
      </c>
      <c r="C7" s="350" t="s">
        <v>154</v>
      </c>
      <c r="D7" s="350"/>
      <c r="E7" s="350"/>
      <c r="F7" s="350"/>
      <c r="G7" s="350"/>
      <c r="H7" s="350"/>
      <c r="I7" s="350"/>
      <c r="J7" s="351"/>
      <c r="K7" s="350"/>
      <c r="L7" s="350"/>
      <c r="M7" s="350"/>
      <c r="N7" s="350"/>
      <c r="O7" s="350"/>
      <c r="P7" s="350"/>
      <c r="Q7" s="350"/>
      <c r="R7" s="350"/>
      <c r="S7" s="350"/>
      <c r="T7" s="350"/>
      <c r="U7" s="350"/>
      <c r="V7" s="350"/>
      <c r="W7" s="350"/>
      <c r="X7"/>
      <c r="Y7"/>
      <c r="Z7" s="43"/>
      <c r="AA7" s="43"/>
    </row>
    <row r="8" spans="1:35" s="342" customFormat="1" x14ac:dyDescent="0.3">
      <c r="A8" s="338"/>
      <c r="B8" s="349" t="s">
        <v>159</v>
      </c>
      <c r="C8" s="350" t="s">
        <v>154</v>
      </c>
      <c r="D8" s="350"/>
      <c r="E8" s="350"/>
      <c r="F8" s="350"/>
      <c r="G8" s="350"/>
      <c r="H8" s="350"/>
      <c r="I8" s="350"/>
      <c r="J8" s="351"/>
      <c r="K8" s="350"/>
      <c r="L8" s="350"/>
      <c r="M8" s="350"/>
      <c r="N8" s="350"/>
      <c r="O8" s="350"/>
      <c r="P8" s="350"/>
      <c r="Q8" s="350"/>
      <c r="R8" s="350"/>
      <c r="S8" s="350"/>
      <c r="T8" s="350"/>
      <c r="U8" s="350"/>
      <c r="V8" s="350"/>
      <c r="W8" s="350"/>
      <c r="X8"/>
      <c r="Y8"/>
      <c r="Z8" s="43"/>
      <c r="AA8" s="43"/>
    </row>
    <row r="9" spans="1:35" s="342" customFormat="1" x14ac:dyDescent="0.3">
      <c r="A9" s="338"/>
      <c r="B9" s="349" t="s">
        <v>160</v>
      </c>
      <c r="C9" s="350" t="s">
        <v>154</v>
      </c>
      <c r="D9" s="350"/>
      <c r="E9" s="350"/>
      <c r="F9" s="350"/>
      <c r="G9" s="350"/>
      <c r="H9" s="350"/>
      <c r="I9" s="350"/>
      <c r="J9" s="351"/>
      <c r="K9" s="350"/>
      <c r="L9" s="350"/>
      <c r="M9" s="350"/>
      <c r="N9" s="350"/>
      <c r="O9" s="350"/>
      <c r="P9" s="350"/>
      <c r="Q9" s="350"/>
      <c r="R9" s="350"/>
      <c r="S9" s="350"/>
      <c r="T9" s="350"/>
      <c r="U9" s="350"/>
      <c r="V9" s="350"/>
      <c r="W9" s="350"/>
      <c r="X9"/>
      <c r="Y9"/>
      <c r="Z9" s="43"/>
      <c r="AA9" s="43"/>
    </row>
    <row r="10" spans="1:35" s="342" customFormat="1" x14ac:dyDescent="0.3">
      <c r="A10" s="338"/>
      <c r="B10" s="349" t="s">
        <v>161</v>
      </c>
      <c r="C10" s="350" t="s">
        <v>154</v>
      </c>
      <c r="D10" s="350"/>
      <c r="E10" s="350"/>
      <c r="F10" s="350"/>
      <c r="G10" s="350"/>
      <c r="H10" s="350"/>
      <c r="I10" s="350"/>
      <c r="J10" s="351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/>
      <c r="Y10"/>
      <c r="Z10" s="43"/>
      <c r="AA10" s="43"/>
    </row>
    <row r="11" spans="1:35" s="342" customFormat="1" x14ac:dyDescent="0.3">
      <c r="A11" s="338"/>
      <c r="B11" s="349" t="s">
        <v>162</v>
      </c>
      <c r="C11" s="352"/>
      <c r="D11" s="352"/>
      <c r="E11" s="352"/>
      <c r="F11" s="352"/>
      <c r="G11" s="352"/>
      <c r="H11" s="352"/>
      <c r="I11" s="352"/>
      <c r="J11" s="353"/>
      <c r="K11" s="352"/>
      <c r="L11" s="352"/>
      <c r="M11" s="352"/>
      <c r="N11" s="352"/>
      <c r="O11" s="352"/>
      <c r="P11" s="352"/>
      <c r="Q11" s="352"/>
      <c r="R11" s="352"/>
      <c r="S11" s="352"/>
      <c r="T11" s="352"/>
      <c r="U11" s="352"/>
      <c r="V11" s="352"/>
      <c r="W11" s="352"/>
      <c r="X11"/>
      <c r="Y11"/>
      <c r="Z11" s="43"/>
      <c r="AA11" s="43"/>
    </row>
    <row r="12" spans="1:35" s="342" customFormat="1" x14ac:dyDescent="0.3">
      <c r="A12" s="338"/>
      <c r="B12" s="354" t="s">
        <v>163</v>
      </c>
      <c r="C12" s="352"/>
      <c r="D12" s="352"/>
      <c r="E12" s="352"/>
      <c r="F12" s="352"/>
      <c r="G12" s="352"/>
      <c r="H12" s="352"/>
      <c r="I12" s="352"/>
      <c r="J12" s="353"/>
      <c r="K12" s="352"/>
      <c r="L12" s="352"/>
      <c r="M12" s="352"/>
      <c r="N12" s="352"/>
      <c r="O12" s="352"/>
      <c r="P12" s="352"/>
      <c r="Q12" s="352"/>
      <c r="R12" s="352"/>
      <c r="S12" s="352"/>
      <c r="T12" s="352"/>
      <c r="U12" s="352"/>
      <c r="V12" s="352"/>
      <c r="W12" s="352"/>
      <c r="X12"/>
      <c r="Y12"/>
      <c r="Z12" s="43"/>
      <c r="AA12" s="43"/>
    </row>
    <row r="13" spans="1:35" s="342" customFormat="1" ht="14.5" thickBot="1" x14ac:dyDescent="0.35">
      <c r="A13" s="338"/>
      <c r="B13" s="355" t="s">
        <v>164</v>
      </c>
      <c r="C13" s="352"/>
      <c r="D13" s="352"/>
      <c r="E13" s="352"/>
      <c r="F13" s="352"/>
      <c r="G13" s="352"/>
      <c r="H13" s="352"/>
      <c r="I13" s="352"/>
      <c r="J13" s="353"/>
      <c r="K13" s="352"/>
      <c r="L13" s="352"/>
      <c r="M13" s="352"/>
      <c r="N13" s="352"/>
      <c r="O13" s="352"/>
      <c r="P13" s="352"/>
      <c r="Q13" s="352"/>
      <c r="R13" s="352"/>
      <c r="S13" s="352"/>
      <c r="T13" s="352"/>
      <c r="U13" s="352"/>
      <c r="V13" s="352"/>
      <c r="W13" s="352"/>
      <c r="X13"/>
      <c r="Y13"/>
      <c r="Z13" s="43"/>
      <c r="AA13" s="43"/>
    </row>
    <row r="14" spans="1:35" s="342" customFormat="1" ht="15" thickTop="1" thickBot="1" x14ac:dyDescent="0.35">
      <c r="A14" s="338"/>
      <c r="B14" s="356" t="s">
        <v>165</v>
      </c>
      <c r="C14" s="357" t="s">
        <v>154</v>
      </c>
      <c r="D14" s="357"/>
      <c r="E14" s="357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/>
      <c r="Y14"/>
      <c r="Z14" s="43"/>
      <c r="AA14" s="43"/>
    </row>
    <row r="15" spans="1:35" s="342" customFormat="1" ht="15" thickTop="1" thickBot="1" x14ac:dyDescent="0.35">
      <c r="A15" s="338"/>
      <c r="B15" s="356" t="s">
        <v>166</v>
      </c>
      <c r="C15" s="358" t="s">
        <v>154</v>
      </c>
      <c r="D15" s="358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  <c r="X15"/>
      <c r="Y15"/>
      <c r="Z15" s="43"/>
      <c r="AA15" s="43"/>
    </row>
    <row r="16" spans="1:35" s="342" customFormat="1" ht="14.5" thickTop="1" x14ac:dyDescent="0.3">
      <c r="A16" s="338"/>
      <c r="B16" s="359" t="s">
        <v>151</v>
      </c>
      <c r="C16" s="340" t="s">
        <v>152</v>
      </c>
      <c r="D16" s="341">
        <v>9997700</v>
      </c>
      <c r="E16" s="341">
        <v>115894997.09999999</v>
      </c>
      <c r="F16" s="341">
        <v>81100</v>
      </c>
      <c r="G16" s="341">
        <v>40191640</v>
      </c>
      <c r="H16" s="341">
        <v>69518960</v>
      </c>
      <c r="I16" s="341">
        <v>188003908</v>
      </c>
      <c r="J16" s="341">
        <v>128930114</v>
      </c>
      <c r="K16" s="341">
        <v>810941181</v>
      </c>
      <c r="L16" s="341">
        <v>341244295</v>
      </c>
      <c r="M16" s="341">
        <v>915401231</v>
      </c>
      <c r="N16" s="341">
        <v>2917002804.9000001</v>
      </c>
      <c r="O16" s="341">
        <v>274848829</v>
      </c>
      <c r="P16" s="341">
        <v>227147788</v>
      </c>
      <c r="Q16" s="341">
        <v>616467281</v>
      </c>
      <c r="R16" s="341">
        <v>171233499</v>
      </c>
      <c r="S16" s="341">
        <v>353054594</v>
      </c>
      <c r="T16" s="341">
        <v>596050538</v>
      </c>
      <c r="U16" s="341">
        <v>495413368</v>
      </c>
      <c r="V16" s="341">
        <v>1102253205</v>
      </c>
      <c r="W16" s="341">
        <v>1645136906</v>
      </c>
      <c r="X16"/>
      <c r="Y16"/>
      <c r="Z16" s="43"/>
      <c r="AA16" s="43"/>
    </row>
    <row r="17" spans="1:44" s="342" customFormat="1" x14ac:dyDescent="0.3">
      <c r="A17" s="338"/>
      <c r="B17" s="360" t="s">
        <v>167</v>
      </c>
      <c r="C17" s="343" t="s">
        <v>154</v>
      </c>
      <c r="D17" s="344">
        <v>9874300</v>
      </c>
      <c r="E17" s="344">
        <v>121716537.09999999</v>
      </c>
      <c r="F17" s="344">
        <v>120675449.09999999</v>
      </c>
      <c r="G17" s="344">
        <v>122380851.09999999</v>
      </c>
      <c r="H17" s="344">
        <v>95054485.099999994</v>
      </c>
      <c r="I17" s="344">
        <v>67508652.25</v>
      </c>
      <c r="J17" s="361">
        <v>113763985.31999999</v>
      </c>
      <c r="K17" s="344">
        <v>894644921.88999999</v>
      </c>
      <c r="L17" s="344">
        <v>1159942338.72</v>
      </c>
      <c r="M17" s="344">
        <v>2005232926.72</v>
      </c>
      <c r="N17" s="344">
        <v>4675725612.7600002</v>
      </c>
      <c r="O17" s="344">
        <v>4712790130.5299997</v>
      </c>
      <c r="P17" s="344">
        <v>4561793630.4399996</v>
      </c>
      <c r="Q17" s="344">
        <v>4337371488.6700001</v>
      </c>
      <c r="R17" s="344">
        <v>4245123758.1100001</v>
      </c>
      <c r="S17" s="344">
        <v>4076209521.3600001</v>
      </c>
      <c r="T17" s="344">
        <v>3436480301.7600002</v>
      </c>
      <c r="U17" s="344">
        <v>2702101400.04</v>
      </c>
      <c r="V17" s="344">
        <v>3514015815.5799999</v>
      </c>
      <c r="W17" s="344">
        <v>4404015482.96</v>
      </c>
      <c r="X17"/>
      <c r="Y17"/>
      <c r="Z17" s="43"/>
      <c r="AA17" s="43"/>
    </row>
    <row r="18" spans="1:44" ht="14.5" thickBot="1" x14ac:dyDescent="0.35">
      <c r="A18" s="331"/>
      <c r="B18" s="362" t="s">
        <v>168</v>
      </c>
      <c r="C18" s="345" t="s">
        <v>156</v>
      </c>
      <c r="D18" s="346">
        <f>D17*40%</f>
        <v>3949720</v>
      </c>
      <c r="E18" s="346">
        <f t="shared" ref="E18:W18" si="0">E17*40%</f>
        <v>48686614.840000004</v>
      </c>
      <c r="F18" s="346">
        <f t="shared" si="0"/>
        <v>48270179.640000001</v>
      </c>
      <c r="G18" s="346">
        <f t="shared" si="0"/>
        <v>48952340.439999998</v>
      </c>
      <c r="H18" s="346">
        <f t="shared" si="0"/>
        <v>38021794.039999999</v>
      </c>
      <c r="I18" s="346">
        <f t="shared" si="0"/>
        <v>27003460.900000002</v>
      </c>
      <c r="J18" s="346">
        <f t="shared" si="0"/>
        <v>45505594.127999999</v>
      </c>
      <c r="K18" s="346">
        <f t="shared" si="0"/>
        <v>357857968.75600004</v>
      </c>
      <c r="L18" s="346">
        <f t="shared" si="0"/>
        <v>463976935.48800004</v>
      </c>
      <c r="M18" s="346">
        <f t="shared" si="0"/>
        <v>802093170.68800008</v>
      </c>
      <c r="N18" s="346">
        <f t="shared" si="0"/>
        <v>1870290245.1040001</v>
      </c>
      <c r="O18" s="346">
        <f t="shared" si="0"/>
        <v>1885116052.2119999</v>
      </c>
      <c r="P18" s="346">
        <f t="shared" si="0"/>
        <v>1824717452.1759999</v>
      </c>
      <c r="Q18" s="346">
        <f t="shared" si="0"/>
        <v>1734948595.4680002</v>
      </c>
      <c r="R18" s="346">
        <f t="shared" si="0"/>
        <v>1698049503.2440002</v>
      </c>
      <c r="S18" s="346">
        <f t="shared" si="0"/>
        <v>1630483808.5440001</v>
      </c>
      <c r="T18" s="346">
        <f t="shared" si="0"/>
        <v>1374592120.7040002</v>
      </c>
      <c r="U18" s="346">
        <f t="shared" si="0"/>
        <v>1080840560.016</v>
      </c>
      <c r="V18" s="346">
        <f t="shared" si="0"/>
        <v>1405606326.2320001</v>
      </c>
      <c r="W18" s="346">
        <f t="shared" si="0"/>
        <v>1761606193.184</v>
      </c>
      <c r="Z18" s="43"/>
      <c r="AA18" s="43"/>
    </row>
    <row r="19" spans="1:44" s="364" customFormat="1" ht="14.5" thickTop="1" x14ac:dyDescent="0.3">
      <c r="A19" s="363"/>
      <c r="B19" s="347" t="s">
        <v>157</v>
      </c>
      <c r="C19" s="348" t="s">
        <v>169</v>
      </c>
      <c r="D19" s="348">
        <v>0</v>
      </c>
      <c r="E19" s="348">
        <v>0</v>
      </c>
      <c r="F19" s="348">
        <v>0</v>
      </c>
      <c r="G19" s="348">
        <v>4319000</v>
      </c>
      <c r="H19" s="348">
        <v>26176100</v>
      </c>
      <c r="I19" s="348">
        <v>95809268.799999997</v>
      </c>
      <c r="J19" s="348">
        <v>91816930</v>
      </c>
      <c r="K19" s="348">
        <v>25978831</v>
      </c>
      <c r="L19" s="348">
        <v>24380520</v>
      </c>
      <c r="M19" s="348">
        <v>5051536</v>
      </c>
      <c r="N19" s="348">
        <v>90959857</v>
      </c>
      <c r="O19" s="348">
        <v>40810136.670000002</v>
      </c>
      <c r="P19" s="348">
        <v>63211199.329999998</v>
      </c>
      <c r="Q19" s="348">
        <v>224401291</v>
      </c>
      <c r="R19" s="348">
        <v>859869421.00999999</v>
      </c>
      <c r="S19" s="348">
        <v>111556956</v>
      </c>
      <c r="T19" s="348">
        <v>1808852839</v>
      </c>
      <c r="U19" s="348">
        <v>373982624</v>
      </c>
      <c r="V19" s="348">
        <v>157653222</v>
      </c>
      <c r="W19" s="348">
        <v>1400692733.6700001</v>
      </c>
      <c r="X19"/>
      <c r="Y19"/>
      <c r="Z19" s="43"/>
      <c r="AA19" s="43"/>
    </row>
    <row r="20" spans="1:44" s="364" customFormat="1" x14ac:dyDescent="0.3">
      <c r="A20" s="363"/>
      <c r="B20" s="349" t="s">
        <v>158</v>
      </c>
      <c r="C20" s="350" t="s">
        <v>169</v>
      </c>
      <c r="D20" s="350">
        <v>0</v>
      </c>
      <c r="E20" s="350">
        <v>0</v>
      </c>
      <c r="F20" s="350">
        <v>0</v>
      </c>
      <c r="G20" s="350">
        <v>0</v>
      </c>
      <c r="H20" s="350">
        <v>122800</v>
      </c>
      <c r="I20" s="350">
        <v>191781.9</v>
      </c>
      <c r="J20" s="351">
        <v>581780.27</v>
      </c>
      <c r="K20" s="350">
        <v>91600</v>
      </c>
      <c r="L20" s="350">
        <v>48700</v>
      </c>
      <c r="M20" s="350">
        <v>36300</v>
      </c>
      <c r="N20" s="350">
        <v>35635.4</v>
      </c>
      <c r="O20" s="350">
        <v>0</v>
      </c>
      <c r="P20" s="350">
        <v>67400</v>
      </c>
      <c r="Q20" s="350">
        <v>95727.72</v>
      </c>
      <c r="R20" s="350">
        <v>222900</v>
      </c>
      <c r="S20" s="350">
        <v>15800</v>
      </c>
      <c r="T20" s="350">
        <v>946060</v>
      </c>
      <c r="U20" s="350">
        <v>16800</v>
      </c>
      <c r="V20" s="350">
        <v>0</v>
      </c>
      <c r="W20" s="350">
        <v>793789.8</v>
      </c>
      <c r="X20"/>
      <c r="Y20"/>
      <c r="Z20" s="43"/>
      <c r="AA20" s="43"/>
    </row>
    <row r="21" spans="1:44" s="364" customFormat="1" x14ac:dyDescent="0.3">
      <c r="A21" s="363"/>
      <c r="B21" s="349" t="s">
        <v>159</v>
      </c>
      <c r="C21" s="350" t="s">
        <v>169</v>
      </c>
      <c r="D21" s="350">
        <v>0</v>
      </c>
      <c r="E21" s="350">
        <v>0</v>
      </c>
      <c r="F21" s="350">
        <v>0</v>
      </c>
      <c r="G21" s="350">
        <v>0</v>
      </c>
      <c r="H21" s="350">
        <v>0</v>
      </c>
      <c r="I21" s="350">
        <v>0</v>
      </c>
      <c r="J21" s="351">
        <v>133251.95000000001</v>
      </c>
      <c r="K21" s="350">
        <v>371280.27</v>
      </c>
      <c r="L21" s="350">
        <v>43511.5</v>
      </c>
      <c r="M21" s="350">
        <v>48700</v>
      </c>
      <c r="N21" s="350">
        <v>36300</v>
      </c>
      <c r="O21" s="350">
        <v>20500</v>
      </c>
      <c r="P21" s="350">
        <v>0</v>
      </c>
      <c r="Q21" s="350">
        <v>57400</v>
      </c>
      <c r="R21" s="350">
        <v>88910.720000000001</v>
      </c>
      <c r="S21" s="350">
        <v>213020</v>
      </c>
      <c r="T21" s="350">
        <v>15800</v>
      </c>
      <c r="U21" s="350">
        <v>688860</v>
      </c>
      <c r="V21" s="350">
        <v>16800</v>
      </c>
      <c r="W21" s="350">
        <v>0</v>
      </c>
      <c r="X21"/>
      <c r="Y21"/>
      <c r="Z21" s="43"/>
      <c r="AA21" s="43"/>
    </row>
    <row r="22" spans="1:44" s="364" customFormat="1" x14ac:dyDescent="0.3">
      <c r="A22" s="363"/>
      <c r="B22" s="349" t="s">
        <v>160</v>
      </c>
      <c r="C22" s="350" t="s">
        <v>169</v>
      </c>
      <c r="D22" s="350">
        <v>0</v>
      </c>
      <c r="E22" s="350">
        <v>0</v>
      </c>
      <c r="F22" s="350">
        <v>0</v>
      </c>
      <c r="G22" s="350">
        <v>0</v>
      </c>
      <c r="H22" s="350">
        <v>0</v>
      </c>
      <c r="I22" s="350">
        <v>0</v>
      </c>
      <c r="J22" s="351">
        <v>0</v>
      </c>
      <c r="K22" s="350">
        <v>116124.85</v>
      </c>
      <c r="L22" s="350">
        <v>266680.27</v>
      </c>
      <c r="M22" s="350">
        <v>43511.5</v>
      </c>
      <c r="N22" s="350">
        <v>48700</v>
      </c>
      <c r="O22" s="350">
        <v>0</v>
      </c>
      <c r="P22" s="350">
        <v>0</v>
      </c>
      <c r="Q22" s="350">
        <v>0</v>
      </c>
      <c r="R22" s="350">
        <v>51800</v>
      </c>
      <c r="S22" s="350">
        <v>49493.72</v>
      </c>
      <c r="T22" s="350">
        <v>151520</v>
      </c>
      <c r="U22" s="350">
        <v>15800</v>
      </c>
      <c r="V22" s="350">
        <v>640260</v>
      </c>
      <c r="W22" s="350">
        <v>16800</v>
      </c>
      <c r="X22"/>
      <c r="Y22"/>
      <c r="Z22" s="43"/>
      <c r="AA22" s="43"/>
    </row>
    <row r="23" spans="1:44" s="369" customFormat="1" x14ac:dyDescent="0.3">
      <c r="A23" s="365"/>
      <c r="B23" s="366" t="s">
        <v>161</v>
      </c>
      <c r="C23" s="367" t="s">
        <v>169</v>
      </c>
      <c r="D23" s="367">
        <v>0</v>
      </c>
      <c r="E23" s="367">
        <v>0</v>
      </c>
      <c r="F23" s="367">
        <v>0</v>
      </c>
      <c r="G23" s="367">
        <v>0</v>
      </c>
      <c r="H23" s="367">
        <v>0</v>
      </c>
      <c r="I23" s="367">
        <v>0</v>
      </c>
      <c r="J23" s="367">
        <v>0</v>
      </c>
      <c r="K23" s="367">
        <v>0</v>
      </c>
      <c r="L23" s="367">
        <v>113137.85</v>
      </c>
      <c r="M23" s="367">
        <v>170080.27</v>
      </c>
      <c r="N23" s="367">
        <v>37511.5</v>
      </c>
      <c r="O23" s="367">
        <v>47040.83</v>
      </c>
      <c r="P23" s="367">
        <v>0</v>
      </c>
      <c r="Q23" s="367">
        <v>0</v>
      </c>
      <c r="R23" s="367">
        <v>0</v>
      </c>
      <c r="S23" s="367">
        <v>49800</v>
      </c>
      <c r="T23" s="367">
        <v>42676.72</v>
      </c>
      <c r="U23" s="367">
        <v>70720</v>
      </c>
      <c r="V23" s="367">
        <v>15800</v>
      </c>
      <c r="W23" s="367">
        <v>586160</v>
      </c>
      <c r="X23"/>
      <c r="Y23"/>
      <c r="Z23" s="368"/>
      <c r="AA23" s="368"/>
    </row>
    <row r="24" spans="1:44" s="364" customFormat="1" x14ac:dyDescent="0.3">
      <c r="A24" s="363"/>
      <c r="B24" s="370" t="s">
        <v>170</v>
      </c>
      <c r="C24" s="352" t="s">
        <v>169</v>
      </c>
      <c r="D24" s="352">
        <v>0</v>
      </c>
      <c r="E24" s="352">
        <v>0</v>
      </c>
      <c r="F24" s="352">
        <v>0</v>
      </c>
      <c r="G24" s="352">
        <v>0</v>
      </c>
      <c r="H24" s="352">
        <v>0</v>
      </c>
      <c r="I24" s="352">
        <v>0</v>
      </c>
      <c r="J24" s="353">
        <v>0</v>
      </c>
      <c r="K24" s="352">
        <v>0</v>
      </c>
      <c r="L24" s="352">
        <v>0</v>
      </c>
      <c r="M24" s="352">
        <v>113137.85</v>
      </c>
      <c r="N24" s="352">
        <v>126135.01</v>
      </c>
      <c r="O24" s="352">
        <v>37511.5</v>
      </c>
      <c r="P24" s="352">
        <v>41781.660000000003</v>
      </c>
      <c r="Q24" s="352">
        <v>0</v>
      </c>
      <c r="R24" s="352">
        <v>0</v>
      </c>
      <c r="S24" s="352">
        <v>0</v>
      </c>
      <c r="T24" s="352">
        <v>48800</v>
      </c>
      <c r="U24" s="352">
        <v>37859.72</v>
      </c>
      <c r="V24" s="352">
        <v>68840</v>
      </c>
      <c r="W24" s="352">
        <v>15800</v>
      </c>
      <c r="X24"/>
      <c r="Y24"/>
      <c r="Z24" s="43"/>
      <c r="AA24" s="43"/>
    </row>
    <row r="25" spans="1:44" s="364" customFormat="1" x14ac:dyDescent="0.3">
      <c r="A25" s="363"/>
      <c r="B25" s="354" t="s">
        <v>163</v>
      </c>
      <c r="C25" s="352" t="s">
        <v>171</v>
      </c>
      <c r="D25" s="352">
        <v>0</v>
      </c>
      <c r="E25" s="352">
        <v>0</v>
      </c>
      <c r="F25" s="352">
        <v>0</v>
      </c>
      <c r="G25" s="352">
        <v>0</v>
      </c>
      <c r="H25" s="352">
        <v>0</v>
      </c>
      <c r="I25" s="352">
        <v>0</v>
      </c>
      <c r="J25" s="353">
        <v>0</v>
      </c>
      <c r="K25" s="352">
        <v>0</v>
      </c>
      <c r="L25" s="352">
        <v>0</v>
      </c>
      <c r="M25" s="352">
        <v>0</v>
      </c>
      <c r="N25" s="352">
        <v>108137.85</v>
      </c>
      <c r="O25" s="352">
        <v>109249.12</v>
      </c>
      <c r="P25" s="352">
        <v>31300</v>
      </c>
      <c r="Q25" s="352">
        <v>38622.49</v>
      </c>
      <c r="R25" s="352">
        <v>0</v>
      </c>
      <c r="S25" s="352">
        <v>0</v>
      </c>
      <c r="T25" s="352">
        <v>0</v>
      </c>
      <c r="U25" s="352">
        <v>48800</v>
      </c>
      <c r="V25" s="352">
        <v>29242.720000000001</v>
      </c>
      <c r="W25" s="352">
        <v>53160</v>
      </c>
      <c r="X25"/>
      <c r="Y25"/>
      <c r="Z25" s="43"/>
      <c r="AA25" s="43"/>
    </row>
    <row r="26" spans="1:44" s="364" customFormat="1" ht="14.5" thickBot="1" x14ac:dyDescent="0.35">
      <c r="A26" s="363"/>
      <c r="B26" s="355" t="s">
        <v>164</v>
      </c>
      <c r="C26" s="352" t="s">
        <v>169</v>
      </c>
      <c r="D26" s="352">
        <v>0</v>
      </c>
      <c r="E26" s="352">
        <v>0</v>
      </c>
      <c r="F26" s="352">
        <v>0</v>
      </c>
      <c r="G26" s="352">
        <v>0</v>
      </c>
      <c r="H26" s="352">
        <v>0</v>
      </c>
      <c r="I26" s="352">
        <v>0</v>
      </c>
      <c r="J26" s="353">
        <v>0</v>
      </c>
      <c r="K26" s="352">
        <v>0</v>
      </c>
      <c r="L26" s="352">
        <v>0</v>
      </c>
      <c r="M26" s="352">
        <v>0</v>
      </c>
      <c r="N26" s="352">
        <v>0</v>
      </c>
      <c r="O26" s="352">
        <v>57037.85</v>
      </c>
      <c r="P26" s="352">
        <v>154886.97</v>
      </c>
      <c r="Q26" s="352">
        <v>174936.97</v>
      </c>
      <c r="R26" s="352">
        <v>195000.29</v>
      </c>
      <c r="S26" s="352">
        <v>183450.29</v>
      </c>
      <c r="T26" s="352">
        <v>170050.44</v>
      </c>
      <c r="U26" s="352">
        <v>160050.44</v>
      </c>
      <c r="V26" s="352">
        <v>194850.44</v>
      </c>
      <c r="W26" s="352">
        <v>211126.16</v>
      </c>
      <c r="X26"/>
      <c r="Y26"/>
      <c r="Z26" s="43"/>
      <c r="AA26" s="43"/>
    </row>
    <row r="27" spans="1:44" customFormat="1" ht="14.5" thickTop="1" x14ac:dyDescent="0.3">
      <c r="A27" s="371"/>
      <c r="B27" s="372"/>
      <c r="C27" s="373"/>
      <c r="D27" s="374" t="e">
        <f t="shared" ref="D27:W27" si="1">(C23-D24)/C23</f>
        <v>#VALUE!</v>
      </c>
      <c r="E27" s="374" t="e">
        <f t="shared" si="1"/>
        <v>#DIV/0!</v>
      </c>
      <c r="F27" s="374" t="e">
        <f t="shared" si="1"/>
        <v>#DIV/0!</v>
      </c>
      <c r="G27" s="374" t="e">
        <f t="shared" si="1"/>
        <v>#DIV/0!</v>
      </c>
      <c r="H27" s="374" t="e">
        <f t="shared" si="1"/>
        <v>#DIV/0!</v>
      </c>
      <c r="I27" s="374" t="e">
        <f t="shared" si="1"/>
        <v>#DIV/0!</v>
      </c>
      <c r="J27" s="374" t="e">
        <f t="shared" si="1"/>
        <v>#DIV/0!</v>
      </c>
      <c r="K27" s="374" t="e">
        <f t="shared" si="1"/>
        <v>#DIV/0!</v>
      </c>
      <c r="L27" s="374" t="e">
        <f t="shared" si="1"/>
        <v>#DIV/0!</v>
      </c>
      <c r="M27" s="374">
        <f t="shared" si="1"/>
        <v>0</v>
      </c>
      <c r="N27" s="374">
        <f t="shared" si="1"/>
        <v>0.25837952867784136</v>
      </c>
      <c r="O27" s="374">
        <f t="shared" si="1"/>
        <v>0</v>
      </c>
      <c r="P27" s="374">
        <f t="shared" si="1"/>
        <v>0.11180011066981595</v>
      </c>
      <c r="Q27" s="374" t="e">
        <f t="shared" si="1"/>
        <v>#DIV/0!</v>
      </c>
      <c r="R27" s="374" t="e">
        <f t="shared" si="1"/>
        <v>#DIV/0!</v>
      </c>
      <c r="S27" s="374" t="e">
        <f t="shared" si="1"/>
        <v>#DIV/0!</v>
      </c>
      <c r="T27" s="374">
        <f t="shared" si="1"/>
        <v>2.0080321285140562E-2</v>
      </c>
      <c r="U27" s="374">
        <f t="shared" si="1"/>
        <v>0.11287184207221174</v>
      </c>
      <c r="V27" s="374">
        <f t="shared" si="1"/>
        <v>2.6583710407239818E-2</v>
      </c>
      <c r="W27" s="374">
        <f t="shared" si="1"/>
        <v>0</v>
      </c>
      <c r="Z27" s="43"/>
      <c r="AA27" s="43"/>
      <c r="AQ27" s="375"/>
      <c r="AR27" s="375"/>
    </row>
    <row r="28" spans="1:44" customFormat="1" x14ac:dyDescent="0.3">
      <c r="A28" s="371"/>
      <c r="B28" s="372"/>
      <c r="C28" s="373"/>
      <c r="D28" s="374" t="e">
        <f t="shared" ref="D28:V28" si="2">(D24-E25)/C23</f>
        <v>#VALUE!</v>
      </c>
      <c r="E28" s="374" t="e">
        <f t="shared" si="2"/>
        <v>#DIV/0!</v>
      </c>
      <c r="F28" s="374" t="e">
        <f t="shared" si="2"/>
        <v>#DIV/0!</v>
      </c>
      <c r="G28" s="374" t="e">
        <f t="shared" si="2"/>
        <v>#DIV/0!</v>
      </c>
      <c r="H28" s="374" t="e">
        <f t="shared" si="2"/>
        <v>#DIV/0!</v>
      </c>
      <c r="I28" s="374" t="e">
        <f t="shared" si="2"/>
        <v>#DIV/0!</v>
      </c>
      <c r="J28" s="374" t="e">
        <f t="shared" si="2"/>
        <v>#DIV/0!</v>
      </c>
      <c r="K28" s="374" t="e">
        <f t="shared" si="2"/>
        <v>#DIV/0!</v>
      </c>
      <c r="L28" s="374" t="e">
        <f t="shared" si="2"/>
        <v>#DIV/0!</v>
      </c>
      <c r="M28" s="374">
        <f t="shared" si="2"/>
        <v>4.4193874994089069E-2</v>
      </c>
      <c r="N28" s="374">
        <f t="shared" si="2"/>
        <v>9.9281886135293651E-2</v>
      </c>
      <c r="O28" s="374">
        <f t="shared" si="2"/>
        <v>0.16558921930607948</v>
      </c>
      <c r="P28" s="374">
        <f t="shared" si="2"/>
        <v>6.7158041216534778E-2</v>
      </c>
      <c r="Q28" s="374" t="e">
        <f t="shared" si="2"/>
        <v>#DIV/0!</v>
      </c>
      <c r="R28" s="374" t="e">
        <f t="shared" si="2"/>
        <v>#DIV/0!</v>
      </c>
      <c r="S28" s="374" t="e">
        <f t="shared" si="2"/>
        <v>#DIV/0!</v>
      </c>
      <c r="T28" s="374">
        <f t="shared" si="2"/>
        <v>0</v>
      </c>
      <c r="U28" s="374">
        <f t="shared" si="2"/>
        <v>0.20191336166415788</v>
      </c>
      <c r="V28" s="374">
        <f t="shared" si="2"/>
        <v>0.22171945701357465</v>
      </c>
      <c r="W28" s="374">
        <f t="shared" ref="W28" si="3">(W24-Z25)/V23</f>
        <v>1</v>
      </c>
      <c r="Z28" s="43"/>
      <c r="AA28" s="43"/>
      <c r="AQ28" s="375"/>
      <c r="AR28" s="375"/>
    </row>
    <row r="29" spans="1:44" customFormat="1" x14ac:dyDescent="0.3">
      <c r="A29" s="371"/>
      <c r="B29" s="372"/>
      <c r="C29" s="373"/>
      <c r="D29" s="374" t="e">
        <f t="shared" ref="D29:U29" si="4">(E25-F26)/C23</f>
        <v>#VALUE!</v>
      </c>
      <c r="E29" s="374" t="e">
        <f t="shared" si="4"/>
        <v>#DIV/0!</v>
      </c>
      <c r="F29" s="374" t="e">
        <f t="shared" si="4"/>
        <v>#DIV/0!</v>
      </c>
      <c r="G29" s="374" t="e">
        <f t="shared" si="4"/>
        <v>#DIV/0!</v>
      </c>
      <c r="H29" s="374" t="e">
        <f t="shared" si="4"/>
        <v>#DIV/0!</v>
      </c>
      <c r="I29" s="374" t="e">
        <f t="shared" si="4"/>
        <v>#DIV/0!</v>
      </c>
      <c r="J29" s="374" t="e">
        <f t="shared" si="4"/>
        <v>#DIV/0!</v>
      </c>
      <c r="K29" s="374" t="e">
        <f t="shared" si="4"/>
        <v>#DIV/0!</v>
      </c>
      <c r="L29" s="374" t="e">
        <f t="shared" si="4"/>
        <v>#DIV/0!</v>
      </c>
      <c r="M29" s="374">
        <f t="shared" si="4"/>
        <v>0.45166140243959035</v>
      </c>
      <c r="N29" s="374">
        <f t="shared" si="4"/>
        <v>-0.26833124147792103</v>
      </c>
      <c r="O29" s="374">
        <f t="shared" si="4"/>
        <v>-3.829144928888474</v>
      </c>
      <c r="P29" s="374">
        <f t="shared" si="4"/>
        <v>-3.3242993374053991</v>
      </c>
      <c r="Q29" s="374" t="e">
        <f t="shared" si="4"/>
        <v>#DIV/0!</v>
      </c>
      <c r="R29" s="374" t="e">
        <f t="shared" si="4"/>
        <v>#DIV/0!</v>
      </c>
      <c r="S29" s="374" t="e">
        <f t="shared" si="4"/>
        <v>#DIV/0!</v>
      </c>
      <c r="T29" s="374">
        <f t="shared" si="4"/>
        <v>-2.9327397590361448</v>
      </c>
      <c r="U29" s="374">
        <f t="shared" si="4"/>
        <v>-4.2618889174238319</v>
      </c>
      <c r="V29" s="374">
        <f t="shared" ref="V29" si="5">(W25-Z26)/U23</f>
        <v>0.75169683257918551</v>
      </c>
      <c r="W29" s="374">
        <f t="shared" ref="W29" si="6">(Z25-AA26)/V23</f>
        <v>0</v>
      </c>
      <c r="Z29" s="43"/>
      <c r="AA29" s="43"/>
      <c r="AQ29" s="375"/>
      <c r="AR29" s="375"/>
    </row>
    <row r="30" spans="1:44" customFormat="1" x14ac:dyDescent="0.3">
      <c r="A30" s="371"/>
      <c r="B30" s="372"/>
      <c r="C30" s="373"/>
      <c r="D30" s="374" t="e">
        <f t="shared" ref="D30:U30" si="7">(E26-F32)/C24</f>
        <v>#VALUE!</v>
      </c>
      <c r="E30" s="374" t="e">
        <f t="shared" si="7"/>
        <v>#DIV/0!</v>
      </c>
      <c r="F30" s="374" t="e">
        <f t="shared" si="7"/>
        <v>#DIV/0!</v>
      </c>
      <c r="G30" s="374" t="e">
        <f t="shared" si="7"/>
        <v>#DIV/0!</v>
      </c>
      <c r="H30" s="374" t="e">
        <f t="shared" si="7"/>
        <v>#DIV/0!</v>
      </c>
      <c r="I30" s="374" t="e">
        <f t="shared" si="7"/>
        <v>#DIV/0!</v>
      </c>
      <c r="J30" s="374" t="e">
        <f t="shared" si="7"/>
        <v>#DIV/0!</v>
      </c>
      <c r="K30" s="374" t="e">
        <f t="shared" si="7"/>
        <v>#DIV/0!</v>
      </c>
      <c r="L30" s="374" t="e">
        <f t="shared" si="7"/>
        <v>#DIV/0!</v>
      </c>
      <c r="M30" s="374" t="e">
        <f t="shared" si="7"/>
        <v>#DIV/0!</v>
      </c>
      <c r="N30" s="374">
        <f t="shared" si="7"/>
        <v>0.50414472256632059</v>
      </c>
      <c r="O30" s="374">
        <f t="shared" si="7"/>
        <v>1.2279459128754182</v>
      </c>
      <c r="P30" s="374">
        <f t="shared" si="7"/>
        <v>4.6635557095823952</v>
      </c>
      <c r="Q30" s="374">
        <f t="shared" si="7"/>
        <v>4.6671264377719792</v>
      </c>
      <c r="R30" s="374" t="e">
        <f t="shared" si="7"/>
        <v>#DIV/0!</v>
      </c>
      <c r="S30" s="374" t="e">
        <f t="shared" si="7"/>
        <v>#DIV/0!</v>
      </c>
      <c r="T30" s="374" t="e">
        <f t="shared" si="7"/>
        <v>#DIV/0!</v>
      </c>
      <c r="U30" s="374">
        <f t="shared" si="7"/>
        <v>3.9928368852459015</v>
      </c>
      <c r="V30" s="374">
        <f t="shared" ref="V30" si="8">(W26-Z32)/U24</f>
        <v>5.5765166778835136</v>
      </c>
      <c r="W30" s="374">
        <f t="shared" ref="W30" si="9">(Z26-AA32)/V24</f>
        <v>0</v>
      </c>
      <c r="Z30" s="43"/>
      <c r="AA30" s="43"/>
      <c r="AQ30" s="375"/>
      <c r="AR30" s="375"/>
    </row>
    <row r="31" spans="1:44" customFormat="1" ht="14.5" thickBot="1" x14ac:dyDescent="0.35">
      <c r="A31" s="371"/>
      <c r="B31" s="372"/>
      <c r="C31" s="373"/>
      <c r="D31" s="376" t="e">
        <f t="shared" ref="D31:F31" si="10">SUM(D27:D28)</f>
        <v>#VALUE!</v>
      </c>
      <c r="E31" s="376" t="e">
        <f t="shared" si="10"/>
        <v>#DIV/0!</v>
      </c>
      <c r="F31" s="376" t="e">
        <f t="shared" si="10"/>
        <v>#DIV/0!</v>
      </c>
      <c r="G31" s="376" t="e">
        <f t="shared" ref="G31:R31" si="11">SUM(G27)</f>
        <v>#DIV/0!</v>
      </c>
      <c r="H31" s="376" t="e">
        <f t="shared" si="11"/>
        <v>#DIV/0!</v>
      </c>
      <c r="I31" s="376" t="e">
        <f t="shared" si="11"/>
        <v>#DIV/0!</v>
      </c>
      <c r="J31" s="376" t="e">
        <f t="shared" si="11"/>
        <v>#DIV/0!</v>
      </c>
      <c r="K31" s="376" t="e">
        <f t="shared" si="11"/>
        <v>#DIV/0!</v>
      </c>
      <c r="L31" s="376" t="e">
        <f t="shared" si="11"/>
        <v>#DIV/0!</v>
      </c>
      <c r="M31" s="376">
        <f>SUM(M27:M28)</f>
        <v>4.4193874994089069E-2</v>
      </c>
      <c r="N31" s="376">
        <f t="shared" ref="N31:P31" si="12">SUM(N27:N28)</f>
        <v>0.35766141481313501</v>
      </c>
      <c r="O31" s="376">
        <f t="shared" si="12"/>
        <v>0.16558921930607948</v>
      </c>
      <c r="P31" s="376">
        <f t="shared" si="12"/>
        <v>0.17895815188635072</v>
      </c>
      <c r="Q31" s="376" t="e">
        <f t="shared" si="11"/>
        <v>#DIV/0!</v>
      </c>
      <c r="R31" s="376" t="e">
        <f t="shared" si="11"/>
        <v>#DIV/0!</v>
      </c>
      <c r="S31" s="376"/>
      <c r="T31" s="376">
        <f t="shared" ref="T31:V31" si="13">SUM(T27:T28)</f>
        <v>2.0080321285140562E-2</v>
      </c>
      <c r="U31" s="376">
        <f t="shared" si="13"/>
        <v>0.31478520373636965</v>
      </c>
      <c r="V31" s="376">
        <f t="shared" si="13"/>
        <v>0.24830316742081446</v>
      </c>
      <c r="W31" s="376"/>
      <c r="Y31" s="377">
        <f>AVERAGE(M31:P31)</f>
        <v>0.18660066524991359</v>
      </c>
      <c r="Z31" s="378">
        <f>ROUNDUP(Y31,1)</f>
        <v>0.2</v>
      </c>
      <c r="AA31" s="378"/>
      <c r="AP31" s="377"/>
      <c r="AQ31" s="375"/>
      <c r="AR31" s="375"/>
    </row>
    <row r="32" spans="1:44" s="364" customFormat="1" ht="15" thickTop="1" thickBot="1" x14ac:dyDescent="0.35">
      <c r="A32" s="363"/>
      <c r="B32" s="356" t="s">
        <v>165</v>
      </c>
      <c r="C32" s="357" t="s">
        <v>169</v>
      </c>
      <c r="D32" s="357"/>
      <c r="E32" s="357"/>
      <c r="F32" s="357"/>
      <c r="G32" s="357"/>
      <c r="H32" s="357"/>
      <c r="I32" s="357"/>
      <c r="J32" s="357"/>
      <c r="K32" s="357"/>
      <c r="L32" s="357"/>
      <c r="M32" s="357"/>
      <c r="N32" s="357"/>
      <c r="O32" s="357"/>
      <c r="P32" s="357"/>
      <c r="Q32" s="357"/>
      <c r="R32" s="357"/>
      <c r="S32" s="357"/>
      <c r="T32" s="357"/>
      <c r="U32" s="357"/>
      <c r="V32" s="357"/>
      <c r="W32" s="357"/>
      <c r="X32"/>
      <c r="Y32"/>
      <c r="Z32" s="378">
        <f>100%-Z31</f>
        <v>0.8</v>
      </c>
      <c r="AA32" s="379"/>
    </row>
    <row r="33" spans="1:27" s="364" customFormat="1" ht="15" thickTop="1" thickBot="1" x14ac:dyDescent="0.35">
      <c r="A33" s="363"/>
      <c r="B33" s="356" t="s">
        <v>166</v>
      </c>
      <c r="C33" s="358" t="s">
        <v>169</v>
      </c>
      <c r="D33" s="358"/>
      <c r="E33" s="358"/>
      <c r="F33" s="358"/>
      <c r="G33" s="358"/>
      <c r="H33" s="358"/>
      <c r="I33" s="358"/>
      <c r="J33" s="358"/>
      <c r="K33" s="358"/>
      <c r="L33" s="358"/>
      <c r="M33" s="358"/>
      <c r="N33" s="358"/>
      <c r="O33" s="358"/>
      <c r="P33" s="358"/>
      <c r="Q33" s="358"/>
      <c r="R33" s="358"/>
      <c r="S33" s="358"/>
      <c r="T33" s="358"/>
      <c r="U33" s="358"/>
      <c r="V33" s="358"/>
      <c r="W33" s="358"/>
      <c r="X33"/>
      <c r="Y33"/>
      <c r="Z33" s="43"/>
      <c r="AA33" s="43"/>
    </row>
    <row r="34" spans="1:27" ht="15" thickTop="1" thickBot="1" x14ac:dyDescent="0.35">
      <c r="A34" s="331"/>
      <c r="B34" s="380" t="s">
        <v>172</v>
      </c>
      <c r="C34" s="381" t="s">
        <v>156</v>
      </c>
      <c r="D34" s="382">
        <f>SUM(D19:D26)</f>
        <v>0</v>
      </c>
      <c r="E34" s="382">
        <f t="shared" ref="E34:W34" si="14">SUM(E19:E26)</f>
        <v>0</v>
      </c>
      <c r="F34" s="382">
        <f t="shared" si="14"/>
        <v>0</v>
      </c>
      <c r="G34" s="382">
        <f t="shared" si="14"/>
        <v>4319000</v>
      </c>
      <c r="H34" s="382">
        <f t="shared" si="14"/>
        <v>26298900</v>
      </c>
      <c r="I34" s="382">
        <f t="shared" si="14"/>
        <v>96001050.700000003</v>
      </c>
      <c r="J34" s="382">
        <f t="shared" si="14"/>
        <v>92531962.219999999</v>
      </c>
      <c r="K34" s="382">
        <f t="shared" si="14"/>
        <v>26557836.120000001</v>
      </c>
      <c r="L34" s="382">
        <f t="shared" si="14"/>
        <v>24852549.620000001</v>
      </c>
      <c r="M34" s="382">
        <f t="shared" si="14"/>
        <v>5463265.6199999992</v>
      </c>
      <c r="N34" s="382">
        <f t="shared" si="14"/>
        <v>91352276.760000005</v>
      </c>
      <c r="O34" s="382">
        <f t="shared" si="14"/>
        <v>41081475.969999999</v>
      </c>
      <c r="P34" s="382">
        <f t="shared" si="14"/>
        <v>63506567.959999993</v>
      </c>
      <c r="Q34" s="382">
        <f t="shared" si="14"/>
        <v>224767978.18000001</v>
      </c>
      <c r="R34" s="382">
        <f t="shared" si="14"/>
        <v>860428032.01999998</v>
      </c>
      <c r="S34" s="382">
        <f t="shared" si="14"/>
        <v>112068520.01000001</v>
      </c>
      <c r="T34" s="382">
        <f t="shared" si="14"/>
        <v>1810227746.1600001</v>
      </c>
      <c r="U34" s="382">
        <f t="shared" si="14"/>
        <v>375021514.16000003</v>
      </c>
      <c r="V34" s="382">
        <f t="shared" si="14"/>
        <v>158619015.16</v>
      </c>
      <c r="W34" s="382">
        <f t="shared" si="14"/>
        <v>1402369569.6300001</v>
      </c>
      <c r="Z34" s="43"/>
      <c r="AA34" s="43"/>
    </row>
    <row r="35" spans="1:27" ht="15" thickTop="1" thickBot="1" x14ac:dyDescent="0.35">
      <c r="A35" s="331"/>
      <c r="B35" s="383" t="s">
        <v>173</v>
      </c>
      <c r="C35" s="384" t="s">
        <v>156</v>
      </c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Z35" s="43"/>
      <c r="AA35" s="43"/>
    </row>
    <row r="36" spans="1:27" ht="14.5" thickTop="1" x14ac:dyDescent="0.3">
      <c r="B36" s="386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</row>
    <row r="37" spans="1:27" x14ac:dyDescent="0.3">
      <c r="D37" s="342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</row>
    <row r="39" spans="1:27" ht="16.5" customHeight="1" thickBot="1" x14ac:dyDescent="0.35">
      <c r="A39" s="623" t="s">
        <v>174</v>
      </c>
      <c r="B39" s="623"/>
      <c r="C39" s="623"/>
      <c r="D39" s="387"/>
      <c r="E39" s="387"/>
      <c r="F39" s="387"/>
      <c r="G39" s="387"/>
      <c r="H39" s="387"/>
      <c r="I39" s="387"/>
      <c r="J39" s="387"/>
      <c r="K39" s="387"/>
      <c r="L39" s="387"/>
      <c r="M39" s="387"/>
      <c r="N39" s="387"/>
      <c r="O39" s="387"/>
      <c r="P39" s="387"/>
      <c r="Q39" s="387"/>
      <c r="R39" s="387"/>
      <c r="S39" s="387"/>
      <c r="T39" s="387"/>
      <c r="U39" s="387"/>
      <c r="V39" s="387"/>
      <c r="W39" s="387"/>
    </row>
    <row r="40" spans="1:27" s="392" customFormat="1" ht="16.5" customHeight="1" x14ac:dyDescent="0.3">
      <c r="A40" s="624" t="s">
        <v>175</v>
      </c>
      <c r="B40" s="388" t="s">
        <v>176</v>
      </c>
      <c r="C40" s="389"/>
      <c r="D40" s="390">
        <f t="shared" ref="D40:W40" si="15">D4</f>
        <v>0</v>
      </c>
      <c r="E40" s="390">
        <f t="shared" si="15"/>
        <v>0</v>
      </c>
      <c r="F40" s="390">
        <f t="shared" si="15"/>
        <v>0</v>
      </c>
      <c r="G40" s="390">
        <f t="shared" si="15"/>
        <v>0</v>
      </c>
      <c r="H40" s="390">
        <f t="shared" si="15"/>
        <v>0</v>
      </c>
      <c r="I40" s="390">
        <f t="shared" si="15"/>
        <v>0</v>
      </c>
      <c r="J40" s="390">
        <f t="shared" si="15"/>
        <v>0</v>
      </c>
      <c r="K40" s="390">
        <f t="shared" si="15"/>
        <v>0</v>
      </c>
      <c r="L40" s="390">
        <f t="shared" si="15"/>
        <v>0</v>
      </c>
      <c r="M40" s="390">
        <f t="shared" si="15"/>
        <v>0</v>
      </c>
      <c r="N40" s="390">
        <f t="shared" si="15"/>
        <v>0</v>
      </c>
      <c r="O40" s="390">
        <f t="shared" si="15"/>
        <v>0</v>
      </c>
      <c r="P40" s="390">
        <f t="shared" si="15"/>
        <v>0</v>
      </c>
      <c r="Q40" s="390">
        <f t="shared" si="15"/>
        <v>0</v>
      </c>
      <c r="R40" s="390">
        <f t="shared" si="15"/>
        <v>0</v>
      </c>
      <c r="S40" s="390">
        <f t="shared" si="15"/>
        <v>0</v>
      </c>
      <c r="T40" s="390">
        <f t="shared" si="15"/>
        <v>0</v>
      </c>
      <c r="U40" s="390">
        <f t="shared" si="15"/>
        <v>0</v>
      </c>
      <c r="V40" s="390">
        <f t="shared" si="15"/>
        <v>0</v>
      </c>
      <c r="W40" s="390">
        <f t="shared" si="15"/>
        <v>0</v>
      </c>
      <c r="X40"/>
      <c r="Y40"/>
      <c r="Z40" s="391"/>
      <c r="AA40" s="391"/>
    </row>
    <row r="41" spans="1:27" s="392" customFormat="1" ht="16.5" customHeight="1" x14ac:dyDescent="0.3">
      <c r="A41" s="625"/>
      <c r="B41" s="393" t="s">
        <v>177</v>
      </c>
      <c r="C41" s="394"/>
      <c r="D41" s="395">
        <f t="shared" ref="D41:W41" si="16">SUM(D8:D13)</f>
        <v>0</v>
      </c>
      <c r="E41" s="395">
        <f t="shared" si="16"/>
        <v>0</v>
      </c>
      <c r="F41" s="395">
        <f t="shared" si="16"/>
        <v>0</v>
      </c>
      <c r="G41" s="395">
        <f t="shared" si="16"/>
        <v>0</v>
      </c>
      <c r="H41" s="395">
        <f t="shared" si="16"/>
        <v>0</v>
      </c>
      <c r="I41" s="395">
        <f t="shared" si="16"/>
        <v>0</v>
      </c>
      <c r="J41" s="395">
        <f t="shared" si="16"/>
        <v>0</v>
      </c>
      <c r="K41" s="395">
        <f t="shared" si="16"/>
        <v>0</v>
      </c>
      <c r="L41" s="395">
        <f t="shared" si="16"/>
        <v>0</v>
      </c>
      <c r="M41" s="395">
        <f t="shared" si="16"/>
        <v>0</v>
      </c>
      <c r="N41" s="395">
        <f t="shared" si="16"/>
        <v>0</v>
      </c>
      <c r="O41" s="395">
        <f t="shared" si="16"/>
        <v>0</v>
      </c>
      <c r="P41" s="395">
        <f t="shared" si="16"/>
        <v>0</v>
      </c>
      <c r="Q41" s="395">
        <f t="shared" si="16"/>
        <v>0</v>
      </c>
      <c r="R41" s="395">
        <f t="shared" si="16"/>
        <v>0</v>
      </c>
      <c r="S41" s="395">
        <f t="shared" si="16"/>
        <v>0</v>
      </c>
      <c r="T41" s="395">
        <f t="shared" si="16"/>
        <v>0</v>
      </c>
      <c r="U41" s="395">
        <f t="shared" si="16"/>
        <v>0</v>
      </c>
      <c r="V41" s="395">
        <f t="shared" si="16"/>
        <v>0</v>
      </c>
      <c r="W41" s="395">
        <f t="shared" si="16"/>
        <v>0</v>
      </c>
      <c r="X41"/>
      <c r="Y41"/>
      <c r="Z41" s="391"/>
      <c r="AA41" s="391"/>
    </row>
    <row r="42" spans="1:27" ht="15.75" customHeight="1" x14ac:dyDescent="0.3">
      <c r="A42" s="625"/>
      <c r="B42" s="396" t="s">
        <v>178</v>
      </c>
      <c r="C42" s="397"/>
      <c r="D42" s="395">
        <f t="shared" ref="D42:W42" si="17">SUM(D7:D9)</f>
        <v>0</v>
      </c>
      <c r="E42" s="395">
        <f t="shared" si="17"/>
        <v>0</v>
      </c>
      <c r="F42" s="395">
        <f t="shared" si="17"/>
        <v>0</v>
      </c>
      <c r="G42" s="395">
        <f t="shared" si="17"/>
        <v>0</v>
      </c>
      <c r="H42" s="395">
        <f t="shared" si="17"/>
        <v>0</v>
      </c>
      <c r="I42" s="395">
        <f t="shared" si="17"/>
        <v>0</v>
      </c>
      <c r="J42" s="395">
        <f t="shared" si="17"/>
        <v>0</v>
      </c>
      <c r="K42" s="395">
        <f t="shared" si="17"/>
        <v>0</v>
      </c>
      <c r="L42" s="395">
        <f t="shared" si="17"/>
        <v>0</v>
      </c>
      <c r="M42" s="395">
        <f t="shared" si="17"/>
        <v>0</v>
      </c>
      <c r="N42" s="395">
        <f t="shared" si="17"/>
        <v>0</v>
      </c>
      <c r="O42" s="395">
        <f t="shared" si="17"/>
        <v>0</v>
      </c>
      <c r="P42" s="395">
        <f t="shared" si="17"/>
        <v>0</v>
      </c>
      <c r="Q42" s="395">
        <f t="shared" si="17"/>
        <v>0</v>
      </c>
      <c r="R42" s="395">
        <f t="shared" si="17"/>
        <v>0</v>
      </c>
      <c r="S42" s="395">
        <f t="shared" si="17"/>
        <v>0</v>
      </c>
      <c r="T42" s="395">
        <f t="shared" si="17"/>
        <v>0</v>
      </c>
      <c r="U42" s="395">
        <f t="shared" si="17"/>
        <v>0</v>
      </c>
      <c r="V42" s="395">
        <f t="shared" si="17"/>
        <v>0</v>
      </c>
      <c r="W42" s="395">
        <f t="shared" si="17"/>
        <v>0</v>
      </c>
    </row>
    <row r="43" spans="1:27" x14ac:dyDescent="0.3">
      <c r="A43" s="625"/>
      <c r="B43" s="396" t="s">
        <v>179</v>
      </c>
      <c r="C43" s="397"/>
      <c r="D43" s="395">
        <f t="shared" ref="D43:W43" si="18">SUM(D7:D13)</f>
        <v>0</v>
      </c>
      <c r="E43" s="395">
        <f t="shared" si="18"/>
        <v>0</v>
      </c>
      <c r="F43" s="395">
        <f t="shared" si="18"/>
        <v>0</v>
      </c>
      <c r="G43" s="395">
        <f t="shared" si="18"/>
        <v>0</v>
      </c>
      <c r="H43" s="395">
        <f t="shared" si="18"/>
        <v>0</v>
      </c>
      <c r="I43" s="395">
        <f t="shared" si="18"/>
        <v>0</v>
      </c>
      <c r="J43" s="395">
        <f t="shared" si="18"/>
        <v>0</v>
      </c>
      <c r="K43" s="395">
        <f t="shared" si="18"/>
        <v>0</v>
      </c>
      <c r="L43" s="395">
        <f t="shared" si="18"/>
        <v>0</v>
      </c>
      <c r="M43" s="395">
        <f t="shared" si="18"/>
        <v>0</v>
      </c>
      <c r="N43" s="395">
        <f t="shared" si="18"/>
        <v>0</v>
      </c>
      <c r="O43" s="395">
        <f t="shared" si="18"/>
        <v>0</v>
      </c>
      <c r="P43" s="395">
        <f t="shared" si="18"/>
        <v>0</v>
      </c>
      <c r="Q43" s="395">
        <f t="shared" si="18"/>
        <v>0</v>
      </c>
      <c r="R43" s="395">
        <f t="shared" si="18"/>
        <v>0</v>
      </c>
      <c r="S43" s="395">
        <f t="shared" si="18"/>
        <v>0</v>
      </c>
      <c r="T43" s="395">
        <f t="shared" si="18"/>
        <v>0</v>
      </c>
      <c r="U43" s="395">
        <f t="shared" si="18"/>
        <v>0</v>
      </c>
      <c r="V43" s="395">
        <f t="shared" si="18"/>
        <v>0</v>
      </c>
      <c r="W43" s="395">
        <f t="shared" si="18"/>
        <v>0</v>
      </c>
    </row>
    <row r="44" spans="1:27" x14ac:dyDescent="0.3">
      <c r="A44" s="625"/>
      <c r="B44" s="396" t="s">
        <v>180</v>
      </c>
      <c r="C44" s="397"/>
      <c r="D44" s="398" t="str">
        <f t="shared" ref="D44:R44" si="19">IFERROR(SUM(D10:D13)/D4,"")</f>
        <v/>
      </c>
      <c r="E44" s="398" t="str">
        <f t="shared" si="19"/>
        <v/>
      </c>
      <c r="F44" s="398" t="str">
        <f t="shared" si="19"/>
        <v/>
      </c>
      <c r="G44" s="398" t="str">
        <f t="shared" si="19"/>
        <v/>
      </c>
      <c r="H44" s="398" t="str">
        <f t="shared" si="19"/>
        <v/>
      </c>
      <c r="I44" s="398" t="str">
        <f t="shared" si="19"/>
        <v/>
      </c>
      <c r="J44" s="398" t="str">
        <f t="shared" si="19"/>
        <v/>
      </c>
      <c r="K44" s="398" t="str">
        <f t="shared" si="19"/>
        <v/>
      </c>
      <c r="L44" s="398" t="str">
        <f t="shared" si="19"/>
        <v/>
      </c>
      <c r="M44" s="398" t="str">
        <f t="shared" si="19"/>
        <v/>
      </c>
      <c r="N44" s="398" t="str">
        <f t="shared" si="19"/>
        <v/>
      </c>
      <c r="O44" s="398" t="str">
        <f t="shared" si="19"/>
        <v/>
      </c>
      <c r="P44" s="398" t="str">
        <f t="shared" si="19"/>
        <v/>
      </c>
      <c r="Q44" s="398" t="str">
        <f t="shared" si="19"/>
        <v/>
      </c>
      <c r="R44" s="398" t="str">
        <f t="shared" si="19"/>
        <v/>
      </c>
      <c r="S44" s="398" t="str">
        <f t="shared" ref="S44:W44" si="20">IFERROR(SUM(S10:S13)/S4,"")</f>
        <v/>
      </c>
      <c r="T44" s="398" t="str">
        <f t="shared" si="20"/>
        <v/>
      </c>
      <c r="U44" s="398" t="str">
        <f t="shared" si="20"/>
        <v/>
      </c>
      <c r="V44" s="398" t="str">
        <f t="shared" si="20"/>
        <v/>
      </c>
      <c r="W44" s="398" t="str">
        <f t="shared" si="20"/>
        <v/>
      </c>
    </row>
    <row r="45" spans="1:27" x14ac:dyDescent="0.3">
      <c r="A45" s="625"/>
      <c r="B45" s="396" t="s">
        <v>181</v>
      </c>
      <c r="C45" s="397"/>
      <c r="D45" s="398" t="str">
        <f t="shared" ref="D45:W45" si="21">IFERROR((D10+D11+D14+D12+D13)/D3,"")</f>
        <v/>
      </c>
      <c r="E45" s="398" t="str">
        <f t="shared" si="21"/>
        <v/>
      </c>
      <c r="F45" s="398" t="str">
        <f t="shared" si="21"/>
        <v/>
      </c>
      <c r="G45" s="398" t="str">
        <f t="shared" si="21"/>
        <v/>
      </c>
      <c r="H45" s="398" t="str">
        <f t="shared" si="21"/>
        <v/>
      </c>
      <c r="I45" s="398" t="str">
        <f t="shared" si="21"/>
        <v/>
      </c>
      <c r="J45" s="398" t="str">
        <f t="shared" si="21"/>
        <v/>
      </c>
      <c r="K45" s="398" t="str">
        <f t="shared" si="21"/>
        <v/>
      </c>
      <c r="L45" s="398" t="str">
        <f t="shared" si="21"/>
        <v/>
      </c>
      <c r="M45" s="398" t="str">
        <f t="shared" si="21"/>
        <v/>
      </c>
      <c r="N45" s="398" t="str">
        <f t="shared" si="21"/>
        <v/>
      </c>
      <c r="O45" s="398" t="str">
        <f t="shared" si="21"/>
        <v/>
      </c>
      <c r="P45" s="398" t="str">
        <f t="shared" si="21"/>
        <v/>
      </c>
      <c r="Q45" s="398" t="str">
        <f t="shared" si="21"/>
        <v/>
      </c>
      <c r="R45" s="398" t="str">
        <f t="shared" si="21"/>
        <v/>
      </c>
      <c r="S45" s="398" t="str">
        <f t="shared" si="21"/>
        <v/>
      </c>
      <c r="T45" s="398" t="str">
        <f t="shared" si="21"/>
        <v/>
      </c>
      <c r="U45" s="398" t="str">
        <f t="shared" si="21"/>
        <v/>
      </c>
      <c r="V45" s="398" t="str">
        <f t="shared" si="21"/>
        <v/>
      </c>
      <c r="W45" s="398" t="str">
        <f t="shared" si="21"/>
        <v/>
      </c>
    </row>
    <row r="46" spans="1:27" x14ac:dyDescent="0.3">
      <c r="A46" s="625"/>
      <c r="B46" s="396" t="s">
        <v>182</v>
      </c>
      <c r="C46" s="397"/>
      <c r="D46" s="399" t="e">
        <f t="shared" ref="D46:W46" si="22">(D10+D11+D12+D13)/D40</f>
        <v>#DIV/0!</v>
      </c>
      <c r="E46" s="399" t="e">
        <f t="shared" si="22"/>
        <v>#DIV/0!</v>
      </c>
      <c r="F46" s="399" t="e">
        <f t="shared" si="22"/>
        <v>#DIV/0!</v>
      </c>
      <c r="G46" s="399" t="e">
        <f t="shared" si="22"/>
        <v>#DIV/0!</v>
      </c>
      <c r="H46" s="399" t="e">
        <f t="shared" si="22"/>
        <v>#DIV/0!</v>
      </c>
      <c r="I46" s="399" t="e">
        <f t="shared" si="22"/>
        <v>#DIV/0!</v>
      </c>
      <c r="J46" s="399" t="e">
        <f t="shared" si="22"/>
        <v>#DIV/0!</v>
      </c>
      <c r="K46" s="399" t="e">
        <f t="shared" si="22"/>
        <v>#DIV/0!</v>
      </c>
      <c r="L46" s="399" t="e">
        <f t="shared" si="22"/>
        <v>#DIV/0!</v>
      </c>
      <c r="M46" s="399" t="e">
        <f t="shared" si="22"/>
        <v>#DIV/0!</v>
      </c>
      <c r="N46" s="399" t="e">
        <f t="shared" si="22"/>
        <v>#DIV/0!</v>
      </c>
      <c r="O46" s="399" t="e">
        <f t="shared" si="22"/>
        <v>#DIV/0!</v>
      </c>
      <c r="P46" s="399" t="e">
        <f t="shared" si="22"/>
        <v>#DIV/0!</v>
      </c>
      <c r="Q46" s="399" t="e">
        <f t="shared" si="22"/>
        <v>#DIV/0!</v>
      </c>
      <c r="R46" s="399" t="e">
        <f t="shared" si="22"/>
        <v>#DIV/0!</v>
      </c>
      <c r="S46" s="399" t="e">
        <f t="shared" si="22"/>
        <v>#DIV/0!</v>
      </c>
      <c r="T46" s="399" t="e">
        <f t="shared" si="22"/>
        <v>#DIV/0!</v>
      </c>
      <c r="U46" s="399" t="e">
        <f t="shared" si="22"/>
        <v>#DIV/0!</v>
      </c>
      <c r="V46" s="399" t="e">
        <f t="shared" si="22"/>
        <v>#DIV/0!</v>
      </c>
      <c r="W46" s="399" t="e">
        <f t="shared" si="22"/>
        <v>#DIV/0!</v>
      </c>
    </row>
    <row r="47" spans="1:27" x14ac:dyDescent="0.3">
      <c r="A47" s="625"/>
      <c r="B47" s="396" t="s">
        <v>183</v>
      </c>
      <c r="C47" s="397"/>
      <c r="D47" s="399" t="str">
        <f t="shared" ref="D47:W47" si="23">IFERROR(D41/D4,"")</f>
        <v/>
      </c>
      <c r="E47" s="399" t="str">
        <f t="shared" si="23"/>
        <v/>
      </c>
      <c r="F47" s="399" t="str">
        <f t="shared" si="23"/>
        <v/>
      </c>
      <c r="G47" s="399" t="str">
        <f t="shared" si="23"/>
        <v/>
      </c>
      <c r="H47" s="399" t="str">
        <f t="shared" si="23"/>
        <v/>
      </c>
      <c r="I47" s="399" t="str">
        <f t="shared" si="23"/>
        <v/>
      </c>
      <c r="J47" s="399" t="str">
        <f t="shared" si="23"/>
        <v/>
      </c>
      <c r="K47" s="399" t="str">
        <f t="shared" si="23"/>
        <v/>
      </c>
      <c r="L47" s="399" t="str">
        <f t="shared" si="23"/>
        <v/>
      </c>
      <c r="M47" s="399" t="str">
        <f t="shared" si="23"/>
        <v/>
      </c>
      <c r="N47" s="399" t="str">
        <f t="shared" si="23"/>
        <v/>
      </c>
      <c r="O47" s="399" t="str">
        <f t="shared" si="23"/>
        <v/>
      </c>
      <c r="P47" s="399" t="str">
        <f t="shared" si="23"/>
        <v/>
      </c>
      <c r="Q47" s="399" t="str">
        <f t="shared" si="23"/>
        <v/>
      </c>
      <c r="R47" s="399" t="str">
        <f t="shared" si="23"/>
        <v/>
      </c>
      <c r="S47" s="399" t="str">
        <f t="shared" si="23"/>
        <v/>
      </c>
      <c r="T47" s="399" t="str">
        <f t="shared" si="23"/>
        <v/>
      </c>
      <c r="U47" s="399" t="str">
        <f t="shared" si="23"/>
        <v/>
      </c>
      <c r="V47" s="399" t="str">
        <f t="shared" si="23"/>
        <v/>
      </c>
      <c r="W47" s="399" t="str">
        <f t="shared" si="23"/>
        <v/>
      </c>
    </row>
    <row r="48" spans="1:27" x14ac:dyDescent="0.3">
      <c r="A48" s="625"/>
      <c r="B48" s="396" t="s">
        <v>184</v>
      </c>
      <c r="C48" s="397"/>
      <c r="D48" s="399" t="str">
        <f t="shared" ref="D48:W48" si="24">IFERROR((D41+D14)/D3,"")</f>
        <v/>
      </c>
      <c r="E48" s="399" t="str">
        <f t="shared" si="24"/>
        <v/>
      </c>
      <c r="F48" s="399" t="str">
        <f t="shared" si="24"/>
        <v/>
      </c>
      <c r="G48" s="399" t="str">
        <f t="shared" si="24"/>
        <v/>
      </c>
      <c r="H48" s="399" t="str">
        <f t="shared" si="24"/>
        <v/>
      </c>
      <c r="I48" s="399" t="str">
        <f t="shared" si="24"/>
        <v/>
      </c>
      <c r="J48" s="399" t="str">
        <f t="shared" si="24"/>
        <v/>
      </c>
      <c r="K48" s="399" t="str">
        <f t="shared" si="24"/>
        <v/>
      </c>
      <c r="L48" s="399" t="str">
        <f t="shared" si="24"/>
        <v/>
      </c>
      <c r="M48" s="399" t="str">
        <f t="shared" si="24"/>
        <v/>
      </c>
      <c r="N48" s="399" t="str">
        <f t="shared" si="24"/>
        <v/>
      </c>
      <c r="O48" s="399" t="str">
        <f t="shared" si="24"/>
        <v/>
      </c>
      <c r="P48" s="399" t="str">
        <f t="shared" si="24"/>
        <v/>
      </c>
      <c r="Q48" s="399" t="str">
        <f t="shared" si="24"/>
        <v/>
      </c>
      <c r="R48" s="399" t="str">
        <f t="shared" si="24"/>
        <v/>
      </c>
      <c r="S48" s="399" t="str">
        <f t="shared" si="24"/>
        <v/>
      </c>
      <c r="T48" s="399" t="str">
        <f t="shared" si="24"/>
        <v/>
      </c>
      <c r="U48" s="399" t="str">
        <f t="shared" si="24"/>
        <v/>
      </c>
      <c r="V48" s="399" t="str">
        <f t="shared" si="24"/>
        <v/>
      </c>
      <c r="W48" s="399" t="str">
        <f t="shared" si="24"/>
        <v/>
      </c>
    </row>
    <row r="49" spans="1:27" x14ac:dyDescent="0.3">
      <c r="A49" s="625"/>
      <c r="B49" s="396" t="s">
        <v>185</v>
      </c>
      <c r="C49" s="397"/>
      <c r="D49" s="399" t="str">
        <f t="shared" ref="D49:W49" si="25">IFERROR((D41)/D40,"")</f>
        <v/>
      </c>
      <c r="E49" s="399" t="str">
        <f t="shared" si="25"/>
        <v/>
      </c>
      <c r="F49" s="399" t="str">
        <f t="shared" si="25"/>
        <v/>
      </c>
      <c r="G49" s="399" t="str">
        <f t="shared" si="25"/>
        <v/>
      </c>
      <c r="H49" s="399" t="str">
        <f t="shared" si="25"/>
        <v/>
      </c>
      <c r="I49" s="399" t="str">
        <f t="shared" si="25"/>
        <v/>
      </c>
      <c r="J49" s="399" t="str">
        <f t="shared" si="25"/>
        <v/>
      </c>
      <c r="K49" s="399" t="str">
        <f t="shared" si="25"/>
        <v/>
      </c>
      <c r="L49" s="399" t="str">
        <f t="shared" si="25"/>
        <v/>
      </c>
      <c r="M49" s="399" t="str">
        <f t="shared" si="25"/>
        <v/>
      </c>
      <c r="N49" s="399" t="str">
        <f t="shared" si="25"/>
        <v/>
      </c>
      <c r="O49" s="399" t="str">
        <f t="shared" si="25"/>
        <v/>
      </c>
      <c r="P49" s="399" t="str">
        <f t="shared" si="25"/>
        <v/>
      </c>
      <c r="Q49" s="399" t="str">
        <f t="shared" si="25"/>
        <v/>
      </c>
      <c r="R49" s="399" t="str">
        <f t="shared" si="25"/>
        <v/>
      </c>
      <c r="S49" s="399" t="str">
        <f t="shared" si="25"/>
        <v/>
      </c>
      <c r="T49" s="399" t="str">
        <f t="shared" si="25"/>
        <v/>
      </c>
      <c r="U49" s="399" t="str">
        <f t="shared" si="25"/>
        <v/>
      </c>
      <c r="V49" s="399" t="str">
        <f t="shared" si="25"/>
        <v/>
      </c>
      <c r="W49" s="399" t="str">
        <f t="shared" si="25"/>
        <v/>
      </c>
    </row>
    <row r="50" spans="1:27" x14ac:dyDescent="0.3">
      <c r="A50" s="625"/>
      <c r="B50" s="396" t="s">
        <v>186</v>
      </c>
      <c r="C50" s="397"/>
      <c r="D50" s="398" t="str">
        <f t="shared" ref="D50:R50" si="26">IFERROR(SUM(D43/D4),"")</f>
        <v/>
      </c>
      <c r="E50" s="398" t="str">
        <f t="shared" si="26"/>
        <v/>
      </c>
      <c r="F50" s="398" t="str">
        <f t="shared" si="26"/>
        <v/>
      </c>
      <c r="G50" s="398" t="str">
        <f t="shared" si="26"/>
        <v/>
      </c>
      <c r="H50" s="398" t="str">
        <f t="shared" si="26"/>
        <v/>
      </c>
      <c r="I50" s="398" t="str">
        <f t="shared" si="26"/>
        <v/>
      </c>
      <c r="J50" s="398" t="str">
        <f t="shared" si="26"/>
        <v/>
      </c>
      <c r="K50" s="398" t="str">
        <f t="shared" si="26"/>
        <v/>
      </c>
      <c r="L50" s="398" t="str">
        <f t="shared" si="26"/>
        <v/>
      </c>
      <c r="M50" s="398" t="str">
        <f t="shared" si="26"/>
        <v/>
      </c>
      <c r="N50" s="398" t="str">
        <f t="shared" si="26"/>
        <v/>
      </c>
      <c r="O50" s="398" t="str">
        <f t="shared" si="26"/>
        <v/>
      </c>
      <c r="P50" s="398" t="str">
        <f t="shared" si="26"/>
        <v/>
      </c>
      <c r="Q50" s="398" t="str">
        <f t="shared" si="26"/>
        <v/>
      </c>
      <c r="R50" s="398" t="str">
        <f t="shared" si="26"/>
        <v/>
      </c>
      <c r="S50" s="398" t="str">
        <f t="shared" ref="S50:W50" si="27">IFERROR(SUM(S43/S4),"")</f>
        <v/>
      </c>
      <c r="T50" s="398" t="str">
        <f t="shared" si="27"/>
        <v/>
      </c>
      <c r="U50" s="398" t="str">
        <f t="shared" si="27"/>
        <v/>
      </c>
      <c r="V50" s="398" t="str">
        <f t="shared" si="27"/>
        <v/>
      </c>
      <c r="W50" s="398" t="str">
        <f t="shared" si="27"/>
        <v/>
      </c>
    </row>
    <row r="51" spans="1:27" x14ac:dyDescent="0.3">
      <c r="A51" s="625"/>
      <c r="B51" s="396" t="s">
        <v>187</v>
      </c>
      <c r="C51" s="397"/>
      <c r="D51" s="399" t="str">
        <f t="shared" ref="D51:W51" si="28">IFERROR(SUM(D43/D40),"")</f>
        <v/>
      </c>
      <c r="E51" s="399" t="str">
        <f t="shared" si="28"/>
        <v/>
      </c>
      <c r="F51" s="399" t="str">
        <f t="shared" si="28"/>
        <v/>
      </c>
      <c r="G51" s="399" t="str">
        <f t="shared" si="28"/>
        <v/>
      </c>
      <c r="H51" s="399" t="str">
        <f t="shared" si="28"/>
        <v/>
      </c>
      <c r="I51" s="399" t="str">
        <f t="shared" si="28"/>
        <v/>
      </c>
      <c r="J51" s="399" t="str">
        <f t="shared" si="28"/>
        <v/>
      </c>
      <c r="K51" s="399" t="str">
        <f t="shared" si="28"/>
        <v/>
      </c>
      <c r="L51" s="399" t="str">
        <f t="shared" si="28"/>
        <v/>
      </c>
      <c r="M51" s="399" t="str">
        <f t="shared" si="28"/>
        <v/>
      </c>
      <c r="N51" s="399" t="str">
        <f t="shared" si="28"/>
        <v/>
      </c>
      <c r="O51" s="399" t="str">
        <f t="shared" si="28"/>
        <v/>
      </c>
      <c r="P51" s="399" t="str">
        <f t="shared" si="28"/>
        <v/>
      </c>
      <c r="Q51" s="399" t="str">
        <f t="shared" si="28"/>
        <v/>
      </c>
      <c r="R51" s="399" t="str">
        <f t="shared" si="28"/>
        <v/>
      </c>
      <c r="S51" s="399" t="str">
        <f t="shared" si="28"/>
        <v/>
      </c>
      <c r="T51" s="399" t="str">
        <f t="shared" si="28"/>
        <v/>
      </c>
      <c r="U51" s="399" t="str">
        <f t="shared" si="28"/>
        <v/>
      </c>
      <c r="V51" s="399" t="str">
        <f t="shared" si="28"/>
        <v/>
      </c>
      <c r="W51" s="399" t="str">
        <f t="shared" si="28"/>
        <v/>
      </c>
    </row>
    <row r="52" spans="1:27" x14ac:dyDescent="0.3">
      <c r="A52" s="625"/>
      <c r="B52" s="396" t="s">
        <v>188</v>
      </c>
      <c r="C52" s="397"/>
      <c r="D52" s="399" t="str">
        <f t="shared" ref="D52:W52" si="29">IFERROR(D14/D3,"")</f>
        <v/>
      </c>
      <c r="E52" s="399" t="str">
        <f t="shared" si="29"/>
        <v/>
      </c>
      <c r="F52" s="399" t="str">
        <f t="shared" si="29"/>
        <v/>
      </c>
      <c r="G52" s="399" t="str">
        <f t="shared" si="29"/>
        <v/>
      </c>
      <c r="H52" s="399" t="str">
        <f t="shared" si="29"/>
        <v/>
      </c>
      <c r="I52" s="399" t="str">
        <f t="shared" si="29"/>
        <v/>
      </c>
      <c r="J52" s="399" t="str">
        <f t="shared" si="29"/>
        <v/>
      </c>
      <c r="K52" s="399" t="str">
        <f t="shared" si="29"/>
        <v/>
      </c>
      <c r="L52" s="399" t="str">
        <f t="shared" si="29"/>
        <v/>
      </c>
      <c r="M52" s="399" t="str">
        <f t="shared" si="29"/>
        <v/>
      </c>
      <c r="N52" s="399" t="str">
        <f t="shared" si="29"/>
        <v/>
      </c>
      <c r="O52" s="399" t="str">
        <f t="shared" si="29"/>
        <v/>
      </c>
      <c r="P52" s="399" t="str">
        <f t="shared" si="29"/>
        <v/>
      </c>
      <c r="Q52" s="399" t="str">
        <f t="shared" si="29"/>
        <v/>
      </c>
      <c r="R52" s="399" t="str">
        <f t="shared" si="29"/>
        <v/>
      </c>
      <c r="S52" s="399" t="str">
        <f t="shared" si="29"/>
        <v/>
      </c>
      <c r="T52" s="399" t="str">
        <f t="shared" si="29"/>
        <v/>
      </c>
      <c r="U52" s="399" t="str">
        <f t="shared" si="29"/>
        <v/>
      </c>
      <c r="V52" s="399" t="str">
        <f t="shared" si="29"/>
        <v/>
      </c>
      <c r="W52" s="399" t="str">
        <f t="shared" si="29"/>
        <v/>
      </c>
    </row>
    <row r="53" spans="1:27" x14ac:dyDescent="0.3">
      <c r="A53" s="625"/>
      <c r="B53" s="627" t="s">
        <v>189</v>
      </c>
      <c r="C53" s="628"/>
      <c r="D53" s="400"/>
      <c r="E53" s="400"/>
      <c r="F53" s="400"/>
      <c r="G53" s="400"/>
      <c r="H53" s="400"/>
      <c r="I53" s="400"/>
      <c r="J53" s="400"/>
      <c r="K53" s="400"/>
      <c r="L53" s="400"/>
      <c r="M53" s="400"/>
      <c r="N53" s="400"/>
      <c r="O53" s="400"/>
      <c r="P53" s="400"/>
      <c r="Q53" s="400"/>
      <c r="R53" s="400"/>
      <c r="S53" s="400"/>
      <c r="T53" s="400"/>
      <c r="U53" s="400"/>
      <c r="V53" s="400"/>
      <c r="W53" s="400"/>
    </row>
    <row r="54" spans="1:27" x14ac:dyDescent="0.3">
      <c r="A54" s="625"/>
      <c r="B54" s="629" t="s">
        <v>100</v>
      </c>
      <c r="C54" s="630"/>
      <c r="D54" s="401" t="str">
        <f t="shared" ref="D54:W54" si="30">IFERROR(D6/D4,"")</f>
        <v/>
      </c>
      <c r="E54" s="401" t="str">
        <f t="shared" si="30"/>
        <v/>
      </c>
      <c r="F54" s="401" t="str">
        <f t="shared" si="30"/>
        <v/>
      </c>
      <c r="G54" s="401" t="str">
        <f t="shared" si="30"/>
        <v/>
      </c>
      <c r="H54" s="401" t="str">
        <f t="shared" si="30"/>
        <v/>
      </c>
      <c r="I54" s="401" t="str">
        <f t="shared" si="30"/>
        <v/>
      </c>
      <c r="J54" s="401" t="str">
        <f t="shared" si="30"/>
        <v/>
      </c>
      <c r="K54" s="401" t="str">
        <f t="shared" si="30"/>
        <v/>
      </c>
      <c r="L54" s="401" t="str">
        <f t="shared" si="30"/>
        <v/>
      </c>
      <c r="M54" s="401" t="str">
        <f t="shared" si="30"/>
        <v/>
      </c>
      <c r="N54" s="401" t="str">
        <f t="shared" si="30"/>
        <v/>
      </c>
      <c r="O54" s="401" t="str">
        <f t="shared" si="30"/>
        <v/>
      </c>
      <c r="P54" s="401" t="str">
        <f t="shared" si="30"/>
        <v/>
      </c>
      <c r="Q54" s="401" t="str">
        <f t="shared" si="30"/>
        <v/>
      </c>
      <c r="R54" s="401" t="str">
        <f t="shared" si="30"/>
        <v/>
      </c>
      <c r="S54" s="401" t="str">
        <f t="shared" si="30"/>
        <v/>
      </c>
      <c r="T54" s="401" t="str">
        <f t="shared" si="30"/>
        <v/>
      </c>
      <c r="U54" s="401" t="str">
        <f t="shared" si="30"/>
        <v/>
      </c>
      <c r="V54" s="401" t="str">
        <f t="shared" si="30"/>
        <v/>
      </c>
      <c r="W54" s="401" t="str">
        <f t="shared" si="30"/>
        <v/>
      </c>
      <c r="Z54" s="402"/>
      <c r="AA54" s="402"/>
    </row>
    <row r="55" spans="1:27" x14ac:dyDescent="0.3">
      <c r="A55" s="625"/>
      <c r="B55" s="631" t="s">
        <v>190</v>
      </c>
      <c r="C55" s="632"/>
      <c r="D55" s="403" t="str">
        <f>IFERROR(D7/#REF!,"")</f>
        <v/>
      </c>
      <c r="E55" s="403" t="str">
        <f t="shared" ref="E55:W58" si="31">IFERROR(E7/D6,"")</f>
        <v/>
      </c>
      <c r="F55" s="403" t="str">
        <f t="shared" si="31"/>
        <v/>
      </c>
      <c r="G55" s="403" t="str">
        <f t="shared" si="31"/>
        <v/>
      </c>
      <c r="H55" s="403" t="str">
        <f t="shared" si="31"/>
        <v/>
      </c>
      <c r="I55" s="403" t="str">
        <f t="shared" si="31"/>
        <v/>
      </c>
      <c r="J55" s="403" t="str">
        <f t="shared" si="31"/>
        <v/>
      </c>
      <c r="K55" s="403" t="str">
        <f t="shared" si="31"/>
        <v/>
      </c>
      <c r="L55" s="403" t="str">
        <f t="shared" si="31"/>
        <v/>
      </c>
      <c r="M55" s="403" t="str">
        <f t="shared" si="31"/>
        <v/>
      </c>
      <c r="N55" s="403" t="str">
        <f t="shared" si="31"/>
        <v/>
      </c>
      <c r="O55" s="403" t="str">
        <f t="shared" si="31"/>
        <v/>
      </c>
      <c r="P55" s="403" t="str">
        <f t="shared" si="31"/>
        <v/>
      </c>
      <c r="Q55" s="403" t="str">
        <f t="shared" si="31"/>
        <v/>
      </c>
      <c r="R55" s="403" t="str">
        <f t="shared" si="31"/>
        <v/>
      </c>
      <c r="S55" s="403" t="str">
        <f t="shared" si="31"/>
        <v/>
      </c>
      <c r="T55" s="403" t="str">
        <f t="shared" si="31"/>
        <v/>
      </c>
      <c r="U55" s="403" t="str">
        <f t="shared" si="31"/>
        <v/>
      </c>
      <c r="V55" s="403" t="str">
        <f t="shared" si="31"/>
        <v/>
      </c>
      <c r="W55" s="403" t="str">
        <f t="shared" si="31"/>
        <v/>
      </c>
      <c r="Z55" s="402"/>
      <c r="AA55" s="402"/>
    </row>
    <row r="56" spans="1:27" x14ac:dyDescent="0.3">
      <c r="A56" s="625"/>
      <c r="B56" s="631" t="s">
        <v>191</v>
      </c>
      <c r="C56" s="632"/>
      <c r="D56" s="403" t="str">
        <f>IFERROR(D8/#REF!,"")</f>
        <v/>
      </c>
      <c r="E56" s="403" t="str">
        <f t="shared" si="31"/>
        <v/>
      </c>
      <c r="F56" s="403" t="str">
        <f t="shared" si="31"/>
        <v/>
      </c>
      <c r="G56" s="403" t="str">
        <f t="shared" si="31"/>
        <v/>
      </c>
      <c r="H56" s="403" t="str">
        <f t="shared" si="31"/>
        <v/>
      </c>
      <c r="I56" s="403" t="str">
        <f t="shared" si="31"/>
        <v/>
      </c>
      <c r="J56" s="403" t="str">
        <f t="shared" si="31"/>
        <v/>
      </c>
      <c r="K56" s="403" t="str">
        <f t="shared" si="31"/>
        <v/>
      </c>
      <c r="L56" s="403" t="str">
        <f t="shared" si="31"/>
        <v/>
      </c>
      <c r="M56" s="403" t="str">
        <f t="shared" si="31"/>
        <v/>
      </c>
      <c r="N56" s="403" t="str">
        <f t="shared" si="31"/>
        <v/>
      </c>
      <c r="O56" s="403" t="str">
        <f t="shared" si="31"/>
        <v/>
      </c>
      <c r="P56" s="403" t="str">
        <f t="shared" si="31"/>
        <v/>
      </c>
      <c r="Q56" s="403" t="str">
        <f t="shared" si="31"/>
        <v/>
      </c>
      <c r="R56" s="403" t="str">
        <f t="shared" si="31"/>
        <v/>
      </c>
      <c r="S56" s="403" t="str">
        <f t="shared" si="31"/>
        <v/>
      </c>
      <c r="T56" s="403" t="str">
        <f t="shared" si="31"/>
        <v/>
      </c>
      <c r="U56" s="403" t="str">
        <f t="shared" si="31"/>
        <v/>
      </c>
      <c r="V56" s="403" t="str">
        <f t="shared" si="31"/>
        <v/>
      </c>
      <c r="W56" s="403" t="str">
        <f t="shared" si="31"/>
        <v/>
      </c>
      <c r="Z56" s="402"/>
      <c r="AA56" s="402"/>
    </row>
    <row r="57" spans="1:27" x14ac:dyDescent="0.3">
      <c r="A57" s="625"/>
      <c r="B57" s="631" t="s">
        <v>192</v>
      </c>
      <c r="C57" s="632"/>
      <c r="D57" s="403" t="str">
        <f>IFERROR(D9/#REF!,"")</f>
        <v/>
      </c>
      <c r="E57" s="403" t="str">
        <f t="shared" si="31"/>
        <v/>
      </c>
      <c r="F57" s="403" t="str">
        <f t="shared" si="31"/>
        <v/>
      </c>
      <c r="G57" s="403" t="str">
        <f t="shared" si="31"/>
        <v/>
      </c>
      <c r="H57" s="403" t="str">
        <f t="shared" si="31"/>
        <v/>
      </c>
      <c r="I57" s="403" t="str">
        <f t="shared" si="31"/>
        <v/>
      </c>
      <c r="J57" s="403" t="str">
        <f t="shared" si="31"/>
        <v/>
      </c>
      <c r="K57" s="403" t="str">
        <f t="shared" si="31"/>
        <v/>
      </c>
      <c r="L57" s="403" t="str">
        <f t="shared" si="31"/>
        <v/>
      </c>
      <c r="M57" s="403" t="str">
        <f t="shared" si="31"/>
        <v/>
      </c>
      <c r="N57" s="403" t="str">
        <f t="shared" si="31"/>
        <v/>
      </c>
      <c r="O57" s="403" t="str">
        <f t="shared" si="31"/>
        <v/>
      </c>
      <c r="P57" s="403" t="str">
        <f t="shared" si="31"/>
        <v/>
      </c>
      <c r="Q57" s="403" t="str">
        <f t="shared" si="31"/>
        <v/>
      </c>
      <c r="R57" s="403" t="str">
        <f t="shared" si="31"/>
        <v/>
      </c>
      <c r="S57" s="403" t="str">
        <f t="shared" si="31"/>
        <v/>
      </c>
      <c r="T57" s="403" t="str">
        <f t="shared" si="31"/>
        <v/>
      </c>
      <c r="U57" s="403" t="str">
        <f t="shared" si="31"/>
        <v/>
      </c>
      <c r="V57" s="403" t="str">
        <f t="shared" si="31"/>
        <v/>
      </c>
      <c r="W57" s="403" t="str">
        <f t="shared" si="31"/>
        <v/>
      </c>
      <c r="Z57" s="402"/>
      <c r="AA57" s="402"/>
    </row>
    <row r="58" spans="1:27" x14ac:dyDescent="0.3">
      <c r="A58" s="625"/>
      <c r="B58" s="404" t="s">
        <v>193</v>
      </c>
      <c r="C58" s="397"/>
      <c r="D58" s="403" t="str">
        <f>IFERROR(D10/#REF!,"")</f>
        <v/>
      </c>
      <c r="E58" s="403" t="str">
        <f t="shared" si="31"/>
        <v/>
      </c>
      <c r="F58" s="403" t="str">
        <f t="shared" si="31"/>
        <v/>
      </c>
      <c r="G58" s="403" t="str">
        <f t="shared" si="31"/>
        <v/>
      </c>
      <c r="H58" s="403" t="str">
        <f t="shared" si="31"/>
        <v/>
      </c>
      <c r="I58" s="403" t="str">
        <f t="shared" si="31"/>
        <v/>
      </c>
      <c r="J58" s="403" t="str">
        <f t="shared" si="31"/>
        <v/>
      </c>
      <c r="K58" s="403" t="str">
        <f t="shared" si="31"/>
        <v/>
      </c>
      <c r="L58" s="403" t="str">
        <f t="shared" si="31"/>
        <v/>
      </c>
      <c r="M58" s="403" t="str">
        <f t="shared" si="31"/>
        <v/>
      </c>
      <c r="N58" s="403" t="str">
        <f t="shared" si="31"/>
        <v/>
      </c>
      <c r="O58" s="403" t="str">
        <f t="shared" si="31"/>
        <v/>
      </c>
      <c r="P58" s="403" t="str">
        <f t="shared" si="31"/>
        <v/>
      </c>
      <c r="Q58" s="403" t="str">
        <f t="shared" si="31"/>
        <v/>
      </c>
      <c r="R58" s="403" t="str">
        <f t="shared" si="31"/>
        <v/>
      </c>
      <c r="S58" s="403" t="str">
        <f t="shared" si="31"/>
        <v/>
      </c>
      <c r="T58" s="403" t="str">
        <f t="shared" si="31"/>
        <v/>
      </c>
      <c r="U58" s="403" t="str">
        <f t="shared" si="31"/>
        <v/>
      </c>
      <c r="V58" s="403" t="str">
        <f t="shared" si="31"/>
        <v/>
      </c>
      <c r="W58" s="403" t="str">
        <f t="shared" si="31"/>
        <v/>
      </c>
      <c r="Z58" s="402"/>
      <c r="AA58" s="402"/>
    </row>
    <row r="59" spans="1:27" s="409" customFormat="1" x14ac:dyDescent="0.3">
      <c r="A59" s="625"/>
      <c r="B59" s="405" t="s">
        <v>194</v>
      </c>
      <c r="C59" s="406"/>
      <c r="D59" s="407"/>
      <c r="E59" s="407"/>
      <c r="F59" s="407"/>
      <c r="G59" s="407"/>
      <c r="H59" s="407"/>
      <c r="I59" s="407"/>
      <c r="J59" s="407"/>
      <c r="K59" s="407"/>
      <c r="L59" s="407"/>
      <c r="M59" s="407"/>
      <c r="N59" s="407"/>
      <c r="O59" s="407"/>
      <c r="P59" s="407"/>
      <c r="Q59" s="407"/>
      <c r="R59" s="407"/>
      <c r="S59" s="407"/>
      <c r="T59" s="407"/>
      <c r="U59" s="407"/>
      <c r="V59" s="407"/>
      <c r="W59" s="407"/>
      <c r="X59"/>
      <c r="Y59"/>
      <c r="Z59" s="408"/>
      <c r="AA59" s="408"/>
    </row>
    <row r="60" spans="1:27" s="409" customFormat="1" x14ac:dyDescent="0.3">
      <c r="A60" s="625"/>
      <c r="B60" s="631" t="s">
        <v>100</v>
      </c>
      <c r="C60" s="632"/>
      <c r="D60" s="410"/>
      <c r="E60" s="410"/>
      <c r="F60" s="410"/>
      <c r="G60" s="410"/>
      <c r="H60" s="401"/>
      <c r="I60" s="410"/>
      <c r="J60" s="410"/>
      <c r="K60" s="410"/>
      <c r="L60" s="410"/>
      <c r="M60" s="410"/>
      <c r="N60" s="410"/>
      <c r="O60" s="410"/>
      <c r="P60" s="401"/>
      <c r="Q60" s="410"/>
      <c r="R60" s="410"/>
      <c r="S60" s="410"/>
      <c r="T60" s="410"/>
      <c r="U60" s="410"/>
      <c r="V60" s="410"/>
      <c r="W60" s="410"/>
      <c r="X60"/>
      <c r="Y60"/>
      <c r="Z60" s="408"/>
      <c r="AA60" s="408"/>
    </row>
    <row r="61" spans="1:27" x14ac:dyDescent="0.3">
      <c r="A61" s="625"/>
      <c r="B61" s="629" t="s">
        <v>195</v>
      </c>
      <c r="C61" s="630"/>
      <c r="D61" s="403" t="str">
        <f t="shared" ref="D61:W61" si="32">IFERROR(D7:D10/D3,"")</f>
        <v/>
      </c>
      <c r="E61" s="403" t="str">
        <f t="shared" si="32"/>
        <v/>
      </c>
      <c r="F61" s="403" t="str">
        <f t="shared" si="32"/>
        <v/>
      </c>
      <c r="G61" s="403" t="str">
        <f t="shared" si="32"/>
        <v/>
      </c>
      <c r="H61" s="411" t="str">
        <f t="shared" si="32"/>
        <v/>
      </c>
      <c r="I61" s="403" t="str">
        <f t="shared" si="32"/>
        <v/>
      </c>
      <c r="J61" s="403" t="str">
        <f t="shared" si="32"/>
        <v/>
      </c>
      <c r="K61" s="403" t="str">
        <f t="shared" si="32"/>
        <v/>
      </c>
      <c r="L61" s="403" t="str">
        <f t="shared" si="32"/>
        <v/>
      </c>
      <c r="M61" s="403" t="str">
        <f t="shared" si="32"/>
        <v/>
      </c>
      <c r="N61" s="403" t="str">
        <f t="shared" si="32"/>
        <v/>
      </c>
      <c r="O61" s="403" t="str">
        <f t="shared" si="32"/>
        <v/>
      </c>
      <c r="P61" s="411" t="str">
        <f t="shared" si="32"/>
        <v/>
      </c>
      <c r="Q61" s="403" t="str">
        <f t="shared" si="32"/>
        <v/>
      </c>
      <c r="R61" s="403" t="str">
        <f t="shared" si="32"/>
        <v/>
      </c>
      <c r="S61" s="403" t="str">
        <f t="shared" si="32"/>
        <v/>
      </c>
      <c r="T61" s="403" t="str">
        <f t="shared" si="32"/>
        <v/>
      </c>
      <c r="U61" s="403" t="str">
        <f t="shared" si="32"/>
        <v/>
      </c>
      <c r="V61" s="403" t="str">
        <f t="shared" si="32"/>
        <v/>
      </c>
      <c r="W61" s="403" t="str">
        <f t="shared" si="32"/>
        <v/>
      </c>
      <c r="Z61" s="402"/>
      <c r="AA61" s="402"/>
    </row>
    <row r="62" spans="1:27" x14ac:dyDescent="0.3">
      <c r="A62" s="625"/>
      <c r="B62" s="631" t="s">
        <v>196</v>
      </c>
      <c r="C62" s="632"/>
      <c r="D62" s="403" t="str">
        <f t="shared" ref="D62:W62" si="33">IFERROR(D8:D10/D3,"")</f>
        <v/>
      </c>
      <c r="E62" s="403" t="str">
        <f t="shared" si="33"/>
        <v/>
      </c>
      <c r="F62" s="403" t="str">
        <f t="shared" si="33"/>
        <v/>
      </c>
      <c r="G62" s="403" t="str">
        <f t="shared" si="33"/>
        <v/>
      </c>
      <c r="H62" s="411" t="str">
        <f t="shared" si="33"/>
        <v/>
      </c>
      <c r="I62" s="403" t="str">
        <f t="shared" si="33"/>
        <v/>
      </c>
      <c r="J62" s="403" t="str">
        <f t="shared" si="33"/>
        <v/>
      </c>
      <c r="K62" s="403" t="str">
        <f t="shared" si="33"/>
        <v/>
      </c>
      <c r="L62" s="403" t="str">
        <f t="shared" si="33"/>
        <v/>
      </c>
      <c r="M62" s="403" t="str">
        <f t="shared" si="33"/>
        <v/>
      </c>
      <c r="N62" s="403" t="str">
        <f t="shared" si="33"/>
        <v/>
      </c>
      <c r="O62" s="403" t="str">
        <f t="shared" si="33"/>
        <v/>
      </c>
      <c r="P62" s="411" t="str">
        <f t="shared" si="33"/>
        <v/>
      </c>
      <c r="Q62" s="403" t="str">
        <f t="shared" si="33"/>
        <v/>
      </c>
      <c r="R62" s="403" t="str">
        <f t="shared" si="33"/>
        <v/>
      </c>
      <c r="S62" s="403" t="str">
        <f t="shared" si="33"/>
        <v/>
      </c>
      <c r="T62" s="403" t="str">
        <f t="shared" si="33"/>
        <v/>
      </c>
      <c r="U62" s="403" t="str">
        <f t="shared" si="33"/>
        <v/>
      </c>
      <c r="V62" s="403" t="str">
        <f t="shared" si="33"/>
        <v/>
      </c>
      <c r="W62" s="403" t="str">
        <f t="shared" si="33"/>
        <v/>
      </c>
      <c r="Z62" s="402"/>
      <c r="AA62" s="402"/>
    </row>
    <row r="63" spans="1:27" x14ac:dyDescent="0.3">
      <c r="A63" s="625"/>
      <c r="B63" s="631" t="s">
        <v>197</v>
      </c>
      <c r="C63" s="632"/>
      <c r="D63" s="403" t="str">
        <f t="shared" ref="D63:W63" si="34">IFERROR(D9:D10/D3,"")</f>
        <v/>
      </c>
      <c r="E63" s="403" t="str">
        <f t="shared" si="34"/>
        <v/>
      </c>
      <c r="F63" s="403" t="str">
        <f t="shared" si="34"/>
        <v/>
      </c>
      <c r="G63" s="403" t="str">
        <f t="shared" si="34"/>
        <v/>
      </c>
      <c r="H63" s="411" t="str">
        <f t="shared" si="34"/>
        <v/>
      </c>
      <c r="I63" s="403" t="str">
        <f t="shared" si="34"/>
        <v/>
      </c>
      <c r="J63" s="403" t="str">
        <f t="shared" si="34"/>
        <v/>
      </c>
      <c r="K63" s="403" t="str">
        <f t="shared" si="34"/>
        <v/>
      </c>
      <c r="L63" s="403" t="str">
        <f t="shared" si="34"/>
        <v/>
      </c>
      <c r="M63" s="403" t="str">
        <f t="shared" si="34"/>
        <v/>
      </c>
      <c r="N63" s="403" t="str">
        <f t="shared" si="34"/>
        <v/>
      </c>
      <c r="O63" s="403" t="str">
        <f t="shared" si="34"/>
        <v/>
      </c>
      <c r="P63" s="411" t="str">
        <f t="shared" si="34"/>
        <v/>
      </c>
      <c r="Q63" s="403" t="str">
        <f t="shared" si="34"/>
        <v/>
      </c>
      <c r="R63" s="403" t="str">
        <f t="shared" si="34"/>
        <v/>
      </c>
      <c r="S63" s="403" t="str">
        <f t="shared" si="34"/>
        <v/>
      </c>
      <c r="T63" s="403" t="str">
        <f t="shared" si="34"/>
        <v/>
      </c>
      <c r="U63" s="403" t="str">
        <f t="shared" si="34"/>
        <v/>
      </c>
      <c r="V63" s="403" t="str">
        <f t="shared" si="34"/>
        <v/>
      </c>
      <c r="W63" s="403" t="str">
        <f t="shared" si="34"/>
        <v/>
      </c>
      <c r="Z63" s="402"/>
      <c r="AA63" s="402"/>
    </row>
    <row r="64" spans="1:27" ht="14.5" thickBot="1" x14ac:dyDescent="0.35">
      <c r="A64" s="626"/>
      <c r="B64" s="633" t="s">
        <v>198</v>
      </c>
      <c r="C64" s="634"/>
      <c r="D64" s="412" t="str">
        <f t="shared" ref="D64:W64" si="35">IFERROR(D10/D3,"")</f>
        <v/>
      </c>
      <c r="E64" s="412" t="str">
        <f t="shared" si="35"/>
        <v/>
      </c>
      <c r="F64" s="412" t="str">
        <f t="shared" si="35"/>
        <v/>
      </c>
      <c r="G64" s="412" t="str">
        <f t="shared" si="35"/>
        <v/>
      </c>
      <c r="H64" s="413" t="str">
        <f t="shared" si="35"/>
        <v/>
      </c>
      <c r="I64" s="412" t="str">
        <f t="shared" si="35"/>
        <v/>
      </c>
      <c r="J64" s="412" t="str">
        <f t="shared" si="35"/>
        <v/>
      </c>
      <c r="K64" s="412" t="str">
        <f t="shared" si="35"/>
        <v/>
      </c>
      <c r="L64" s="412" t="str">
        <f t="shared" si="35"/>
        <v/>
      </c>
      <c r="M64" s="412" t="str">
        <f t="shared" si="35"/>
        <v/>
      </c>
      <c r="N64" s="412" t="str">
        <f t="shared" si="35"/>
        <v/>
      </c>
      <c r="O64" s="412" t="str">
        <f t="shared" si="35"/>
        <v/>
      </c>
      <c r="P64" s="413" t="str">
        <f t="shared" si="35"/>
        <v/>
      </c>
      <c r="Q64" s="412" t="str">
        <f t="shared" si="35"/>
        <v/>
      </c>
      <c r="R64" s="412" t="str">
        <f t="shared" si="35"/>
        <v/>
      </c>
      <c r="S64" s="412" t="str">
        <f t="shared" si="35"/>
        <v/>
      </c>
      <c r="T64" s="412" t="str">
        <f t="shared" si="35"/>
        <v/>
      </c>
      <c r="U64" s="412" t="str">
        <f t="shared" si="35"/>
        <v/>
      </c>
      <c r="V64" s="412" t="str">
        <f t="shared" si="35"/>
        <v/>
      </c>
      <c r="W64" s="412" t="str">
        <f t="shared" si="35"/>
        <v/>
      </c>
      <c r="Z64" s="402"/>
      <c r="AA64" s="402"/>
    </row>
    <row r="65" spans="1:28" ht="12.75" customHeight="1" x14ac:dyDescent="0.3">
      <c r="A65" s="625" t="s">
        <v>199</v>
      </c>
      <c r="B65" s="393" t="s">
        <v>145</v>
      </c>
      <c r="C65" s="397"/>
      <c r="D65" s="414">
        <f>D16</f>
        <v>9997700</v>
      </c>
      <c r="E65" s="414">
        <f t="shared" ref="E65:W65" si="36">D65+E16</f>
        <v>125892697.09999999</v>
      </c>
      <c r="F65" s="414">
        <f t="shared" si="36"/>
        <v>125973797.09999999</v>
      </c>
      <c r="G65" s="414">
        <f t="shared" si="36"/>
        <v>166165437.09999999</v>
      </c>
      <c r="H65" s="414">
        <f t="shared" si="36"/>
        <v>235684397.09999999</v>
      </c>
      <c r="I65" s="414">
        <f t="shared" si="36"/>
        <v>423688305.10000002</v>
      </c>
      <c r="J65" s="414">
        <f t="shared" si="36"/>
        <v>552618419.10000002</v>
      </c>
      <c r="K65" s="414">
        <f t="shared" si="36"/>
        <v>1363559600.0999999</v>
      </c>
      <c r="L65" s="414">
        <f t="shared" si="36"/>
        <v>1704803895.0999999</v>
      </c>
      <c r="M65" s="414">
        <f t="shared" si="36"/>
        <v>2620205126.0999999</v>
      </c>
      <c r="N65" s="414">
        <f t="shared" si="36"/>
        <v>5537207931</v>
      </c>
      <c r="O65" s="414">
        <f t="shared" si="36"/>
        <v>5812056760</v>
      </c>
      <c r="P65" s="414">
        <f t="shared" si="36"/>
        <v>6039204548</v>
      </c>
      <c r="Q65" s="414">
        <f t="shared" si="36"/>
        <v>6655671829</v>
      </c>
      <c r="R65" s="414">
        <f t="shared" si="36"/>
        <v>6826905328</v>
      </c>
      <c r="S65" s="414">
        <f t="shared" si="36"/>
        <v>7179959922</v>
      </c>
      <c r="T65" s="414">
        <f t="shared" si="36"/>
        <v>7776010460</v>
      </c>
      <c r="U65" s="414">
        <f t="shared" si="36"/>
        <v>8271423828</v>
      </c>
      <c r="V65" s="414">
        <f t="shared" si="36"/>
        <v>9373677033</v>
      </c>
      <c r="W65" s="414">
        <f t="shared" si="36"/>
        <v>11018813939</v>
      </c>
      <c r="Z65" s="402"/>
      <c r="AA65" s="402"/>
    </row>
    <row r="66" spans="1:28" x14ac:dyDescent="0.3">
      <c r="A66" s="625"/>
      <c r="B66" s="393" t="s">
        <v>177</v>
      </c>
      <c r="C66" s="397"/>
      <c r="D66" s="395">
        <f t="shared" ref="D66:W66" si="37">SUM(D21:D26)</f>
        <v>0</v>
      </c>
      <c r="E66" s="395">
        <f t="shared" si="37"/>
        <v>0</v>
      </c>
      <c r="F66" s="395">
        <f t="shared" si="37"/>
        <v>0</v>
      </c>
      <c r="G66" s="395">
        <f t="shared" si="37"/>
        <v>0</v>
      </c>
      <c r="H66" s="395">
        <f t="shared" si="37"/>
        <v>0</v>
      </c>
      <c r="I66" s="395">
        <f t="shared" si="37"/>
        <v>0</v>
      </c>
      <c r="J66" s="395">
        <f t="shared" si="37"/>
        <v>133251.95000000001</v>
      </c>
      <c r="K66" s="395">
        <f t="shared" si="37"/>
        <v>487405.12</v>
      </c>
      <c r="L66" s="395">
        <f t="shared" si="37"/>
        <v>423329.62</v>
      </c>
      <c r="M66" s="395">
        <f t="shared" si="37"/>
        <v>375429.62</v>
      </c>
      <c r="N66" s="395">
        <f t="shared" si="37"/>
        <v>356784.36</v>
      </c>
      <c r="O66" s="395">
        <f t="shared" si="37"/>
        <v>271339.3</v>
      </c>
      <c r="P66" s="395">
        <f t="shared" si="37"/>
        <v>227968.63</v>
      </c>
      <c r="Q66" s="395">
        <f t="shared" si="37"/>
        <v>270959.45999999996</v>
      </c>
      <c r="R66" s="395">
        <f t="shared" si="37"/>
        <v>335711.01</v>
      </c>
      <c r="S66" s="395">
        <f t="shared" si="37"/>
        <v>495764.01</v>
      </c>
      <c r="T66" s="395">
        <f t="shared" si="37"/>
        <v>428847.16000000003</v>
      </c>
      <c r="U66" s="395">
        <f t="shared" si="37"/>
        <v>1022090.1599999999</v>
      </c>
      <c r="V66" s="395">
        <f t="shared" si="37"/>
        <v>965793.15999999992</v>
      </c>
      <c r="W66" s="395">
        <f t="shared" si="37"/>
        <v>883046.16</v>
      </c>
    </row>
    <row r="67" spans="1:28" x14ac:dyDescent="0.3">
      <c r="A67" s="625"/>
      <c r="B67" s="396" t="s">
        <v>178</v>
      </c>
      <c r="C67" s="397"/>
      <c r="D67" s="395">
        <f t="shared" ref="D67" si="38">SUM(D20:D22)</f>
        <v>0</v>
      </c>
      <c r="E67" s="395">
        <f t="shared" ref="E67:W67" si="39">SUM(E20:E22)</f>
        <v>0</v>
      </c>
      <c r="F67" s="395">
        <f t="shared" si="39"/>
        <v>0</v>
      </c>
      <c r="G67" s="395">
        <f t="shared" si="39"/>
        <v>0</v>
      </c>
      <c r="H67" s="395">
        <f t="shared" si="39"/>
        <v>122800</v>
      </c>
      <c r="I67" s="395">
        <f t="shared" si="39"/>
        <v>191781.9</v>
      </c>
      <c r="J67" s="395">
        <f t="shared" si="39"/>
        <v>715032.22</v>
      </c>
      <c r="K67" s="395">
        <f t="shared" si="39"/>
        <v>579005.12</v>
      </c>
      <c r="L67" s="395">
        <f t="shared" si="39"/>
        <v>358891.77</v>
      </c>
      <c r="M67" s="395">
        <f t="shared" si="39"/>
        <v>128511.5</v>
      </c>
      <c r="N67" s="395">
        <f t="shared" si="39"/>
        <v>120635.4</v>
      </c>
      <c r="O67" s="395">
        <f t="shared" si="39"/>
        <v>20500</v>
      </c>
      <c r="P67" s="395">
        <f t="shared" si="39"/>
        <v>67400</v>
      </c>
      <c r="Q67" s="395">
        <f t="shared" si="39"/>
        <v>153127.72</v>
      </c>
      <c r="R67" s="395">
        <f t="shared" si="39"/>
        <v>363610.72</v>
      </c>
      <c r="S67" s="395">
        <f t="shared" si="39"/>
        <v>278313.71999999997</v>
      </c>
      <c r="T67" s="395">
        <f t="shared" si="39"/>
        <v>1113380</v>
      </c>
      <c r="U67" s="395">
        <f t="shared" si="39"/>
        <v>721460</v>
      </c>
      <c r="V67" s="395">
        <f t="shared" si="39"/>
        <v>657060</v>
      </c>
      <c r="W67" s="395">
        <f t="shared" si="39"/>
        <v>810589.8</v>
      </c>
    </row>
    <row r="68" spans="1:28" s="419" customFormat="1" x14ac:dyDescent="0.3">
      <c r="A68" s="625"/>
      <c r="B68" s="415" t="s">
        <v>179</v>
      </c>
      <c r="C68" s="416"/>
      <c r="D68" s="417">
        <f t="shared" ref="D68" si="40">SUM(D20:D26)</f>
        <v>0</v>
      </c>
      <c r="E68" s="417">
        <f t="shared" ref="E68:W68" si="41">SUM(E20:E26)</f>
        <v>0</v>
      </c>
      <c r="F68" s="417">
        <f t="shared" si="41"/>
        <v>0</v>
      </c>
      <c r="G68" s="417">
        <f t="shared" si="41"/>
        <v>0</v>
      </c>
      <c r="H68" s="417">
        <f t="shared" si="41"/>
        <v>122800</v>
      </c>
      <c r="I68" s="417">
        <f t="shared" si="41"/>
        <v>191781.9</v>
      </c>
      <c r="J68" s="417">
        <f t="shared" si="41"/>
        <v>715032.22</v>
      </c>
      <c r="K68" s="417">
        <f t="shared" si="41"/>
        <v>579005.12</v>
      </c>
      <c r="L68" s="417">
        <f t="shared" si="41"/>
        <v>472029.62</v>
      </c>
      <c r="M68" s="417">
        <f t="shared" si="41"/>
        <v>411729.62</v>
      </c>
      <c r="N68" s="417">
        <f t="shared" si="41"/>
        <v>392419.76</v>
      </c>
      <c r="O68" s="417">
        <f t="shared" si="41"/>
        <v>271339.3</v>
      </c>
      <c r="P68" s="417">
        <f t="shared" si="41"/>
        <v>295368.63</v>
      </c>
      <c r="Q68" s="417">
        <f t="shared" si="41"/>
        <v>366687.18</v>
      </c>
      <c r="R68" s="417">
        <f t="shared" si="41"/>
        <v>558611.01</v>
      </c>
      <c r="S68" s="417">
        <f t="shared" si="41"/>
        <v>511564.01</v>
      </c>
      <c r="T68" s="417">
        <f t="shared" si="41"/>
        <v>1374907.16</v>
      </c>
      <c r="U68" s="417">
        <f t="shared" si="41"/>
        <v>1038890.1599999999</v>
      </c>
      <c r="V68" s="417">
        <f t="shared" si="41"/>
        <v>965793.15999999992</v>
      </c>
      <c r="W68" s="417">
        <f t="shared" si="41"/>
        <v>1676835.96</v>
      </c>
      <c r="X68"/>
      <c r="Y68"/>
      <c r="Z68" s="331"/>
      <c r="AA68" s="418"/>
    </row>
    <row r="69" spans="1:28" x14ac:dyDescent="0.3">
      <c r="A69" s="625"/>
      <c r="B69" s="396" t="s">
        <v>142</v>
      </c>
      <c r="C69" s="397"/>
      <c r="D69" s="398">
        <f>IFERROR(SUM(D22:D26)/D34,0)</f>
        <v>0</v>
      </c>
      <c r="E69" s="398">
        <f t="shared" ref="E69:G69" si="42">IFERROR(SUM(E22:E26)/E34,0)</f>
        <v>0</v>
      </c>
      <c r="F69" s="398">
        <f t="shared" si="42"/>
        <v>0</v>
      </c>
      <c r="G69" s="398">
        <f t="shared" si="42"/>
        <v>0</v>
      </c>
      <c r="H69" s="398">
        <f t="shared" ref="H69:W69" si="43">SUM(H22:H26)/H34</f>
        <v>0</v>
      </c>
      <c r="I69" s="398">
        <f t="shared" si="43"/>
        <v>0</v>
      </c>
      <c r="J69" s="398">
        <f t="shared" si="43"/>
        <v>0</v>
      </c>
      <c r="K69" s="398">
        <f t="shared" si="43"/>
        <v>4.3725267930450652E-3</v>
      </c>
      <c r="L69" s="398">
        <f t="shared" si="43"/>
        <v>1.5282863360399156E-2</v>
      </c>
      <c r="M69" s="398">
        <f t="shared" si="43"/>
        <v>5.980482054614069E-2</v>
      </c>
      <c r="N69" s="398">
        <f t="shared" si="43"/>
        <v>3.5082252064934736E-3</v>
      </c>
      <c r="O69" s="398">
        <f t="shared" si="43"/>
        <v>6.1058979522346513E-3</v>
      </c>
      <c r="P69" s="398">
        <f t="shared" si="43"/>
        <v>3.5896858753820152E-3</v>
      </c>
      <c r="Q69" s="398">
        <f t="shared" si="43"/>
        <v>9.5013294032914269E-4</v>
      </c>
      <c r="R69" s="398">
        <f t="shared" si="43"/>
        <v>2.8683432061202686E-4</v>
      </c>
      <c r="S69" s="398">
        <f t="shared" si="43"/>
        <v>2.5229565802668799E-3</v>
      </c>
      <c r="T69" s="398">
        <f t="shared" si="43"/>
        <v>2.2817414045066357E-4</v>
      </c>
      <c r="U69" s="398">
        <f t="shared" si="43"/>
        <v>8.8856278218169091E-4</v>
      </c>
      <c r="V69" s="398">
        <f t="shared" si="43"/>
        <v>5.9828461237307808E-3</v>
      </c>
      <c r="W69" s="398">
        <f t="shared" si="43"/>
        <v>6.2968148990353667E-4</v>
      </c>
      <c r="Z69" s="420">
        <f>_xlfn.STDEV.S(L69:W69)</f>
        <v>1.6753178291376212E-2</v>
      </c>
    </row>
    <row r="70" spans="1:28" x14ac:dyDescent="0.3">
      <c r="A70" s="625"/>
      <c r="B70" s="396" t="s">
        <v>200</v>
      </c>
      <c r="C70" s="397"/>
      <c r="D70" s="399">
        <f>IFERROR((SUM(D23:D26)+D32)/D34,0)</f>
        <v>0</v>
      </c>
      <c r="E70" s="399">
        <f t="shared" ref="E70:F70" si="44">IFERROR((SUM(E23:E26)+E32)/E34,0)</f>
        <v>0</v>
      </c>
      <c r="F70" s="399">
        <f t="shared" si="44"/>
        <v>0</v>
      </c>
      <c r="G70" s="399">
        <f t="shared" ref="G70:W70" si="45">(SUM(G23:G26)+G32)/G34</f>
        <v>0</v>
      </c>
      <c r="H70" s="399">
        <f t="shared" si="45"/>
        <v>0</v>
      </c>
      <c r="I70" s="399">
        <f t="shared" si="45"/>
        <v>0</v>
      </c>
      <c r="J70" s="399">
        <f t="shared" si="45"/>
        <v>0</v>
      </c>
      <c r="K70" s="399">
        <f t="shared" si="45"/>
        <v>0</v>
      </c>
      <c r="L70" s="399">
        <f t="shared" si="45"/>
        <v>4.5523639115462311E-3</v>
      </c>
      <c r="M70" s="399">
        <f t="shared" si="45"/>
        <v>5.1840444836361452E-2</v>
      </c>
      <c r="N70" s="399">
        <f t="shared" si="45"/>
        <v>2.9751240980455227E-3</v>
      </c>
      <c r="O70" s="399">
        <f t="shared" si="45"/>
        <v>6.1058979522346513E-3</v>
      </c>
      <c r="P70" s="399">
        <f t="shared" si="45"/>
        <v>3.5896858753820152E-3</v>
      </c>
      <c r="Q70" s="399">
        <f t="shared" si="45"/>
        <v>9.5013294032914269E-4</v>
      </c>
      <c r="R70" s="399">
        <f t="shared" si="45"/>
        <v>2.2663172600525801E-4</v>
      </c>
      <c r="S70" s="399">
        <f t="shared" si="45"/>
        <v>2.0813185538560409E-3</v>
      </c>
      <c r="T70" s="399">
        <f t="shared" si="45"/>
        <v>1.4447196522911128E-4</v>
      </c>
      <c r="U70" s="399">
        <f t="shared" si="45"/>
        <v>8.4643186594508531E-4</v>
      </c>
      <c r="V70" s="399">
        <f t="shared" si="45"/>
        <v>1.9463817732607845E-3</v>
      </c>
      <c r="W70" s="399">
        <f t="shared" si="45"/>
        <v>6.1770176618175597E-4</v>
      </c>
      <c r="Z70" s="420">
        <f t="shared" ref="Z70" si="46">_xlfn.STDEV.S(L70:W70)</f>
        <v>1.4452419864458461E-2</v>
      </c>
    </row>
    <row r="71" spans="1:28" x14ac:dyDescent="0.3">
      <c r="A71" s="625"/>
      <c r="B71" s="396" t="s">
        <v>144</v>
      </c>
      <c r="C71" s="397"/>
      <c r="D71" s="399">
        <f t="shared" ref="D71:W71" si="47">SUM(D23:D26)/D65</f>
        <v>0</v>
      </c>
      <c r="E71" s="399">
        <f t="shared" si="47"/>
        <v>0</v>
      </c>
      <c r="F71" s="399">
        <f t="shared" si="47"/>
        <v>0</v>
      </c>
      <c r="G71" s="399">
        <f t="shared" si="47"/>
        <v>0</v>
      </c>
      <c r="H71" s="399">
        <f t="shared" si="47"/>
        <v>0</v>
      </c>
      <c r="I71" s="399">
        <f t="shared" si="47"/>
        <v>0</v>
      </c>
      <c r="J71" s="399">
        <f t="shared" si="47"/>
        <v>0</v>
      </c>
      <c r="K71" s="399">
        <f t="shared" si="47"/>
        <v>0</v>
      </c>
      <c r="L71" s="399">
        <f t="shared" si="47"/>
        <v>6.6364143304214825E-5</v>
      </c>
      <c r="M71" s="399">
        <f t="shared" si="47"/>
        <v>1.0809005645353852E-4</v>
      </c>
      <c r="N71" s="399">
        <f t="shared" si="47"/>
        <v>4.9083285906317173E-5</v>
      </c>
      <c r="O71" s="399">
        <f t="shared" si="47"/>
        <v>4.3158439491908885E-5</v>
      </c>
      <c r="P71" s="399">
        <f t="shared" si="47"/>
        <v>3.7748121989922706E-5</v>
      </c>
      <c r="Q71" s="399">
        <f t="shared" si="47"/>
        <v>3.2086837435325719E-5</v>
      </c>
      <c r="R71" s="399">
        <f t="shared" si="47"/>
        <v>2.8563497021149844E-5</v>
      </c>
      <c r="S71" s="399">
        <f t="shared" si="47"/>
        <v>3.2486294148425751E-5</v>
      </c>
      <c r="T71" s="399">
        <f t="shared" si="47"/>
        <v>3.3632562783358191E-5</v>
      </c>
      <c r="U71" s="399">
        <f t="shared" si="47"/>
        <v>3.8376725289478182E-5</v>
      </c>
      <c r="V71" s="399">
        <f t="shared" si="47"/>
        <v>3.2936184905145114E-5</v>
      </c>
      <c r="W71" s="399">
        <f t="shared" si="47"/>
        <v>7.8615190781469458E-5</v>
      </c>
      <c r="Z71" s="420"/>
    </row>
    <row r="72" spans="1:28" x14ac:dyDescent="0.3">
      <c r="A72" s="625"/>
      <c r="B72" s="396" t="s">
        <v>146</v>
      </c>
      <c r="C72" s="397"/>
      <c r="D72" s="399">
        <f>IFERROR(SUM(D21:D26)/D34,0)</f>
        <v>0</v>
      </c>
      <c r="E72" s="399">
        <f t="shared" ref="E72:F72" si="48">IFERROR(SUM(E21:E26)/E34,0)</f>
        <v>0</v>
      </c>
      <c r="F72" s="399">
        <f t="shared" si="48"/>
        <v>0</v>
      </c>
      <c r="G72" s="399">
        <f t="shared" ref="G72:W72" si="49">SUM(G21:G26)/G34</f>
        <v>0</v>
      </c>
      <c r="H72" s="399">
        <f t="shared" si="49"/>
        <v>0</v>
      </c>
      <c r="I72" s="399">
        <f t="shared" si="49"/>
        <v>0</v>
      </c>
      <c r="J72" s="399">
        <f t="shared" si="49"/>
        <v>1.4400640254789575E-3</v>
      </c>
      <c r="K72" s="399">
        <f t="shared" si="49"/>
        <v>1.8352591596607834E-2</v>
      </c>
      <c r="L72" s="399">
        <f t="shared" si="49"/>
        <v>1.703364952380286E-2</v>
      </c>
      <c r="M72" s="399">
        <f t="shared" si="49"/>
        <v>6.871890296265698E-2</v>
      </c>
      <c r="N72" s="399">
        <f t="shared" si="49"/>
        <v>3.9055880450285995E-3</v>
      </c>
      <c r="O72" s="399">
        <f t="shared" si="49"/>
        <v>6.6049063134476279E-3</v>
      </c>
      <c r="P72" s="399">
        <f t="shared" si="49"/>
        <v>3.5896858753820152E-3</v>
      </c>
      <c r="Q72" s="399">
        <f t="shared" si="49"/>
        <v>1.2055073956442701E-3</v>
      </c>
      <c r="R72" s="399">
        <f t="shared" si="49"/>
        <v>3.9016744864978629E-4</v>
      </c>
      <c r="S72" s="399">
        <f t="shared" si="49"/>
        <v>4.4237579826677679E-3</v>
      </c>
      <c r="T72" s="399">
        <f t="shared" si="49"/>
        <v>2.3690232398089408E-4</v>
      </c>
      <c r="U72" s="399">
        <f t="shared" si="49"/>
        <v>2.725417399823982E-3</v>
      </c>
      <c r="V72" s="399">
        <f t="shared" si="49"/>
        <v>6.0887602853024799E-3</v>
      </c>
      <c r="W72" s="399">
        <f t="shared" si="49"/>
        <v>6.2968148990353667E-4</v>
      </c>
      <c r="Z72" s="420">
        <f>_xlfn.STDEV.S(L72:W72)</f>
        <v>1.915871306219398E-2</v>
      </c>
      <c r="AA72" s="420">
        <f>_xlfn.STDEV.S(H72:O72)</f>
        <v>2.3073134932203847E-2</v>
      </c>
    </row>
    <row r="73" spans="1:28" x14ac:dyDescent="0.3">
      <c r="A73" s="625"/>
      <c r="B73" s="396" t="s">
        <v>201</v>
      </c>
      <c r="C73" s="397"/>
      <c r="D73" s="399" t="str">
        <f>IFERROR((D66+D32)/#REF!,"")</f>
        <v/>
      </c>
      <c r="E73" s="399" t="str">
        <f>IFERROR((E66+E32)/#REF!,"")</f>
        <v/>
      </c>
      <c r="F73" s="399" t="str">
        <f>IFERROR((F66+F32)/#REF!,"")</f>
        <v/>
      </c>
      <c r="G73" s="399" t="str">
        <f>IFERROR((G66+G32)/#REF!,"")</f>
        <v/>
      </c>
      <c r="H73" s="399" t="str">
        <f>IFERROR((H66+H32)/#REF!,"")</f>
        <v/>
      </c>
      <c r="I73" s="399" t="str">
        <f>IFERROR((I66+I32)/#REF!,"")</f>
        <v/>
      </c>
      <c r="J73" s="399" t="str">
        <f>IFERROR((J66+J32)/#REF!,"")</f>
        <v/>
      </c>
      <c r="K73" s="399" t="str">
        <f>IFERROR((K66+K32)/#REF!,"")</f>
        <v/>
      </c>
      <c r="L73" s="399" t="str">
        <f>IFERROR((L66+L32)/#REF!,"")</f>
        <v/>
      </c>
      <c r="M73" s="399" t="str">
        <f>IFERROR((M66+M32)/#REF!,"")</f>
        <v/>
      </c>
      <c r="N73" s="399" t="str">
        <f>IFERROR((N66+N32)/#REF!,"")</f>
        <v/>
      </c>
      <c r="O73" s="399" t="str">
        <f>IFERROR((O66+O32)/#REF!,"")</f>
        <v/>
      </c>
      <c r="P73" s="399" t="str">
        <f>IFERROR((P66+P32)/#REF!,"")</f>
        <v/>
      </c>
      <c r="Q73" s="399" t="str">
        <f>IFERROR((Q66+Q32)/#REF!,"")</f>
        <v/>
      </c>
      <c r="R73" s="399" t="str">
        <f>IFERROR((R66+R32)/#REF!,"")</f>
        <v/>
      </c>
      <c r="S73" s="399" t="str">
        <f>IFERROR((S66+S32)/#REF!,"")</f>
        <v/>
      </c>
      <c r="T73" s="399" t="str">
        <f>IFERROR((T66+T32)/#REF!,"")</f>
        <v/>
      </c>
      <c r="U73" s="399" t="str">
        <f>IFERROR((U66+U32)/#REF!,"")</f>
        <v/>
      </c>
      <c r="V73" s="399" t="str">
        <f>IFERROR((V66+V32)/#REF!,"")</f>
        <v/>
      </c>
      <c r="W73" s="399" t="str">
        <f>IFERROR((W66+W32)/#REF!,"")</f>
        <v/>
      </c>
      <c r="Z73" s="420"/>
    </row>
    <row r="74" spans="1:28" x14ac:dyDescent="0.3">
      <c r="A74" s="625"/>
      <c r="B74" s="396" t="s">
        <v>202</v>
      </c>
      <c r="C74" s="397"/>
      <c r="D74" s="398">
        <f t="shared" ref="D74" si="50">IFERROR(D66/D65,"")</f>
        <v>0</v>
      </c>
      <c r="E74" s="398">
        <f t="shared" ref="E74:W74" si="51">IFERROR(E66/E65,"")</f>
        <v>0</v>
      </c>
      <c r="F74" s="398">
        <f t="shared" si="51"/>
        <v>0</v>
      </c>
      <c r="G74" s="398">
        <f t="shared" si="51"/>
        <v>0</v>
      </c>
      <c r="H74" s="398">
        <f t="shared" si="51"/>
        <v>0</v>
      </c>
      <c r="I74" s="398">
        <f t="shared" si="51"/>
        <v>0</v>
      </c>
      <c r="J74" s="398">
        <f t="shared" si="51"/>
        <v>2.4112831819289609E-4</v>
      </c>
      <c r="K74" s="398">
        <f t="shared" si="51"/>
        <v>3.5745054338970952E-4</v>
      </c>
      <c r="L74" s="398">
        <f t="shared" si="51"/>
        <v>2.4831572781875208E-4</v>
      </c>
      <c r="M74" s="398">
        <f t="shared" si="51"/>
        <v>1.4328253015778267E-4</v>
      </c>
      <c r="N74" s="398">
        <f t="shared" si="51"/>
        <v>6.4433982694156474E-5</v>
      </c>
      <c r="O74" s="398">
        <f t="shared" si="51"/>
        <v>4.6685590179955502E-5</v>
      </c>
      <c r="P74" s="398">
        <f t="shared" si="51"/>
        <v>3.7748121989922706E-5</v>
      </c>
      <c r="Q74" s="398">
        <f t="shared" si="51"/>
        <v>4.0711060725587343E-5</v>
      </c>
      <c r="R74" s="398">
        <f t="shared" si="51"/>
        <v>4.9174698325331752E-5</v>
      </c>
      <c r="S74" s="398">
        <f t="shared" si="51"/>
        <v>6.9048297676556304E-5</v>
      </c>
      <c r="T74" s="398">
        <f t="shared" si="51"/>
        <v>5.5150023550765652E-5</v>
      </c>
      <c r="U74" s="398">
        <f t="shared" si="51"/>
        <v>1.2356882941242506E-4</v>
      </c>
      <c r="V74" s="398">
        <f t="shared" si="51"/>
        <v>1.0303247664709678E-4</v>
      </c>
      <c r="W74" s="398">
        <f t="shared" si="51"/>
        <v>8.0139855785616416E-5</v>
      </c>
      <c r="Z74" s="420"/>
    </row>
    <row r="75" spans="1:28" x14ac:dyDescent="0.3">
      <c r="A75" s="625"/>
      <c r="B75" s="396" t="s">
        <v>203</v>
      </c>
      <c r="C75" s="397"/>
      <c r="D75" s="399" t="str">
        <f>IFERROR((D20+D21+D22+D23+D24+D25+D26)/D34,"")</f>
        <v/>
      </c>
      <c r="E75" s="399" t="str">
        <f t="shared" ref="E75:W75" si="52">IFERROR((E20+E21+E22+E23+E24+E25+E26)/E34,"")</f>
        <v/>
      </c>
      <c r="F75" s="399" t="str">
        <f t="shared" si="52"/>
        <v/>
      </c>
      <c r="G75" s="399">
        <f t="shared" si="52"/>
        <v>0</v>
      </c>
      <c r="H75" s="399">
        <f t="shared" si="52"/>
        <v>4.6693968188783559E-3</v>
      </c>
      <c r="I75" s="399">
        <f t="shared" si="52"/>
        <v>1.9977062605211673E-3</v>
      </c>
      <c r="J75" s="399">
        <f t="shared" si="52"/>
        <v>7.7274079447269281E-3</v>
      </c>
      <c r="K75" s="399">
        <f t="shared" si="52"/>
        <v>2.1801667778346093E-2</v>
      </c>
      <c r="L75" s="399">
        <f t="shared" si="52"/>
        <v>1.8993207023722661E-2</v>
      </c>
      <c r="M75" s="399">
        <f t="shared" si="52"/>
        <v>7.5363280616035658E-2</v>
      </c>
      <c r="N75" s="399">
        <f t="shared" si="52"/>
        <v>4.2956757501617848E-3</v>
      </c>
      <c r="O75" s="399">
        <f t="shared" si="52"/>
        <v>6.6049063134476279E-3</v>
      </c>
      <c r="P75" s="399">
        <f t="shared" si="52"/>
        <v>4.6509934245862533E-3</v>
      </c>
      <c r="Q75" s="399">
        <f t="shared" si="52"/>
        <v>1.6314031160895501E-3</v>
      </c>
      <c r="R75" s="399">
        <f t="shared" si="52"/>
        <v>6.4922455941906771E-4</v>
      </c>
      <c r="S75" s="399">
        <f t="shared" si="52"/>
        <v>4.5647431585101022E-3</v>
      </c>
      <c r="T75" s="399">
        <f t="shared" si="52"/>
        <v>7.5952164743721504E-4</v>
      </c>
      <c r="U75" s="399">
        <f t="shared" si="52"/>
        <v>2.7702148297464486E-3</v>
      </c>
      <c r="V75" s="399">
        <f t="shared" si="52"/>
        <v>6.0887602853024799E-3</v>
      </c>
      <c r="W75" s="399">
        <f t="shared" si="52"/>
        <v>1.1957161623539897E-3</v>
      </c>
      <c r="Z75" s="420"/>
    </row>
    <row r="76" spans="1:28" x14ac:dyDescent="0.3">
      <c r="A76" s="625"/>
      <c r="B76" s="396" t="s">
        <v>204</v>
      </c>
      <c r="C76" s="397"/>
      <c r="D76" s="399">
        <f t="shared" ref="D76" si="53">IFERROR((D20+D21+D22+D23+D24+D25+D26)/D65,"")</f>
        <v>0</v>
      </c>
      <c r="E76" s="399">
        <f t="shared" ref="E76:W76" si="54">IFERROR((E20+E21+E22+E23+E24+E25+E26)/E65,"")</f>
        <v>0</v>
      </c>
      <c r="F76" s="399">
        <f t="shared" si="54"/>
        <v>0</v>
      </c>
      <c r="G76" s="399">
        <f t="shared" si="54"/>
        <v>0</v>
      </c>
      <c r="H76" s="399">
        <f t="shared" si="54"/>
        <v>5.2103576439935663E-4</v>
      </c>
      <c r="I76" s="399">
        <f t="shared" si="54"/>
        <v>4.5264855718577158E-4</v>
      </c>
      <c r="J76" s="399">
        <f t="shared" si="54"/>
        <v>1.2938986383488787E-3</v>
      </c>
      <c r="K76" s="399">
        <f t="shared" si="54"/>
        <v>4.2462765834184091E-4</v>
      </c>
      <c r="L76" s="399">
        <f t="shared" si="54"/>
        <v>2.7688206330166312E-4</v>
      </c>
      <c r="M76" s="399">
        <f t="shared" si="54"/>
        <v>1.5713640733648667E-4</v>
      </c>
      <c r="N76" s="399">
        <f t="shared" si="54"/>
        <v>7.0869608815490225E-5</v>
      </c>
      <c r="O76" s="399">
        <f t="shared" si="54"/>
        <v>4.6685590179955502E-5</v>
      </c>
      <c r="P76" s="399">
        <f t="shared" si="54"/>
        <v>4.8908532183732222E-5</v>
      </c>
      <c r="Q76" s="399">
        <f t="shared" si="54"/>
        <v>5.5093939337915633E-5</v>
      </c>
      <c r="R76" s="399">
        <f t="shared" si="54"/>
        <v>8.182492405583861E-5</v>
      </c>
      <c r="S76" s="399">
        <f t="shared" si="54"/>
        <v>7.1248867062965757E-5</v>
      </c>
      <c r="T76" s="399">
        <f t="shared" si="54"/>
        <v>1.7681395454295724E-4</v>
      </c>
      <c r="U76" s="399">
        <f t="shared" si="54"/>
        <v>1.2559991866009843E-4</v>
      </c>
      <c r="V76" s="399">
        <f t="shared" si="54"/>
        <v>1.0303247664709678E-4</v>
      </c>
      <c r="W76" s="399">
        <f t="shared" si="54"/>
        <v>1.521793515420934E-4</v>
      </c>
    </row>
    <row r="77" spans="1:28" x14ac:dyDescent="0.3">
      <c r="A77" s="625"/>
      <c r="B77" s="396" t="s">
        <v>205</v>
      </c>
      <c r="C77" s="397"/>
      <c r="D77" s="398">
        <f t="shared" ref="D77" si="55">D32/D17</f>
        <v>0</v>
      </c>
      <c r="E77" s="398">
        <f t="shared" ref="E77:W77" si="56">E32/E17</f>
        <v>0</v>
      </c>
      <c r="F77" s="398">
        <f t="shared" si="56"/>
        <v>0</v>
      </c>
      <c r="G77" s="398">
        <f t="shared" si="56"/>
        <v>0</v>
      </c>
      <c r="H77" s="398">
        <f t="shared" si="56"/>
        <v>0</v>
      </c>
      <c r="I77" s="398">
        <f t="shared" si="56"/>
        <v>0</v>
      </c>
      <c r="J77" s="398">
        <f t="shared" si="56"/>
        <v>0</v>
      </c>
      <c r="K77" s="398">
        <f t="shared" si="56"/>
        <v>0</v>
      </c>
      <c r="L77" s="398">
        <f t="shared" si="56"/>
        <v>0</v>
      </c>
      <c r="M77" s="398">
        <f t="shared" si="56"/>
        <v>0</v>
      </c>
      <c r="N77" s="398">
        <f t="shared" si="56"/>
        <v>0</v>
      </c>
      <c r="O77" s="398">
        <f t="shared" si="56"/>
        <v>0</v>
      </c>
      <c r="P77" s="398">
        <f t="shared" si="56"/>
        <v>0</v>
      </c>
      <c r="Q77" s="398">
        <f t="shared" si="56"/>
        <v>0</v>
      </c>
      <c r="R77" s="398">
        <f t="shared" si="56"/>
        <v>0</v>
      </c>
      <c r="S77" s="398">
        <f t="shared" si="56"/>
        <v>0</v>
      </c>
      <c r="T77" s="398">
        <f t="shared" si="56"/>
        <v>0</v>
      </c>
      <c r="U77" s="398">
        <f t="shared" si="56"/>
        <v>0</v>
      </c>
      <c r="V77" s="398">
        <f t="shared" si="56"/>
        <v>0</v>
      </c>
      <c r="W77" s="398">
        <f t="shared" si="56"/>
        <v>0</v>
      </c>
    </row>
    <row r="78" spans="1:28" x14ac:dyDescent="0.3">
      <c r="A78" s="625"/>
      <c r="B78" s="627" t="s">
        <v>189</v>
      </c>
      <c r="C78" s="628"/>
      <c r="D78" s="421"/>
      <c r="E78" s="421"/>
      <c r="F78" s="421"/>
      <c r="G78" s="421"/>
      <c r="H78" s="421"/>
      <c r="I78" s="421"/>
      <c r="J78" s="421"/>
      <c r="K78" s="421"/>
      <c r="L78" s="421"/>
      <c r="M78" s="421"/>
      <c r="N78" s="421"/>
      <c r="O78" s="421"/>
      <c r="P78" s="421"/>
      <c r="Q78" s="421"/>
      <c r="R78" s="421"/>
      <c r="S78" s="421"/>
      <c r="T78" s="421"/>
      <c r="U78" s="421"/>
      <c r="V78" s="421"/>
      <c r="W78" s="421"/>
      <c r="Z78" s="331" t="s">
        <v>206</v>
      </c>
      <c r="AA78" s="331" t="s">
        <v>207</v>
      </c>
    </row>
    <row r="79" spans="1:28" x14ac:dyDescent="0.3">
      <c r="A79" s="625"/>
      <c r="B79" s="635" t="s">
        <v>100</v>
      </c>
      <c r="C79" s="636"/>
      <c r="D79" s="422">
        <f>IFERROR(D19/D18,"")</f>
        <v>0</v>
      </c>
      <c r="E79" s="422">
        <f t="shared" ref="E79:W79" si="57">IFERROR(E19/E18,"")</f>
        <v>0</v>
      </c>
      <c r="F79" s="422">
        <f t="shared" si="57"/>
        <v>0</v>
      </c>
      <c r="G79" s="422">
        <f t="shared" si="57"/>
        <v>8.8228672238740466E-2</v>
      </c>
      <c r="H79" s="422">
        <f t="shared" si="57"/>
        <v>0.68844989198726403</v>
      </c>
      <c r="I79" s="422">
        <f t="shared" si="57"/>
        <v>3.5480366444436013</v>
      </c>
      <c r="J79" s="422">
        <f t="shared" si="57"/>
        <v>2.017706432790078</v>
      </c>
      <c r="K79" s="422">
        <f t="shared" si="57"/>
        <v>7.2595368185620221E-2</v>
      </c>
      <c r="L79" s="422">
        <f t="shared" si="57"/>
        <v>5.2546836136061682E-2</v>
      </c>
      <c r="M79" s="422">
        <f t="shared" si="57"/>
        <v>6.2979416663864821E-3</v>
      </c>
      <c r="N79" s="422">
        <f t="shared" si="57"/>
        <v>4.8634086200317027E-2</v>
      </c>
      <c r="O79" s="422">
        <f t="shared" si="57"/>
        <v>2.1648607056373684E-2</v>
      </c>
      <c r="P79" s="422">
        <f t="shared" si="57"/>
        <v>3.4641636848828185E-2</v>
      </c>
      <c r="Q79" s="422">
        <f t="shared" si="57"/>
        <v>0.1293417520185767</v>
      </c>
      <c r="R79" s="422">
        <f t="shared" si="57"/>
        <v>0.50638654489594204</v>
      </c>
      <c r="S79" s="422">
        <f t="shared" si="57"/>
        <v>6.8419542356338292E-2</v>
      </c>
      <c r="T79" s="422">
        <f t="shared" si="57"/>
        <v>1.3159196911979913</v>
      </c>
      <c r="U79" s="422">
        <f t="shared" si="57"/>
        <v>0.34601090839380028</v>
      </c>
      <c r="V79" s="422">
        <f t="shared" si="57"/>
        <v>0.11216029627770671</v>
      </c>
      <c r="W79" s="422">
        <f t="shared" si="57"/>
        <v>0.79512250756698921</v>
      </c>
      <c r="Z79" s="402"/>
      <c r="AA79" s="402"/>
      <c r="AB79" s="423"/>
    </row>
    <row r="80" spans="1:28" x14ac:dyDescent="0.3">
      <c r="A80" s="625"/>
      <c r="B80" s="637" t="s">
        <v>190</v>
      </c>
      <c r="C80" s="638"/>
      <c r="D80" s="424" t="str">
        <f>IFERROR(D20/C19,"")</f>
        <v/>
      </c>
      <c r="E80" s="424" t="str">
        <f t="shared" ref="E80:W86" si="58">IFERROR(E20/D19,"")</f>
        <v/>
      </c>
      <c r="F80" s="424" t="str">
        <f t="shared" si="58"/>
        <v/>
      </c>
      <c r="G80" s="424" t="str">
        <f t="shared" si="58"/>
        <v/>
      </c>
      <c r="H80" s="424">
        <f t="shared" si="58"/>
        <v>2.843250752489002E-2</v>
      </c>
      <c r="I80" s="424">
        <f t="shared" si="58"/>
        <v>7.3266032755070461E-3</v>
      </c>
      <c r="J80" s="424">
        <f t="shared" si="58"/>
        <v>6.0722754414758674E-3</v>
      </c>
      <c r="K80" s="424">
        <f t="shared" si="58"/>
        <v>9.9763736382821777E-4</v>
      </c>
      <c r="L80" s="424">
        <f t="shared" si="58"/>
        <v>1.8746032105909616E-3</v>
      </c>
      <c r="M80" s="424">
        <f t="shared" si="58"/>
        <v>1.4888935920972974E-3</v>
      </c>
      <c r="N80" s="424">
        <f t="shared" si="58"/>
        <v>7.0543692057227743E-3</v>
      </c>
      <c r="O80" s="424">
        <f t="shared" si="58"/>
        <v>0</v>
      </c>
      <c r="P80" s="424">
        <f t="shared" si="58"/>
        <v>1.6515504602450035E-3</v>
      </c>
      <c r="Q80" s="424">
        <f t="shared" si="58"/>
        <v>1.5144107533895134E-3</v>
      </c>
      <c r="R80" s="424">
        <f t="shared" si="58"/>
        <v>9.9330979339151844E-4</v>
      </c>
      <c r="S80" s="424">
        <f t="shared" si="58"/>
        <v>1.8374882992630867E-5</v>
      </c>
      <c r="T80" s="424">
        <f t="shared" si="58"/>
        <v>8.4805110673690301E-3</v>
      </c>
      <c r="U80" s="424">
        <f t="shared" si="58"/>
        <v>9.2876543839175191E-6</v>
      </c>
      <c r="V80" s="424">
        <f t="shared" si="58"/>
        <v>0</v>
      </c>
      <c r="W80" s="424">
        <f t="shared" si="58"/>
        <v>5.0350369623273546E-3</v>
      </c>
      <c r="Z80" s="402">
        <f>AVERAGE(H80:W80)</f>
        <v>4.434335699263197E-3</v>
      </c>
      <c r="AA80" s="402">
        <f>AVERAGE(H80:N80)</f>
        <v>7.6066985163017412E-3</v>
      </c>
      <c r="AB80" s="423"/>
    </row>
    <row r="81" spans="1:28" x14ac:dyDescent="0.3">
      <c r="A81" s="625"/>
      <c r="B81" s="637" t="s">
        <v>191</v>
      </c>
      <c r="C81" s="638"/>
      <c r="D81" s="424" t="str">
        <f t="shared" ref="D81:S86" si="59">IFERROR(D21/C20,"")</f>
        <v/>
      </c>
      <c r="E81" s="424" t="str">
        <f t="shared" si="59"/>
        <v/>
      </c>
      <c r="F81" s="424" t="str">
        <f t="shared" si="59"/>
        <v/>
      </c>
      <c r="G81" s="424" t="str">
        <f t="shared" si="59"/>
        <v/>
      </c>
      <c r="H81" s="424" t="str">
        <f t="shared" si="59"/>
        <v/>
      </c>
      <c r="I81" s="424">
        <f t="shared" si="59"/>
        <v>0</v>
      </c>
      <c r="J81" s="424">
        <f t="shared" si="59"/>
        <v>0.69480983346186487</v>
      </c>
      <c r="K81" s="424">
        <f t="shared" si="59"/>
        <v>0.63817954844016966</v>
      </c>
      <c r="L81" s="424">
        <f t="shared" si="59"/>
        <v>0.47501637554585152</v>
      </c>
      <c r="M81" s="424">
        <f t="shared" si="59"/>
        <v>1</v>
      </c>
      <c r="N81" s="424">
        <f t="shared" si="59"/>
        <v>1</v>
      </c>
      <c r="O81" s="424">
        <f t="shared" si="59"/>
        <v>0.57527065782901265</v>
      </c>
      <c r="P81" s="424" t="str">
        <f t="shared" si="59"/>
        <v/>
      </c>
      <c r="Q81" s="424">
        <f t="shared" si="59"/>
        <v>0.85163204747774479</v>
      </c>
      <c r="R81" s="424">
        <f t="shared" si="59"/>
        <v>0.9287876071842095</v>
      </c>
      <c r="S81" s="424">
        <f t="shared" si="59"/>
        <v>0.95567519066846118</v>
      </c>
      <c r="T81" s="424">
        <f t="shared" si="58"/>
        <v>1</v>
      </c>
      <c r="U81" s="424">
        <f t="shared" si="58"/>
        <v>0.72813563621757604</v>
      </c>
      <c r="V81" s="424">
        <f t="shared" si="58"/>
        <v>1</v>
      </c>
      <c r="W81" s="424" t="str">
        <f t="shared" si="58"/>
        <v/>
      </c>
      <c r="Z81" s="402">
        <f>AVERAGE(J81:W81)</f>
        <v>0.82062557473540743</v>
      </c>
      <c r="AA81" s="402">
        <f t="shared" ref="AA81:AA85" si="60">AVERAGE(H81:N81)</f>
        <v>0.63466762624131434</v>
      </c>
      <c r="AB81" s="423"/>
    </row>
    <row r="82" spans="1:28" x14ac:dyDescent="0.3">
      <c r="A82" s="625"/>
      <c r="B82" s="637" t="s">
        <v>192</v>
      </c>
      <c r="C82" s="638"/>
      <c r="D82" s="424" t="str">
        <f t="shared" si="59"/>
        <v/>
      </c>
      <c r="E82" s="424" t="str">
        <f t="shared" si="58"/>
        <v/>
      </c>
      <c r="F82" s="424" t="str">
        <f t="shared" si="58"/>
        <v/>
      </c>
      <c r="G82" s="424" t="str">
        <f t="shared" si="58"/>
        <v/>
      </c>
      <c r="H82" s="424" t="str">
        <f t="shared" si="58"/>
        <v/>
      </c>
      <c r="I82" s="424" t="str">
        <f t="shared" si="58"/>
        <v/>
      </c>
      <c r="J82" s="424" t="str">
        <f t="shared" si="58"/>
        <v/>
      </c>
      <c r="K82" s="424">
        <f t="shared" si="58"/>
        <v>0.87146829746206333</v>
      </c>
      <c r="L82" s="424">
        <f t="shared" si="58"/>
        <v>0.71827212903071846</v>
      </c>
      <c r="M82" s="424">
        <f t="shared" si="58"/>
        <v>1</v>
      </c>
      <c r="N82" s="424">
        <f t="shared" si="58"/>
        <v>1</v>
      </c>
      <c r="O82" s="424">
        <f t="shared" si="58"/>
        <v>0</v>
      </c>
      <c r="P82" s="424">
        <f t="shared" si="58"/>
        <v>0</v>
      </c>
      <c r="Q82" s="424" t="str">
        <f t="shared" si="58"/>
        <v/>
      </c>
      <c r="R82" s="424">
        <f t="shared" si="58"/>
        <v>0.90243902439024393</v>
      </c>
      <c r="S82" s="424">
        <f t="shared" si="58"/>
        <v>0.55666763242947537</v>
      </c>
      <c r="T82" s="424">
        <f t="shared" si="58"/>
        <v>0.71129471411135103</v>
      </c>
      <c r="U82" s="424">
        <f t="shared" si="58"/>
        <v>1</v>
      </c>
      <c r="V82" s="424">
        <f t="shared" si="58"/>
        <v>0.92944865429840606</v>
      </c>
      <c r="W82" s="424">
        <f t="shared" si="58"/>
        <v>1</v>
      </c>
      <c r="Z82" s="402">
        <f t="shared" ref="Z82:Z85" si="61">AVERAGE(J82:W82)</f>
        <v>0.72413253764352159</v>
      </c>
      <c r="AA82" s="402">
        <f t="shared" si="60"/>
        <v>0.89743510662319548</v>
      </c>
      <c r="AB82" s="423"/>
    </row>
    <row r="83" spans="1:28" x14ac:dyDescent="0.3">
      <c r="A83" s="625"/>
      <c r="B83" s="425" t="s">
        <v>193</v>
      </c>
      <c r="C83" s="426"/>
      <c r="D83" s="424" t="str">
        <f t="shared" si="59"/>
        <v/>
      </c>
      <c r="E83" s="424" t="str">
        <f t="shared" si="58"/>
        <v/>
      </c>
      <c r="F83" s="424" t="str">
        <f t="shared" si="58"/>
        <v/>
      </c>
      <c r="G83" s="424" t="str">
        <f t="shared" si="58"/>
        <v/>
      </c>
      <c r="H83" s="424" t="str">
        <f t="shared" si="58"/>
        <v/>
      </c>
      <c r="I83" s="424" t="str">
        <f t="shared" si="58"/>
        <v/>
      </c>
      <c r="J83" s="424" t="str">
        <f t="shared" si="58"/>
        <v/>
      </c>
      <c r="K83" s="424" t="str">
        <f t="shared" si="58"/>
        <v/>
      </c>
      <c r="L83" s="424">
        <f t="shared" si="58"/>
        <v>0.9742776847505078</v>
      </c>
      <c r="M83" s="424">
        <f t="shared" si="58"/>
        <v>0.63776847833549888</v>
      </c>
      <c r="N83" s="424">
        <f t="shared" si="58"/>
        <v>0.8621054204060995</v>
      </c>
      <c r="O83" s="424">
        <f t="shared" si="58"/>
        <v>0.9659308008213553</v>
      </c>
      <c r="P83" s="424" t="str">
        <f t="shared" si="58"/>
        <v/>
      </c>
      <c r="Q83" s="424" t="str">
        <f t="shared" si="58"/>
        <v/>
      </c>
      <c r="R83" s="424" t="str">
        <f t="shared" si="58"/>
        <v/>
      </c>
      <c r="S83" s="424">
        <f t="shared" si="58"/>
        <v>0.96138996138996136</v>
      </c>
      <c r="T83" s="424">
        <f t="shared" si="58"/>
        <v>0.86226535406916271</v>
      </c>
      <c r="U83" s="424">
        <f t="shared" si="58"/>
        <v>0.46673706441393875</v>
      </c>
      <c r="V83" s="424">
        <f t="shared" si="58"/>
        <v>1</v>
      </c>
      <c r="W83" s="424">
        <f t="shared" si="58"/>
        <v>0.91550307687501953</v>
      </c>
      <c r="Z83" s="402">
        <f t="shared" si="61"/>
        <v>0.8495530934512826</v>
      </c>
      <c r="AA83" s="402">
        <f t="shared" si="60"/>
        <v>0.82471719449736869</v>
      </c>
      <c r="AB83" s="423"/>
    </row>
    <row r="84" spans="1:28" x14ac:dyDescent="0.3">
      <c r="A84" s="625"/>
      <c r="B84" s="425" t="s">
        <v>208</v>
      </c>
      <c r="C84" s="426"/>
      <c r="D84" s="424" t="str">
        <f t="shared" si="59"/>
        <v/>
      </c>
      <c r="E84" s="424" t="str">
        <f t="shared" si="58"/>
        <v/>
      </c>
      <c r="F84" s="424" t="str">
        <f t="shared" si="58"/>
        <v/>
      </c>
      <c r="G84" s="424" t="str">
        <f t="shared" si="58"/>
        <v/>
      </c>
      <c r="H84" s="424" t="str">
        <f t="shared" si="58"/>
        <v/>
      </c>
      <c r="I84" s="424" t="str">
        <f t="shared" si="58"/>
        <v/>
      </c>
      <c r="J84" s="424" t="str">
        <f t="shared" si="58"/>
        <v/>
      </c>
      <c r="K84" s="424" t="str">
        <f t="shared" si="58"/>
        <v/>
      </c>
      <c r="L84" s="424" t="str">
        <f t="shared" si="58"/>
        <v/>
      </c>
      <c r="M84" s="424">
        <f t="shared" si="58"/>
        <v>1</v>
      </c>
      <c r="N84" s="424">
        <f t="shared" si="58"/>
        <v>0.74162047132215869</v>
      </c>
      <c r="O84" s="424">
        <f t="shared" si="58"/>
        <v>1</v>
      </c>
      <c r="P84" s="424">
        <f t="shared" si="58"/>
        <v>0.88819988933018401</v>
      </c>
      <c r="Q84" s="424" t="str">
        <f t="shared" si="58"/>
        <v/>
      </c>
      <c r="R84" s="424" t="str">
        <f t="shared" si="58"/>
        <v/>
      </c>
      <c r="S84" s="424" t="str">
        <f t="shared" si="58"/>
        <v/>
      </c>
      <c r="T84" s="424">
        <f t="shared" si="58"/>
        <v>0.97991967871485941</v>
      </c>
      <c r="U84" s="424">
        <f t="shared" si="58"/>
        <v>0.88712815792778832</v>
      </c>
      <c r="V84" s="424">
        <f t="shared" si="58"/>
        <v>0.97341628959276016</v>
      </c>
      <c r="W84" s="424">
        <f t="shared" si="58"/>
        <v>1</v>
      </c>
      <c r="Z84" s="402">
        <f t="shared" si="61"/>
        <v>0.93378556086096876</v>
      </c>
      <c r="AA84" s="402">
        <f t="shared" si="60"/>
        <v>0.8708102356610794</v>
      </c>
      <c r="AB84" s="423"/>
    </row>
    <row r="85" spans="1:28" x14ac:dyDescent="0.3">
      <c r="A85" s="625"/>
      <c r="B85" s="425" t="s">
        <v>209</v>
      </c>
      <c r="C85" s="426"/>
      <c r="D85" s="424" t="str">
        <f t="shared" si="59"/>
        <v/>
      </c>
      <c r="E85" s="424" t="str">
        <f t="shared" si="58"/>
        <v/>
      </c>
      <c r="F85" s="424" t="str">
        <f t="shared" si="58"/>
        <v/>
      </c>
      <c r="G85" s="424" t="str">
        <f t="shared" si="58"/>
        <v/>
      </c>
      <c r="H85" s="424" t="str">
        <f t="shared" si="58"/>
        <v/>
      </c>
      <c r="I85" s="424" t="str">
        <f t="shared" si="58"/>
        <v/>
      </c>
      <c r="J85" s="424" t="str">
        <f t="shared" si="58"/>
        <v/>
      </c>
      <c r="K85" s="424" t="str">
        <f t="shared" si="58"/>
        <v/>
      </c>
      <c r="L85" s="424" t="str">
        <f t="shared" si="58"/>
        <v/>
      </c>
      <c r="M85" s="424" t="str">
        <f t="shared" si="58"/>
        <v/>
      </c>
      <c r="N85" s="424">
        <f t="shared" si="58"/>
        <v>0.95580612500591089</v>
      </c>
      <c r="O85" s="424">
        <f t="shared" si="58"/>
        <v>0.8661284444342614</v>
      </c>
      <c r="P85" s="424">
        <f t="shared" si="58"/>
        <v>0.8344107806939205</v>
      </c>
      <c r="Q85" s="424">
        <f t="shared" si="58"/>
        <v>0.92438859537892926</v>
      </c>
      <c r="R85" s="424" t="str">
        <f t="shared" si="58"/>
        <v/>
      </c>
      <c r="S85" s="424" t="str">
        <f t="shared" si="58"/>
        <v/>
      </c>
      <c r="T85" s="424" t="str">
        <f t="shared" si="58"/>
        <v/>
      </c>
      <c r="U85" s="424">
        <f t="shared" si="58"/>
        <v>1</v>
      </c>
      <c r="V85" s="424">
        <f t="shared" si="58"/>
        <v>0.77239662628249761</v>
      </c>
      <c r="W85" s="424">
        <f t="shared" si="58"/>
        <v>0.77222545031958167</v>
      </c>
      <c r="Z85" s="402">
        <f t="shared" si="61"/>
        <v>0.87505086030215729</v>
      </c>
      <c r="AA85" s="402">
        <f t="shared" si="60"/>
        <v>0.95580612500591089</v>
      </c>
      <c r="AB85" s="423"/>
    </row>
    <row r="86" spans="1:28" x14ac:dyDescent="0.3">
      <c r="A86" s="625"/>
      <c r="B86" s="425" t="s">
        <v>210</v>
      </c>
      <c r="C86" s="427"/>
      <c r="D86" s="424" t="str">
        <f t="shared" si="59"/>
        <v/>
      </c>
      <c r="E86" s="424" t="str">
        <f t="shared" si="58"/>
        <v/>
      </c>
      <c r="F86" s="424" t="str">
        <f t="shared" si="58"/>
        <v/>
      </c>
      <c r="G86" s="424" t="str">
        <f t="shared" si="58"/>
        <v/>
      </c>
      <c r="H86" s="424" t="str">
        <f t="shared" si="58"/>
        <v/>
      </c>
      <c r="I86" s="424" t="str">
        <f t="shared" si="58"/>
        <v/>
      </c>
      <c r="J86" s="424" t="str">
        <f t="shared" si="58"/>
        <v/>
      </c>
      <c r="K86" s="424" t="str">
        <f t="shared" si="58"/>
        <v/>
      </c>
      <c r="L86" s="424" t="str">
        <f t="shared" si="58"/>
        <v/>
      </c>
      <c r="M86" s="424" t="str">
        <f t="shared" si="58"/>
        <v/>
      </c>
      <c r="N86" s="424" t="str">
        <f t="shared" si="58"/>
        <v/>
      </c>
      <c r="O86" s="424">
        <f t="shared" si="58"/>
        <v>0.52745500303547732</v>
      </c>
      <c r="P86" s="424">
        <f t="shared" si="58"/>
        <v>1.4177411223083536</v>
      </c>
      <c r="Q86" s="424">
        <f t="shared" si="58"/>
        <v>5.5890405750798724</v>
      </c>
      <c r="R86" s="424">
        <f t="shared" si="58"/>
        <v>5.048879292867964</v>
      </c>
      <c r="S86" s="424" t="str">
        <f t="shared" si="58"/>
        <v/>
      </c>
      <c r="T86" s="424" t="str">
        <f t="shared" si="58"/>
        <v/>
      </c>
      <c r="U86" s="424" t="str">
        <f t="shared" si="58"/>
        <v/>
      </c>
      <c r="V86" s="424">
        <f t="shared" si="58"/>
        <v>3.9928368852459015</v>
      </c>
      <c r="W86" s="424">
        <f t="shared" si="58"/>
        <v>7.2197853004098116</v>
      </c>
      <c r="Z86" s="402"/>
      <c r="AA86" s="402"/>
      <c r="AB86" s="423"/>
    </row>
    <row r="87" spans="1:28" x14ac:dyDescent="0.3">
      <c r="A87" s="625"/>
      <c r="B87" s="405" t="s">
        <v>194</v>
      </c>
      <c r="C87" s="406"/>
      <c r="D87" s="428"/>
      <c r="E87" s="428"/>
      <c r="F87" s="428"/>
      <c r="G87" s="428"/>
      <c r="H87" s="428"/>
      <c r="I87" s="428"/>
      <c r="J87" s="428"/>
      <c r="K87" s="428"/>
      <c r="L87" s="428"/>
      <c r="M87" s="428"/>
      <c r="N87" s="428"/>
      <c r="O87" s="428"/>
      <c r="P87" s="428"/>
      <c r="Q87" s="428"/>
      <c r="R87" s="428"/>
      <c r="S87" s="428"/>
      <c r="T87" s="428"/>
      <c r="U87" s="428"/>
      <c r="V87" s="428"/>
      <c r="W87" s="428"/>
      <c r="Z87" s="402"/>
      <c r="AA87" s="408"/>
    </row>
    <row r="88" spans="1:28" x14ac:dyDescent="0.3">
      <c r="A88" s="625"/>
      <c r="B88" s="631" t="s">
        <v>100</v>
      </c>
      <c r="C88" s="632"/>
      <c r="D88" s="429" t="str">
        <f>IFERROR(D19/D34,"")</f>
        <v/>
      </c>
      <c r="E88" s="429" t="str">
        <f t="shared" ref="E88:W88" si="62">IFERROR(E19/E34,"")</f>
        <v/>
      </c>
      <c r="F88" s="429" t="str">
        <f t="shared" si="62"/>
        <v/>
      </c>
      <c r="G88" s="429">
        <f t="shared" si="62"/>
        <v>1</v>
      </c>
      <c r="H88" s="429">
        <f t="shared" si="62"/>
        <v>0.99533060318112165</v>
      </c>
      <c r="I88" s="429">
        <f t="shared" si="62"/>
        <v>0.9980022937394788</v>
      </c>
      <c r="J88" s="429">
        <f t="shared" si="62"/>
        <v>0.99227259205527307</v>
      </c>
      <c r="K88" s="429">
        <f t="shared" si="62"/>
        <v>0.97819833222165387</v>
      </c>
      <c r="L88" s="429">
        <f t="shared" si="62"/>
        <v>0.98100679297627724</v>
      </c>
      <c r="M88" s="429">
        <f t="shared" si="62"/>
        <v>0.92463671938396452</v>
      </c>
      <c r="N88" s="429">
        <f t="shared" si="62"/>
        <v>0.99570432424983812</v>
      </c>
      <c r="O88" s="429">
        <f t="shared" si="62"/>
        <v>0.99339509368655243</v>
      </c>
      <c r="P88" s="429">
        <f t="shared" si="62"/>
        <v>0.99534900657541381</v>
      </c>
      <c r="Q88" s="429">
        <f t="shared" si="62"/>
        <v>0.99836859688391044</v>
      </c>
      <c r="R88" s="429">
        <f t="shared" si="62"/>
        <v>0.99935077544058093</v>
      </c>
      <c r="S88" s="429">
        <f t="shared" si="62"/>
        <v>0.99543525684148981</v>
      </c>
      <c r="T88" s="429">
        <f t="shared" si="62"/>
        <v>0.99924047835256269</v>
      </c>
      <c r="U88" s="429">
        <f t="shared" si="62"/>
        <v>0.99722978517025351</v>
      </c>
      <c r="V88" s="429">
        <f t="shared" si="62"/>
        <v>0.99391123971469753</v>
      </c>
      <c r="W88" s="429">
        <f t="shared" si="62"/>
        <v>0.99880428383764597</v>
      </c>
      <c r="Z88" s="402"/>
      <c r="AA88" s="402"/>
    </row>
    <row r="89" spans="1:28" x14ac:dyDescent="0.3">
      <c r="A89" s="625"/>
      <c r="B89" s="635" t="s">
        <v>195</v>
      </c>
      <c r="C89" s="636"/>
      <c r="D89" s="430" t="str">
        <f>IFERROR(SUM(D20:D26)/D34,"")</f>
        <v/>
      </c>
      <c r="E89" s="430" t="str">
        <f t="shared" ref="E89:W89" si="63">IFERROR(SUM(E20:E26)/E34,"")</f>
        <v/>
      </c>
      <c r="F89" s="430" t="str">
        <f t="shared" si="63"/>
        <v/>
      </c>
      <c r="G89" s="430">
        <f t="shared" si="63"/>
        <v>0</v>
      </c>
      <c r="H89" s="430">
        <f t="shared" si="63"/>
        <v>4.6693968188783559E-3</v>
      </c>
      <c r="I89" s="430">
        <f t="shared" si="63"/>
        <v>1.9977062605211673E-3</v>
      </c>
      <c r="J89" s="430">
        <f t="shared" si="63"/>
        <v>7.7274079447269281E-3</v>
      </c>
      <c r="K89" s="430">
        <f t="shared" si="63"/>
        <v>2.1801667778346093E-2</v>
      </c>
      <c r="L89" s="430">
        <f t="shared" si="63"/>
        <v>1.8993207023722661E-2</v>
      </c>
      <c r="M89" s="430">
        <f t="shared" si="63"/>
        <v>7.5363280616035658E-2</v>
      </c>
      <c r="N89" s="430">
        <f t="shared" si="63"/>
        <v>4.2956757501617848E-3</v>
      </c>
      <c r="O89" s="430">
        <f t="shared" si="63"/>
        <v>6.6049063134476279E-3</v>
      </c>
      <c r="P89" s="430">
        <f t="shared" si="63"/>
        <v>4.6509934245862533E-3</v>
      </c>
      <c r="Q89" s="430">
        <f t="shared" si="63"/>
        <v>1.6314031160895501E-3</v>
      </c>
      <c r="R89" s="430">
        <f t="shared" si="63"/>
        <v>6.4922455941906771E-4</v>
      </c>
      <c r="S89" s="430">
        <f t="shared" si="63"/>
        <v>4.5647431585101022E-3</v>
      </c>
      <c r="T89" s="430">
        <f t="shared" si="63"/>
        <v>7.5952164743721504E-4</v>
      </c>
      <c r="U89" s="430">
        <f t="shared" si="63"/>
        <v>2.7702148297464486E-3</v>
      </c>
      <c r="V89" s="430">
        <f t="shared" si="63"/>
        <v>6.0887602853024799E-3</v>
      </c>
      <c r="W89" s="430">
        <f t="shared" si="63"/>
        <v>1.1957161623539897E-3</v>
      </c>
      <c r="Z89" s="402"/>
      <c r="AA89" s="402"/>
    </row>
    <row r="90" spans="1:28" x14ac:dyDescent="0.3">
      <c r="A90" s="625"/>
      <c r="B90" s="637" t="s">
        <v>196</v>
      </c>
      <c r="C90" s="638"/>
      <c r="D90" s="430" t="str">
        <f>IFERROR(SUM(D21:D26)/D34,"")</f>
        <v/>
      </c>
      <c r="E90" s="430" t="str">
        <f t="shared" ref="E90:W90" si="64">IFERROR(SUM(E21:E26)/E34,"")</f>
        <v/>
      </c>
      <c r="F90" s="430" t="str">
        <f t="shared" si="64"/>
        <v/>
      </c>
      <c r="G90" s="430">
        <f t="shared" si="64"/>
        <v>0</v>
      </c>
      <c r="H90" s="430">
        <f t="shared" si="64"/>
        <v>0</v>
      </c>
      <c r="I90" s="430">
        <f t="shared" si="64"/>
        <v>0</v>
      </c>
      <c r="J90" s="430">
        <f t="shared" si="64"/>
        <v>1.4400640254789575E-3</v>
      </c>
      <c r="K90" s="430">
        <f t="shared" si="64"/>
        <v>1.8352591596607834E-2</v>
      </c>
      <c r="L90" s="430">
        <f t="shared" si="64"/>
        <v>1.703364952380286E-2</v>
      </c>
      <c r="M90" s="430">
        <f t="shared" si="64"/>
        <v>6.871890296265698E-2</v>
      </c>
      <c r="N90" s="430">
        <f t="shared" si="64"/>
        <v>3.9055880450285995E-3</v>
      </c>
      <c r="O90" s="430">
        <f t="shared" si="64"/>
        <v>6.6049063134476279E-3</v>
      </c>
      <c r="P90" s="430">
        <f t="shared" si="64"/>
        <v>3.5896858753820152E-3</v>
      </c>
      <c r="Q90" s="430">
        <f t="shared" si="64"/>
        <v>1.2055073956442701E-3</v>
      </c>
      <c r="R90" s="430">
        <f t="shared" si="64"/>
        <v>3.9016744864978629E-4</v>
      </c>
      <c r="S90" s="430">
        <f t="shared" si="64"/>
        <v>4.4237579826677679E-3</v>
      </c>
      <c r="T90" s="430">
        <f t="shared" si="64"/>
        <v>2.3690232398089408E-4</v>
      </c>
      <c r="U90" s="430">
        <f t="shared" si="64"/>
        <v>2.725417399823982E-3</v>
      </c>
      <c r="V90" s="430">
        <f t="shared" si="64"/>
        <v>6.0887602853024799E-3</v>
      </c>
      <c r="W90" s="430">
        <f t="shared" si="64"/>
        <v>6.2968148990353667E-4</v>
      </c>
      <c r="Z90" s="402"/>
      <c r="AA90" s="402"/>
    </row>
    <row r="91" spans="1:28" x14ac:dyDescent="0.3">
      <c r="A91" s="625"/>
      <c r="B91" s="637" t="s">
        <v>211</v>
      </c>
      <c r="C91" s="638"/>
      <c r="D91" s="430" t="str">
        <f>IFERROR(SUM(D22:D26)/D34,"")</f>
        <v/>
      </c>
      <c r="E91" s="430" t="str">
        <f t="shared" ref="E91:W91" si="65">IFERROR(SUM(E22:E26)/E34,"")</f>
        <v/>
      </c>
      <c r="F91" s="430" t="str">
        <f t="shared" si="65"/>
        <v/>
      </c>
      <c r="G91" s="430">
        <f t="shared" si="65"/>
        <v>0</v>
      </c>
      <c r="H91" s="430">
        <f t="shared" si="65"/>
        <v>0</v>
      </c>
      <c r="I91" s="430">
        <f t="shared" si="65"/>
        <v>0</v>
      </c>
      <c r="J91" s="430">
        <f t="shared" si="65"/>
        <v>0</v>
      </c>
      <c r="K91" s="430">
        <f t="shared" si="65"/>
        <v>4.3725267930450652E-3</v>
      </c>
      <c r="L91" s="430">
        <f t="shared" si="65"/>
        <v>1.5282863360399156E-2</v>
      </c>
      <c r="M91" s="430">
        <f t="shared" si="65"/>
        <v>5.980482054614069E-2</v>
      </c>
      <c r="N91" s="430">
        <f t="shared" si="65"/>
        <v>3.5082252064934736E-3</v>
      </c>
      <c r="O91" s="430">
        <f t="shared" si="65"/>
        <v>6.1058979522346513E-3</v>
      </c>
      <c r="P91" s="430">
        <f t="shared" si="65"/>
        <v>3.5896858753820152E-3</v>
      </c>
      <c r="Q91" s="430">
        <f t="shared" si="65"/>
        <v>9.5013294032914269E-4</v>
      </c>
      <c r="R91" s="430">
        <f t="shared" si="65"/>
        <v>2.8683432061202686E-4</v>
      </c>
      <c r="S91" s="430">
        <f t="shared" si="65"/>
        <v>2.5229565802668799E-3</v>
      </c>
      <c r="T91" s="430">
        <f t="shared" si="65"/>
        <v>2.2817414045066357E-4</v>
      </c>
      <c r="U91" s="430">
        <f t="shared" si="65"/>
        <v>8.8856278218169091E-4</v>
      </c>
      <c r="V91" s="430">
        <f t="shared" si="65"/>
        <v>5.9828461237307808E-3</v>
      </c>
      <c r="W91" s="430">
        <f t="shared" si="65"/>
        <v>6.2968148990353667E-4</v>
      </c>
      <c r="Z91" s="402"/>
      <c r="AA91" s="402"/>
    </row>
    <row r="92" spans="1:28" x14ac:dyDescent="0.3">
      <c r="A92" s="625"/>
      <c r="B92" s="637" t="s">
        <v>197</v>
      </c>
      <c r="C92" s="638"/>
      <c r="D92" s="430" t="str">
        <f>IFERROR(SUM(D22:D26)/D34,"")</f>
        <v/>
      </c>
      <c r="E92" s="430" t="str">
        <f t="shared" ref="E92:W92" si="66">IFERROR(SUM(E22:E26)/E34,"")</f>
        <v/>
      </c>
      <c r="F92" s="430" t="str">
        <f t="shared" si="66"/>
        <v/>
      </c>
      <c r="G92" s="430">
        <f t="shared" si="66"/>
        <v>0</v>
      </c>
      <c r="H92" s="430">
        <f t="shared" si="66"/>
        <v>0</v>
      </c>
      <c r="I92" s="430">
        <f t="shared" si="66"/>
        <v>0</v>
      </c>
      <c r="J92" s="430">
        <f t="shared" si="66"/>
        <v>0</v>
      </c>
      <c r="K92" s="430">
        <f t="shared" si="66"/>
        <v>4.3725267930450652E-3</v>
      </c>
      <c r="L92" s="430">
        <f t="shared" si="66"/>
        <v>1.5282863360399156E-2</v>
      </c>
      <c r="M92" s="430">
        <f t="shared" si="66"/>
        <v>5.980482054614069E-2</v>
      </c>
      <c r="N92" s="430">
        <f t="shared" si="66"/>
        <v>3.5082252064934736E-3</v>
      </c>
      <c r="O92" s="430">
        <f t="shared" si="66"/>
        <v>6.1058979522346513E-3</v>
      </c>
      <c r="P92" s="430">
        <f t="shared" si="66"/>
        <v>3.5896858753820152E-3</v>
      </c>
      <c r="Q92" s="430">
        <f t="shared" si="66"/>
        <v>9.5013294032914269E-4</v>
      </c>
      <c r="R92" s="430">
        <f t="shared" si="66"/>
        <v>2.8683432061202686E-4</v>
      </c>
      <c r="S92" s="430">
        <f t="shared" si="66"/>
        <v>2.5229565802668799E-3</v>
      </c>
      <c r="T92" s="430">
        <f t="shared" si="66"/>
        <v>2.2817414045066357E-4</v>
      </c>
      <c r="U92" s="430">
        <f t="shared" si="66"/>
        <v>8.8856278218169091E-4</v>
      </c>
      <c r="V92" s="430">
        <f t="shared" si="66"/>
        <v>5.9828461237307808E-3</v>
      </c>
      <c r="W92" s="430">
        <f t="shared" si="66"/>
        <v>6.2968148990353667E-4</v>
      </c>
      <c r="Z92" s="402"/>
      <c r="AA92" s="402"/>
    </row>
    <row r="93" spans="1:28" x14ac:dyDescent="0.3">
      <c r="A93" s="625"/>
      <c r="B93" s="637" t="s">
        <v>198</v>
      </c>
      <c r="C93" s="638"/>
      <c r="D93" s="430" t="str">
        <f>IFERROR(SUM(D24:D26)/D34,"")</f>
        <v/>
      </c>
      <c r="E93" s="430" t="str">
        <f t="shared" ref="E93:W93" si="67">IFERROR(SUM(E24:E26)/E34,"")</f>
        <v/>
      </c>
      <c r="F93" s="430" t="str">
        <f t="shared" si="67"/>
        <v/>
      </c>
      <c r="G93" s="430">
        <f t="shared" si="67"/>
        <v>0</v>
      </c>
      <c r="H93" s="430">
        <f t="shared" si="67"/>
        <v>0</v>
      </c>
      <c r="I93" s="430">
        <f t="shared" si="67"/>
        <v>0</v>
      </c>
      <c r="J93" s="430">
        <f t="shared" si="67"/>
        <v>0</v>
      </c>
      <c r="K93" s="430">
        <f t="shared" si="67"/>
        <v>0</v>
      </c>
      <c r="L93" s="430">
        <f t="shared" si="67"/>
        <v>0</v>
      </c>
      <c r="M93" s="430">
        <f t="shared" si="67"/>
        <v>2.0708832019044322E-2</v>
      </c>
      <c r="N93" s="430">
        <f t="shared" si="67"/>
        <v>2.5644994116072206E-3</v>
      </c>
      <c r="O93" s="430">
        <f t="shared" si="67"/>
        <v>4.960836123532297E-3</v>
      </c>
      <c r="P93" s="430">
        <f t="shared" si="67"/>
        <v>3.5896858753820152E-3</v>
      </c>
      <c r="Q93" s="430">
        <f t="shared" si="67"/>
        <v>9.5013294032914269E-4</v>
      </c>
      <c r="R93" s="430">
        <f t="shared" si="67"/>
        <v>2.2663172600525801E-4</v>
      </c>
      <c r="S93" s="430">
        <f t="shared" si="67"/>
        <v>1.6369475565808358E-3</v>
      </c>
      <c r="T93" s="430">
        <f t="shared" si="67"/>
        <v>1.2089663329061388E-4</v>
      </c>
      <c r="U93" s="430">
        <f t="shared" si="67"/>
        <v>6.5785601808098675E-4</v>
      </c>
      <c r="V93" s="430">
        <f t="shared" si="67"/>
        <v>1.8467720260683532E-3</v>
      </c>
      <c r="W93" s="430">
        <f t="shared" si="67"/>
        <v>1.9972350089848121E-4</v>
      </c>
      <c r="Z93" s="402"/>
      <c r="AA93" s="402"/>
    </row>
    <row r="94" spans="1:28" ht="14.5" thickBot="1" x14ac:dyDescent="0.35">
      <c r="A94" s="626"/>
      <c r="B94" s="639" t="s">
        <v>212</v>
      </c>
      <c r="C94" s="640"/>
      <c r="D94" s="431" t="str">
        <f>IFERROR(D26/D34,"")</f>
        <v/>
      </c>
      <c r="E94" s="431" t="str">
        <f t="shared" ref="E94:W94" si="68">IFERROR(E26/E34,"")</f>
        <v/>
      </c>
      <c r="F94" s="431" t="str">
        <f t="shared" si="68"/>
        <v/>
      </c>
      <c r="G94" s="431">
        <f t="shared" si="68"/>
        <v>0</v>
      </c>
      <c r="H94" s="431">
        <f t="shared" si="68"/>
        <v>0</v>
      </c>
      <c r="I94" s="431">
        <f t="shared" si="68"/>
        <v>0</v>
      </c>
      <c r="J94" s="431">
        <f t="shared" si="68"/>
        <v>0</v>
      </c>
      <c r="K94" s="431">
        <f t="shared" si="68"/>
        <v>0</v>
      </c>
      <c r="L94" s="431">
        <f t="shared" si="68"/>
        <v>0</v>
      </c>
      <c r="M94" s="431">
        <f t="shared" si="68"/>
        <v>0</v>
      </c>
      <c r="N94" s="431">
        <f t="shared" si="68"/>
        <v>0</v>
      </c>
      <c r="O94" s="431">
        <f t="shared" si="68"/>
        <v>1.3884080027127613E-3</v>
      </c>
      <c r="P94" s="431">
        <f t="shared" si="68"/>
        <v>2.4389126192043086E-3</v>
      </c>
      <c r="Q94" s="431">
        <f t="shared" si="68"/>
        <v>7.7830023394126881E-4</v>
      </c>
      <c r="R94" s="431">
        <f t="shared" si="68"/>
        <v>2.2663172600525801E-4</v>
      </c>
      <c r="S94" s="431">
        <f t="shared" si="68"/>
        <v>1.6369475565808358E-3</v>
      </c>
      <c r="T94" s="431">
        <f t="shared" si="68"/>
        <v>9.3938699349142447E-5</v>
      </c>
      <c r="U94" s="431">
        <f t="shared" si="68"/>
        <v>4.267766886880941E-4</v>
      </c>
      <c r="V94" s="431">
        <f t="shared" si="68"/>
        <v>1.2284179157426563E-3</v>
      </c>
      <c r="W94" s="431">
        <f t="shared" si="68"/>
        <v>1.5054958733574299E-4</v>
      </c>
      <c r="Z94" s="402"/>
      <c r="AA94" s="402"/>
    </row>
    <row r="95" spans="1:28" x14ac:dyDescent="0.3">
      <c r="S95"/>
      <c r="T95"/>
    </row>
    <row r="97" spans="2:3" x14ac:dyDescent="0.3">
      <c r="B97"/>
      <c r="C97"/>
    </row>
    <row r="98" spans="2:3" x14ac:dyDescent="0.3">
      <c r="B98"/>
      <c r="C98"/>
    </row>
    <row r="99" spans="2:3" x14ac:dyDescent="0.3">
      <c r="B99"/>
      <c r="C99"/>
    </row>
    <row r="100" spans="2:3" x14ac:dyDescent="0.3">
      <c r="B100"/>
      <c r="C100"/>
    </row>
    <row r="101" spans="2:3" x14ac:dyDescent="0.3">
      <c r="B101"/>
      <c r="C101"/>
    </row>
    <row r="102" spans="2:3" x14ac:dyDescent="0.3">
      <c r="B102"/>
      <c r="C102"/>
    </row>
    <row r="103" spans="2:3" x14ac:dyDescent="0.3">
      <c r="B103"/>
      <c r="C103"/>
    </row>
    <row r="104" spans="2:3" x14ac:dyDescent="0.3">
      <c r="B104"/>
      <c r="C104"/>
    </row>
    <row r="105" spans="2:3" x14ac:dyDescent="0.3">
      <c r="B105"/>
      <c r="C105"/>
    </row>
    <row r="106" spans="2:3" x14ac:dyDescent="0.3">
      <c r="B106"/>
      <c r="C106"/>
    </row>
    <row r="107" spans="2:3" x14ac:dyDescent="0.3">
      <c r="B107"/>
      <c r="C107"/>
    </row>
  </sheetData>
  <mergeCells count="25">
    <mergeCell ref="A65:A94"/>
    <mergeCell ref="B78:C78"/>
    <mergeCell ref="B79:C79"/>
    <mergeCell ref="B80:C80"/>
    <mergeCell ref="B81:C81"/>
    <mergeCell ref="B82:C82"/>
    <mergeCell ref="B88:C88"/>
    <mergeCell ref="B89:C89"/>
    <mergeCell ref="B90:C90"/>
    <mergeCell ref="B91:C91"/>
    <mergeCell ref="B92:C92"/>
    <mergeCell ref="B93:C93"/>
    <mergeCell ref="B94:C94"/>
    <mergeCell ref="A39:C39"/>
    <mergeCell ref="A40:A64"/>
    <mergeCell ref="B53:C53"/>
    <mergeCell ref="B54:C54"/>
    <mergeCell ref="B55:C55"/>
    <mergeCell ref="B56:C56"/>
    <mergeCell ref="B57:C57"/>
    <mergeCell ref="B60:C60"/>
    <mergeCell ref="B61:C61"/>
    <mergeCell ref="B62:C62"/>
    <mergeCell ref="B63:C63"/>
    <mergeCell ref="B64:C6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3"/>
  <sheetViews>
    <sheetView showGridLines="0" zoomScale="50" zoomScaleNormal="50" workbookViewId="0">
      <selection activeCell="D69" sqref="D69"/>
    </sheetView>
  </sheetViews>
  <sheetFormatPr defaultColWidth="9.08203125" defaultRowHeight="15" x14ac:dyDescent="0.3"/>
  <cols>
    <col min="1" max="1" width="37.83203125" style="432" bestFit="1" customWidth="1"/>
    <col min="2" max="2" width="9.83203125" style="432" bestFit="1" customWidth="1"/>
    <col min="3" max="3" width="16.25" style="432" customWidth="1"/>
    <col min="4" max="4" width="6.33203125" style="432" customWidth="1"/>
    <col min="5" max="5" width="23.83203125" style="432" bestFit="1" customWidth="1"/>
    <col min="6" max="6" width="10" style="432" customWidth="1"/>
    <col min="7" max="7" width="11.25" style="432" bestFit="1" customWidth="1"/>
    <col min="8" max="8" width="11" style="432" bestFit="1" customWidth="1"/>
    <col min="9" max="10" width="12.08203125" style="432" bestFit="1" customWidth="1"/>
    <col min="11" max="11" width="13.83203125" style="432" customWidth="1"/>
    <col min="12" max="12" width="10.75" style="432" bestFit="1" customWidth="1"/>
    <col min="13" max="13" width="10.33203125" style="432" customWidth="1"/>
    <col min="14" max="14" width="4.58203125" style="432" bestFit="1" customWidth="1"/>
    <col min="15" max="15" width="25.75" style="432" bestFit="1" customWidth="1"/>
    <col min="16" max="17" width="11.25" style="432" bestFit="1" customWidth="1"/>
    <col min="18" max="18" width="9.83203125" style="432" bestFit="1" customWidth="1"/>
    <col min="19" max="20" width="10.83203125" style="432" bestFit="1" customWidth="1"/>
    <col min="21" max="21" width="12.08203125" style="432" bestFit="1" customWidth="1"/>
    <col min="22" max="22" width="9.83203125" style="432" bestFit="1" customWidth="1"/>
    <col min="23" max="16384" width="9.08203125" style="432"/>
  </cols>
  <sheetData>
    <row r="1" spans="1:22" ht="15.5" thickBot="1" x14ac:dyDescent="0.35">
      <c r="D1" s="644" t="s">
        <v>213</v>
      </c>
      <c r="E1" s="645"/>
      <c r="F1" s="645"/>
      <c r="G1" s="645"/>
      <c r="H1" s="645"/>
      <c r="I1" s="645"/>
      <c r="J1" s="645"/>
      <c r="K1" s="646"/>
      <c r="N1" s="647" t="s">
        <v>207</v>
      </c>
      <c r="O1" s="647"/>
      <c r="P1" s="647"/>
      <c r="Q1" s="647"/>
      <c r="R1" s="647"/>
      <c r="S1" s="647"/>
      <c r="T1" s="647"/>
      <c r="U1" s="647"/>
    </row>
    <row r="2" spans="1:22" ht="15" customHeight="1" thickBot="1" x14ac:dyDescent="0.35">
      <c r="A2" s="648" t="s">
        <v>214</v>
      </c>
      <c r="B2" s="649"/>
      <c r="D2" s="650" t="s">
        <v>215</v>
      </c>
      <c r="E2" s="433" t="s">
        <v>216</v>
      </c>
      <c r="F2" s="434" t="s">
        <v>217</v>
      </c>
      <c r="G2" s="435" t="s">
        <v>91</v>
      </c>
      <c r="H2" s="435" t="s">
        <v>92</v>
      </c>
      <c r="I2" s="435" t="s">
        <v>218</v>
      </c>
      <c r="J2" s="435" t="s">
        <v>219</v>
      </c>
      <c r="K2" s="436" t="s">
        <v>220</v>
      </c>
      <c r="N2" s="641" t="s">
        <v>215</v>
      </c>
      <c r="O2" s="433" t="s">
        <v>216</v>
      </c>
      <c r="P2" s="434" t="str">
        <f t="shared" ref="P2:U2" si="0">F2</f>
        <v>Repay</v>
      </c>
      <c r="Q2" s="434" t="str">
        <f t="shared" si="0"/>
        <v>0 DPD</v>
      </c>
      <c r="R2" s="434" t="str">
        <f t="shared" si="0"/>
        <v>1-30 DPD</v>
      </c>
      <c r="S2" s="434" t="str">
        <f t="shared" si="0"/>
        <v>31-90 DPD</v>
      </c>
      <c r="T2" s="434" t="str">
        <f t="shared" si="0"/>
        <v>91-120 DPD</v>
      </c>
      <c r="U2" s="434" t="str">
        <f t="shared" si="0"/>
        <v>120-180 DPD</v>
      </c>
    </row>
    <row r="3" spans="1:22" s="444" customFormat="1" x14ac:dyDescent="0.3">
      <c r="A3" s="437" t="s">
        <v>217</v>
      </c>
      <c r="B3" s="438">
        <v>0</v>
      </c>
      <c r="C3" s="439"/>
      <c r="D3" s="651"/>
      <c r="E3" s="440" t="s">
        <v>217</v>
      </c>
      <c r="F3" s="441">
        <v>1</v>
      </c>
      <c r="G3" s="442">
        <v>0</v>
      </c>
      <c r="H3" s="442">
        <v>0</v>
      </c>
      <c r="I3" s="442">
        <v>0</v>
      </c>
      <c r="J3" s="442">
        <v>0</v>
      </c>
      <c r="K3" s="443">
        <v>0</v>
      </c>
      <c r="N3" s="642"/>
      <c r="O3" s="445" t="str">
        <f t="shared" ref="O3:O8" si="1">E3</f>
        <v>Repay</v>
      </c>
      <c r="P3" s="446">
        <v>1</v>
      </c>
      <c r="Q3" s="447">
        <v>0</v>
      </c>
      <c r="R3" s="447">
        <v>0</v>
      </c>
      <c r="S3" s="447">
        <v>0</v>
      </c>
      <c r="T3" s="447">
        <v>0</v>
      </c>
      <c r="U3" s="448">
        <v>0</v>
      </c>
      <c r="V3" s="432"/>
    </row>
    <row r="4" spans="1:22" x14ac:dyDescent="0.3">
      <c r="A4" s="449" t="s">
        <v>91</v>
      </c>
      <c r="B4" s="450">
        <v>1</v>
      </c>
      <c r="C4" s="439"/>
      <c r="D4" s="651"/>
      <c r="E4" s="451" t="s">
        <v>91</v>
      </c>
      <c r="F4" s="452">
        <f>B13</f>
        <v>0.05</v>
      </c>
      <c r="G4" s="447">
        <f>1-H4-F4+B11</f>
        <v>0.94556566430073674</v>
      </c>
      <c r="H4" s="453">
        <f>Offcn!Z80</f>
        <v>4.434335699263197E-3</v>
      </c>
      <c r="I4" s="447">
        <v>0</v>
      </c>
      <c r="J4" s="447">
        <v>0</v>
      </c>
      <c r="K4" s="448">
        <v>0</v>
      </c>
      <c r="N4" s="642"/>
      <c r="O4" s="445" t="str">
        <f t="shared" si="1"/>
        <v>0 DPD</v>
      </c>
      <c r="P4" s="452">
        <f>B13</f>
        <v>0.05</v>
      </c>
      <c r="Q4" s="447">
        <f>1-R4-P4+B11</f>
        <v>0.94239330148369826</v>
      </c>
      <c r="R4" s="453">
        <f>Offcn!AA80</f>
        <v>7.6066985163017412E-3</v>
      </c>
      <c r="S4" s="447">
        <v>0</v>
      </c>
      <c r="T4" s="447">
        <v>0</v>
      </c>
      <c r="U4" s="448">
        <v>0</v>
      </c>
    </row>
    <row r="5" spans="1:22" x14ac:dyDescent="0.3">
      <c r="A5" s="454" t="s">
        <v>92</v>
      </c>
      <c r="B5" s="450">
        <v>0</v>
      </c>
      <c r="C5" s="439"/>
      <c r="D5" s="651"/>
      <c r="E5" s="451" t="s">
        <v>92</v>
      </c>
      <c r="F5" s="447">
        <v>0</v>
      </c>
      <c r="G5" s="447">
        <f>(1-$I$5)/3</f>
        <v>5.9791475088197522E-2</v>
      </c>
      <c r="H5" s="447">
        <f>(1-$I$5)*2/3</f>
        <v>0.11958295017639504</v>
      </c>
      <c r="I5" s="453">
        <f>Offcn!Z81</f>
        <v>0.82062557473540743</v>
      </c>
      <c r="J5" s="447">
        <v>0</v>
      </c>
      <c r="K5" s="448">
        <v>0</v>
      </c>
      <c r="N5" s="642"/>
      <c r="O5" s="445" t="str">
        <f t="shared" si="1"/>
        <v>1-30 DPD</v>
      </c>
      <c r="P5" s="447">
        <v>0</v>
      </c>
      <c r="Q5" s="447">
        <f>(1-$S$5)/3</f>
        <v>0.12177745791956189</v>
      </c>
      <c r="R5" s="447">
        <f>(1-$S$5)*2/3</f>
        <v>0.24355491583912378</v>
      </c>
      <c r="S5" s="453">
        <f>Offcn!AA81</f>
        <v>0.63466762624131434</v>
      </c>
      <c r="T5" s="447">
        <v>0</v>
      </c>
      <c r="U5" s="448">
        <v>0</v>
      </c>
    </row>
    <row r="6" spans="1:22" x14ac:dyDescent="0.3">
      <c r="A6" s="454" t="s">
        <v>93</v>
      </c>
      <c r="B6" s="450">
        <v>0</v>
      </c>
      <c r="C6" s="439"/>
      <c r="D6" s="651"/>
      <c r="E6" s="451" t="s">
        <v>218</v>
      </c>
      <c r="F6" s="447">
        <v>0</v>
      </c>
      <c r="G6" s="447">
        <v>0</v>
      </c>
      <c r="H6" s="447">
        <f>(1-$J$6)/3</f>
        <v>9.1955820785492803E-2</v>
      </c>
      <c r="I6" s="447">
        <f>(1-$J$6)*2/3</f>
        <v>0.18391164157098561</v>
      </c>
      <c r="J6" s="453">
        <f>Offcn!Z82</f>
        <v>0.72413253764352159</v>
      </c>
      <c r="K6" s="448">
        <v>0</v>
      </c>
      <c r="N6" s="642"/>
      <c r="O6" s="445" t="str">
        <f t="shared" si="1"/>
        <v>31-90 DPD</v>
      </c>
      <c r="P6" s="447">
        <v>0</v>
      </c>
      <c r="Q6" s="447">
        <f>G6</f>
        <v>0</v>
      </c>
      <c r="R6" s="447">
        <f>(1-$T$6)/3</f>
        <v>3.4188297792268174E-2</v>
      </c>
      <c r="S6" s="447">
        <f>(1-$T$6)*2/3</f>
        <v>6.8376595584536348E-2</v>
      </c>
      <c r="T6" s="453">
        <f>Offcn!AA82</f>
        <v>0.89743510662319548</v>
      </c>
      <c r="U6" s="448">
        <f>K6</f>
        <v>0</v>
      </c>
    </row>
    <row r="7" spans="1:22" x14ac:dyDescent="0.3">
      <c r="A7" s="454" t="s">
        <v>94</v>
      </c>
      <c r="B7" s="450">
        <v>0</v>
      </c>
      <c r="C7" s="439"/>
      <c r="D7" s="651"/>
      <c r="E7" s="451" t="s">
        <v>219</v>
      </c>
      <c r="F7" s="447">
        <v>0</v>
      </c>
      <c r="G7" s="455">
        <v>0</v>
      </c>
      <c r="H7" s="455">
        <v>0</v>
      </c>
      <c r="I7" s="455">
        <f>(1-$K$7)/3</f>
        <v>5.0148968849572463E-2</v>
      </c>
      <c r="J7" s="455">
        <f>(1-$K$7)*2/3</f>
        <v>0.10029793769914493</v>
      </c>
      <c r="K7" s="456">
        <f>Offcn!Z83</f>
        <v>0.8495530934512826</v>
      </c>
      <c r="N7" s="642"/>
      <c r="O7" s="445" t="str">
        <f t="shared" si="1"/>
        <v>91-120 DPD</v>
      </c>
      <c r="P7" s="447">
        <v>0</v>
      </c>
      <c r="Q7" s="455">
        <f>G7</f>
        <v>0</v>
      </c>
      <c r="R7" s="455">
        <f>H7</f>
        <v>0</v>
      </c>
      <c r="S7" s="455">
        <f>I7</f>
        <v>5.0148968849572463E-2</v>
      </c>
      <c r="T7" s="455">
        <f>J7</f>
        <v>0.10029793769914493</v>
      </c>
      <c r="U7" s="456">
        <f>K7</f>
        <v>0.8495530934512826</v>
      </c>
    </row>
    <row r="8" spans="1:22" x14ac:dyDescent="0.3">
      <c r="A8" s="457" t="s">
        <v>221</v>
      </c>
      <c r="B8" s="458">
        <v>0</v>
      </c>
      <c r="C8" s="439"/>
      <c r="D8" s="651"/>
      <c r="E8" s="451" t="s">
        <v>220</v>
      </c>
      <c r="F8" s="447">
        <v>0</v>
      </c>
      <c r="G8" s="447">
        <v>0</v>
      </c>
      <c r="H8" s="447">
        <v>0</v>
      </c>
      <c r="I8" s="447">
        <v>0</v>
      </c>
      <c r="J8" s="447">
        <v>0</v>
      </c>
      <c r="K8" s="448">
        <v>1</v>
      </c>
      <c r="N8" s="642"/>
      <c r="O8" s="445" t="str">
        <f t="shared" si="1"/>
        <v>120-180 DPD</v>
      </c>
      <c r="P8" s="447">
        <v>0</v>
      </c>
      <c r="Q8" s="447">
        <v>0</v>
      </c>
      <c r="R8" s="447">
        <v>0</v>
      </c>
      <c r="S8" s="447">
        <v>0</v>
      </c>
      <c r="T8" s="447">
        <v>0</v>
      </c>
      <c r="U8" s="448">
        <v>1</v>
      </c>
    </row>
    <row r="9" spans="1:22" x14ac:dyDescent="0.3">
      <c r="D9" s="651"/>
      <c r="E9" s="459"/>
      <c r="F9" s="460"/>
      <c r="G9" s="460"/>
      <c r="H9" s="460"/>
      <c r="I9" s="460"/>
      <c r="J9" s="460"/>
      <c r="K9" s="461"/>
      <c r="N9" s="642"/>
      <c r="O9" s="459"/>
      <c r="P9" s="460"/>
      <c r="Q9" s="460"/>
      <c r="R9" s="460"/>
      <c r="S9" s="460"/>
      <c r="T9" s="460"/>
      <c r="U9" s="461"/>
    </row>
    <row r="10" spans="1:22" x14ac:dyDescent="0.3">
      <c r="D10" s="651"/>
      <c r="E10" s="462" t="s">
        <v>222</v>
      </c>
      <c r="F10" s="463" t="str">
        <f t="shared" ref="F10:K10" si="2">F2</f>
        <v>Repay</v>
      </c>
      <c r="G10" s="463" t="str">
        <f t="shared" si="2"/>
        <v>0 DPD</v>
      </c>
      <c r="H10" s="463" t="str">
        <f t="shared" si="2"/>
        <v>1-30 DPD</v>
      </c>
      <c r="I10" s="463" t="str">
        <f t="shared" si="2"/>
        <v>31-90 DPD</v>
      </c>
      <c r="J10" s="463" t="str">
        <f t="shared" si="2"/>
        <v>91-120 DPD</v>
      </c>
      <c r="K10" s="463" t="str">
        <f t="shared" si="2"/>
        <v>120-180 DPD</v>
      </c>
      <c r="N10" s="642"/>
      <c r="O10" s="462" t="s">
        <v>222</v>
      </c>
      <c r="P10" s="463" t="str">
        <f>Prediction_Offcn!P2</f>
        <v>Repay</v>
      </c>
      <c r="Q10" s="464" t="str">
        <f>Prediction_Offcn!Q2</f>
        <v>0 DPD</v>
      </c>
      <c r="R10" s="464" t="str">
        <f>Prediction_Offcn!R2</f>
        <v>1-30 DPD</v>
      </c>
      <c r="S10" s="464" t="str">
        <f>Prediction_Offcn!S2</f>
        <v>31-90 DPD</v>
      </c>
      <c r="T10" s="464" t="str">
        <f>Prediction_Offcn!T2</f>
        <v>91-120 DPD</v>
      </c>
      <c r="U10" s="465" t="str">
        <f>Prediction_Offcn!U2</f>
        <v>120-180 DPD</v>
      </c>
    </row>
    <row r="11" spans="1:22" x14ac:dyDescent="0.3">
      <c r="A11" s="466" t="s">
        <v>223</v>
      </c>
      <c r="B11" s="467"/>
      <c r="D11" s="651"/>
      <c r="E11" s="445" t="str">
        <f t="shared" ref="E11:E16" si="3">E3</f>
        <v>Repay</v>
      </c>
      <c r="F11" s="447">
        <f t="array" ref="F11:K16">MMULT(F3:K8,MMULT(F3:K8,MMULT(F3:K8,MMULT(F3:K8,MMULT(F3:K8,MMULT(F3:K8,MMULT(F3:K8,MMULT(F3:K8,MMULT(F3:K8,MMULT(F3:K8,MMULT(F3:K8,F3:K8)))))))))))</f>
        <v>1</v>
      </c>
      <c r="G11" s="447">
        <v>0</v>
      </c>
      <c r="H11" s="447">
        <v>0</v>
      </c>
      <c r="I11" s="447">
        <v>0</v>
      </c>
      <c r="J11" s="447">
        <v>0</v>
      </c>
      <c r="K11" s="468">
        <v>0</v>
      </c>
      <c r="L11" s="472"/>
      <c r="M11" s="472"/>
      <c r="N11" s="642"/>
      <c r="O11" s="445" t="str">
        <f>Prediction_Offcn!O3</f>
        <v>Repay</v>
      </c>
      <c r="P11" s="447">
        <f t="array" ref="P11:U16">MMULT(P3:U8,MMULT(P3:U8,MMULT(P3:U8,MMULT(P3:U8,MMULT(P3:U8,MMULT(P3:U8,MMULT(P3:U8,MMULT(P3:U8,MMULT(P3:U8,MMULT(P3:U8,MMULT(P3:U8,P3:U8)))))))))))</f>
        <v>1</v>
      </c>
      <c r="Q11" s="447">
        <v>0</v>
      </c>
      <c r="R11" s="447">
        <v>0</v>
      </c>
      <c r="S11" s="447">
        <v>0</v>
      </c>
      <c r="T11" s="447">
        <v>0</v>
      </c>
      <c r="U11" s="468">
        <v>0</v>
      </c>
    </row>
    <row r="12" spans="1:22" x14ac:dyDescent="0.3">
      <c r="A12" s="466" t="s">
        <v>224</v>
      </c>
      <c r="B12" s="473">
        <v>0.1</v>
      </c>
      <c r="D12" s="651"/>
      <c r="E12" s="445" t="str">
        <f t="shared" si="3"/>
        <v>0 DPD</v>
      </c>
      <c r="F12" s="447">
        <v>0.44992470152569897</v>
      </c>
      <c r="G12" s="447">
        <v>0.51294465493056385</v>
      </c>
      <c r="H12" s="447">
        <v>3.1524505284126394E-3</v>
      </c>
      <c r="I12" s="447">
        <v>3.5962060957310813E-3</v>
      </c>
      <c r="J12" s="447">
        <v>3.0774344816600708E-3</v>
      </c>
      <c r="K12" s="468">
        <v>2.7304552437932811E-2</v>
      </c>
      <c r="L12" s="472"/>
      <c r="M12" s="472"/>
      <c r="N12" s="642"/>
      <c r="O12" s="445" t="str">
        <f>Prediction_Offcn!O4</f>
        <v>0 DPD</v>
      </c>
      <c r="P12" s="447">
        <v>0.44440218531803488</v>
      </c>
      <c r="Q12" s="447">
        <v>0.49827359455996728</v>
      </c>
      <c r="R12" s="447">
        <v>5.6249366897125454E-3</v>
      </c>
      <c r="S12" s="447">
        <v>4.3426614876100229E-3</v>
      </c>
      <c r="T12" s="447">
        <v>4.6200281568980301E-3</v>
      </c>
      <c r="U12" s="468">
        <v>4.2736593787777402E-2</v>
      </c>
    </row>
    <row r="13" spans="1:22" x14ac:dyDescent="0.3">
      <c r="A13" s="474" t="s">
        <v>225</v>
      </c>
      <c r="B13" s="473">
        <v>0.05</v>
      </c>
      <c r="D13" s="651"/>
      <c r="E13" s="445" t="str">
        <f t="shared" si="3"/>
        <v>1-30 DPD</v>
      </c>
      <c r="F13" s="447">
        <v>3.1252705741683609E-2</v>
      </c>
      <c r="G13" s="447">
        <v>4.2506855596809834E-2</v>
      </c>
      <c r="H13" s="447">
        <v>3.137414135851488E-4</v>
      </c>
      <c r="I13" s="447">
        <v>5.0669444861280437E-4</v>
      </c>
      <c r="J13" s="447">
        <v>6.4807856409467663E-4</v>
      </c>
      <c r="K13" s="469">
        <v>0.92477192423521393</v>
      </c>
      <c r="L13" s="472"/>
      <c r="M13" s="472"/>
      <c r="N13" s="642"/>
      <c r="O13" s="451" t="str">
        <f>Prediction_Offcn!O5</f>
        <v>1-30 DPD</v>
      </c>
      <c r="P13" s="447">
        <v>6.7601264398480965E-2</v>
      </c>
      <c r="Q13" s="447">
        <v>9.0050958318340299E-2</v>
      </c>
      <c r="R13" s="447">
        <v>1.0206189968979364E-3</v>
      </c>
      <c r="S13" s="447">
        <v>8.0142212719909174E-4</v>
      </c>
      <c r="T13" s="447">
        <v>8.8771543519820264E-4</v>
      </c>
      <c r="U13" s="469">
        <v>0.8396380207238836</v>
      </c>
    </row>
    <row r="14" spans="1:22" x14ac:dyDescent="0.3">
      <c r="D14" s="651"/>
      <c r="E14" s="445" t="str">
        <f t="shared" si="3"/>
        <v>31-90 DPD</v>
      </c>
      <c r="F14" s="447">
        <v>3.3378147957226914E-3</v>
      </c>
      <c r="G14" s="447">
        <v>5.4336223449918371E-3</v>
      </c>
      <c r="H14" s="447">
        <v>5.6778030497850587E-5</v>
      </c>
      <c r="I14" s="447">
        <v>1.3104298294673659E-4</v>
      </c>
      <c r="J14" s="447">
        <v>2.0766034082995522E-4</v>
      </c>
      <c r="K14" s="468">
        <v>0.99083308150501104</v>
      </c>
      <c r="L14" s="472"/>
      <c r="M14" s="472"/>
      <c r="N14" s="642"/>
      <c r="O14" s="451" t="str">
        <f>Prediction_Offcn!O6</f>
        <v>31-90 DPD</v>
      </c>
      <c r="P14" s="447">
        <v>2.3965672241503702E-3</v>
      </c>
      <c r="Q14" s="447">
        <v>3.7450516327792909E-3</v>
      </c>
      <c r="R14" s="447">
        <v>4.31710350569824E-5</v>
      </c>
      <c r="S14" s="447">
        <v>3.6305288293302349E-5</v>
      </c>
      <c r="T14" s="447">
        <v>4.6382761302780911E-5</v>
      </c>
      <c r="U14" s="468">
        <v>0.99373252205841722</v>
      </c>
    </row>
    <row r="15" spans="1:22" x14ac:dyDescent="0.3">
      <c r="D15" s="651"/>
      <c r="E15" s="445" t="str">
        <f t="shared" si="3"/>
        <v>91-120 DPD</v>
      </c>
      <c r="F15" s="447">
        <v>1.6815251360372061E-4</v>
      </c>
      <c r="G15" s="447">
        <v>3.220161389199856E-4</v>
      </c>
      <c r="H15" s="447">
        <v>5.0292795916854949E-6</v>
      </c>
      <c r="I15" s="447">
        <v>1.4381278871216309E-5</v>
      </c>
      <c r="J15" s="447">
        <v>2.4767069991177515E-5</v>
      </c>
      <c r="K15" s="468">
        <v>0.99946565371902218</v>
      </c>
      <c r="L15" s="472"/>
      <c r="M15" s="472"/>
      <c r="N15" s="642"/>
      <c r="O15" s="451" t="str">
        <f>Prediction_Offcn!O7</f>
        <v>91-120 DPD</v>
      </c>
      <c r="P15" s="447">
        <v>1.2121047942132561E-4</v>
      </c>
      <c r="Q15" s="447">
        <v>2.2264113523962496E-4</v>
      </c>
      <c r="R15" s="447">
        <v>2.6721686002523608E-6</v>
      </c>
      <c r="S15" s="447">
        <v>2.591883953016503E-6</v>
      </c>
      <c r="T15" s="447">
        <v>4.1370797526218501E-6</v>
      </c>
      <c r="U15" s="468">
        <v>0.99964674725303315</v>
      </c>
    </row>
    <row r="16" spans="1:22" ht="15.75" customHeight="1" thickBot="1" x14ac:dyDescent="0.35">
      <c r="A16" s="432" t="s">
        <v>226</v>
      </c>
      <c r="D16" s="651"/>
      <c r="E16" s="445" t="str">
        <f t="shared" si="3"/>
        <v>120-180 DPD</v>
      </c>
      <c r="F16" s="470">
        <v>0</v>
      </c>
      <c r="G16" s="470">
        <v>0</v>
      </c>
      <c r="H16" s="470">
        <v>0</v>
      </c>
      <c r="I16" s="470">
        <v>0</v>
      </c>
      <c r="J16" s="470">
        <v>0</v>
      </c>
      <c r="K16" s="471">
        <v>1</v>
      </c>
      <c r="L16" s="472"/>
      <c r="M16" s="472"/>
      <c r="N16" s="642"/>
      <c r="O16" s="475" t="str">
        <f>Prediction_Offcn!O8</f>
        <v>120-180 DPD</v>
      </c>
      <c r="P16" s="470">
        <v>0</v>
      </c>
      <c r="Q16" s="470">
        <v>0</v>
      </c>
      <c r="R16" s="470">
        <v>0</v>
      </c>
      <c r="S16" s="470">
        <v>0</v>
      </c>
      <c r="T16" s="470">
        <v>0</v>
      </c>
      <c r="U16" s="471">
        <v>1</v>
      </c>
    </row>
    <row r="17" spans="1:21" ht="15.75" customHeight="1" thickBot="1" x14ac:dyDescent="0.35">
      <c r="A17" s="432" t="s">
        <v>87</v>
      </c>
      <c r="B17" s="476">
        <f>Offcn!Z72</f>
        <v>1.915871306219398E-2</v>
      </c>
      <c r="D17" s="643"/>
      <c r="E17" s="477" t="s">
        <v>85</v>
      </c>
      <c r="F17" s="478"/>
      <c r="G17" s="478">
        <f>K12</f>
        <v>2.7304552437932811E-2</v>
      </c>
      <c r="H17" s="478">
        <f>K13</f>
        <v>0.92477192423521393</v>
      </c>
      <c r="I17" s="478">
        <f>K14</f>
        <v>0.99083308150501104</v>
      </c>
      <c r="J17" s="478">
        <f>K15</f>
        <v>0.99946565371902218</v>
      </c>
      <c r="K17" s="479">
        <f>K16</f>
        <v>1</v>
      </c>
      <c r="L17" s="472"/>
      <c r="M17" s="472"/>
      <c r="N17" s="643"/>
      <c r="O17" s="477" t="s">
        <v>85</v>
      </c>
      <c r="P17" s="478"/>
      <c r="Q17" s="478">
        <f>U12</f>
        <v>4.2736593787777402E-2</v>
      </c>
      <c r="R17" s="478">
        <f>U13</f>
        <v>0.8396380207238836</v>
      </c>
      <c r="S17" s="478">
        <f>U14</f>
        <v>0.99373252205841722</v>
      </c>
      <c r="T17" s="478">
        <f>U15</f>
        <v>0.99964674725303315</v>
      </c>
      <c r="U17" s="479">
        <f>U16</f>
        <v>1</v>
      </c>
    </row>
    <row r="18" spans="1:21" ht="15.75" customHeight="1" x14ac:dyDescent="0.3">
      <c r="A18" s="444" t="s">
        <v>96</v>
      </c>
      <c r="B18" s="439">
        <f>Offcn!AA72</f>
        <v>2.3073134932203847E-2</v>
      </c>
      <c r="C18" s="439"/>
      <c r="D18" s="641" t="s">
        <v>227</v>
      </c>
      <c r="E18" s="433" t="s">
        <v>216</v>
      </c>
      <c r="F18" s="434" t="str">
        <f t="shared" ref="F18:K18" si="4">F2</f>
        <v>Repay</v>
      </c>
      <c r="G18" s="434" t="str">
        <f t="shared" si="4"/>
        <v>0 DPD</v>
      </c>
      <c r="H18" s="434" t="str">
        <f t="shared" si="4"/>
        <v>1-30 DPD</v>
      </c>
      <c r="I18" s="434" t="str">
        <f t="shared" si="4"/>
        <v>31-90 DPD</v>
      </c>
      <c r="J18" s="434" t="str">
        <f t="shared" si="4"/>
        <v>91-120 DPD</v>
      </c>
      <c r="K18" s="434" t="str">
        <f t="shared" si="4"/>
        <v>120-180 DPD</v>
      </c>
      <c r="L18" s="472"/>
      <c r="M18" s="472"/>
      <c r="N18" s="641"/>
      <c r="O18" s="433" t="s">
        <v>216</v>
      </c>
      <c r="P18" s="434" t="str">
        <f>Prediction_Offcn!P2</f>
        <v>Repay</v>
      </c>
      <c r="Q18" s="435" t="str">
        <f>Prediction_Offcn!Q2</f>
        <v>0 DPD</v>
      </c>
      <c r="R18" s="435" t="str">
        <f>Prediction_Offcn!R2</f>
        <v>1-30 DPD</v>
      </c>
      <c r="S18" s="435" t="str">
        <f>Prediction_Offcn!S2</f>
        <v>31-90 DPD</v>
      </c>
      <c r="T18" s="435" t="str">
        <f>Prediction_Offcn!T2</f>
        <v>91-120 DPD</v>
      </c>
      <c r="U18" s="436" t="str">
        <f>Prediction_Offcn!U2</f>
        <v>120-180 DPD</v>
      </c>
    </row>
    <row r="19" spans="1:21" ht="15.75" customHeight="1" x14ac:dyDescent="0.3">
      <c r="A19" s="444"/>
      <c r="B19" s="439"/>
      <c r="C19" s="439"/>
      <c r="D19" s="642"/>
      <c r="E19" s="445" t="str">
        <f t="shared" ref="E19:E24" si="5">E3</f>
        <v>Repay</v>
      </c>
      <c r="F19" s="446">
        <v>1</v>
      </c>
      <c r="G19" s="447">
        <v>0</v>
      </c>
      <c r="H19" s="447">
        <v>0</v>
      </c>
      <c r="I19" s="447">
        <v>0</v>
      </c>
      <c r="J19" s="447">
        <v>0</v>
      </c>
      <c r="K19" s="448">
        <v>0</v>
      </c>
      <c r="L19" s="472"/>
      <c r="M19" s="472"/>
      <c r="N19" s="642"/>
      <c r="O19" s="445" t="str">
        <f>Prediction_Offcn!O3</f>
        <v>Repay</v>
      </c>
      <c r="P19" s="446">
        <v>1</v>
      </c>
      <c r="Q19" s="447">
        <v>0</v>
      </c>
      <c r="R19" s="447">
        <v>0</v>
      </c>
      <c r="S19" s="447">
        <v>0</v>
      </c>
      <c r="T19" s="447">
        <v>0</v>
      </c>
      <c r="U19" s="448">
        <v>0</v>
      </c>
    </row>
    <row r="20" spans="1:21" ht="15.75" customHeight="1" x14ac:dyDescent="0.3">
      <c r="A20" s="444" t="s">
        <v>126</v>
      </c>
      <c r="B20" s="439" t="s">
        <v>87</v>
      </c>
      <c r="C20" s="439"/>
      <c r="D20" s="642"/>
      <c r="E20" s="445" t="str">
        <f t="shared" si="5"/>
        <v>0 DPD</v>
      </c>
      <c r="F20" s="480">
        <f>B13</f>
        <v>0.05</v>
      </c>
      <c r="G20" s="455">
        <f>1-H20-F20+B12</f>
        <v>1.0455656643007367</v>
      </c>
      <c r="H20" s="481">
        <f>H4</f>
        <v>4.434335699263197E-3</v>
      </c>
      <c r="I20" s="447">
        <v>0</v>
      </c>
      <c r="J20" s="447">
        <v>0</v>
      </c>
      <c r="K20" s="448">
        <v>0</v>
      </c>
      <c r="L20" s="472"/>
      <c r="M20" s="472"/>
      <c r="N20" s="642"/>
      <c r="O20" s="445" t="str">
        <f>Prediction_Offcn!O4</f>
        <v>0 DPD</v>
      </c>
      <c r="P20" s="480">
        <f>B13</f>
        <v>0.05</v>
      </c>
      <c r="Q20" s="455">
        <f>1-R20-P20+B12</f>
        <v>1.0423933014836984</v>
      </c>
      <c r="R20" s="481">
        <f>R4</f>
        <v>7.6066985163017412E-3</v>
      </c>
      <c r="S20" s="447">
        <v>0</v>
      </c>
      <c r="T20" s="447">
        <v>0</v>
      </c>
      <c r="U20" s="448">
        <v>0</v>
      </c>
    </row>
    <row r="21" spans="1:21" ht="15.75" customHeight="1" x14ac:dyDescent="0.3">
      <c r="A21" s="444" t="s">
        <v>85</v>
      </c>
      <c r="B21" s="439">
        <v>-3.8569751968197301</v>
      </c>
      <c r="C21" s="439"/>
      <c r="D21" s="642"/>
      <c r="E21" s="445" t="str">
        <f t="shared" si="5"/>
        <v>1-30 DPD</v>
      </c>
      <c r="F21" s="447">
        <v>0</v>
      </c>
      <c r="G21" s="447">
        <f>(1-$I$5)/3</f>
        <v>5.9791475088197522E-2</v>
      </c>
      <c r="H21" s="447">
        <f>(1-$I$5)*2/3</f>
        <v>0.11958295017639504</v>
      </c>
      <c r="I21" s="481">
        <f>I5</f>
        <v>0.82062557473540743</v>
      </c>
      <c r="J21" s="447">
        <v>0</v>
      </c>
      <c r="K21" s="448">
        <v>0</v>
      </c>
      <c r="L21" s="472"/>
      <c r="M21" s="472"/>
      <c r="N21" s="642"/>
      <c r="O21" s="451" t="str">
        <f>Prediction_Offcn!O5</f>
        <v>1-30 DPD</v>
      </c>
      <c r="P21" s="447">
        <v>0</v>
      </c>
      <c r="Q21" s="447">
        <f>(1-$S$5)/3</f>
        <v>0.12177745791956189</v>
      </c>
      <c r="R21" s="447">
        <f>(1-$S$5)*2/3</f>
        <v>0.24355491583912378</v>
      </c>
      <c r="S21" s="481">
        <f>S5</f>
        <v>0.63466762624131434</v>
      </c>
      <c r="T21" s="447">
        <v>0</v>
      </c>
      <c r="U21" s="448">
        <v>0</v>
      </c>
    </row>
    <row r="22" spans="1:21" ht="15.75" customHeight="1" x14ac:dyDescent="0.3">
      <c r="A22" s="444" t="s">
        <v>226</v>
      </c>
      <c r="B22" s="439">
        <v>0.65565661346478898</v>
      </c>
      <c r="C22" s="439"/>
      <c r="D22" s="642"/>
      <c r="E22" s="445" t="str">
        <f t="shared" si="5"/>
        <v>31-90 DPD</v>
      </c>
      <c r="F22" s="447">
        <v>0</v>
      </c>
      <c r="G22" s="447">
        <v>0</v>
      </c>
      <c r="H22" s="447">
        <f>(1-$J$22)/3</f>
        <v>9.1955820785492803E-2</v>
      </c>
      <c r="I22" s="447">
        <f>(1-$J$22)*2/3</f>
        <v>0.18391164157098561</v>
      </c>
      <c r="J22" s="481">
        <f>J6</f>
        <v>0.72413253764352159</v>
      </c>
      <c r="K22" s="448">
        <v>0</v>
      </c>
      <c r="L22" s="472"/>
      <c r="M22" s="472"/>
      <c r="N22" s="642"/>
      <c r="O22" s="451" t="str">
        <f>Prediction_Offcn!O6</f>
        <v>31-90 DPD</v>
      </c>
      <c r="P22" s="447">
        <v>0</v>
      </c>
      <c r="Q22" s="447">
        <f t="shared" ref="Q22:T23" si="6">G22</f>
        <v>0</v>
      </c>
      <c r="R22" s="447">
        <f>(1-$T$22)/3</f>
        <v>3.4188297792268174E-2</v>
      </c>
      <c r="S22" s="447">
        <f>(1-$T$22)*2/3</f>
        <v>6.8376595584536348E-2</v>
      </c>
      <c r="T22" s="481">
        <f>T6</f>
        <v>0.89743510662319548</v>
      </c>
      <c r="U22" s="448">
        <f>K22</f>
        <v>0</v>
      </c>
    </row>
    <row r="23" spans="1:21" ht="15.75" customHeight="1" x14ac:dyDescent="0.3">
      <c r="A23" s="444"/>
      <c r="B23" s="439" t="s">
        <v>96</v>
      </c>
      <c r="C23" s="439"/>
      <c r="D23" s="642"/>
      <c r="E23" s="445" t="str">
        <f t="shared" si="5"/>
        <v>91-120 DPD</v>
      </c>
      <c r="F23" s="447">
        <v>0</v>
      </c>
      <c r="G23" s="455">
        <v>0</v>
      </c>
      <c r="H23" s="455">
        <v>0</v>
      </c>
      <c r="I23" s="455">
        <f>(1-$K$7)/3</f>
        <v>5.0148968849572463E-2</v>
      </c>
      <c r="J23" s="455">
        <f>(1-$K$7)*2/3</f>
        <v>0.10029793769914493</v>
      </c>
      <c r="K23" s="456">
        <v>0.8</v>
      </c>
      <c r="L23" s="472"/>
      <c r="M23" s="472"/>
      <c r="N23" s="642"/>
      <c r="O23" s="451" t="str">
        <f>Prediction_Offcn!O7</f>
        <v>91-120 DPD</v>
      </c>
      <c r="P23" s="447">
        <v>0</v>
      </c>
      <c r="Q23" s="455">
        <f t="shared" si="6"/>
        <v>0</v>
      </c>
      <c r="R23" s="455">
        <f t="shared" si="6"/>
        <v>0</v>
      </c>
      <c r="S23" s="455">
        <f t="shared" si="6"/>
        <v>5.0148968849572463E-2</v>
      </c>
      <c r="T23" s="455">
        <f t="shared" si="6"/>
        <v>0.10029793769914493</v>
      </c>
      <c r="U23" s="456">
        <f>K23</f>
        <v>0.8</v>
      </c>
    </row>
    <row r="24" spans="1:21" ht="15.75" customHeight="1" x14ac:dyDescent="0.3">
      <c r="A24" s="444" t="s">
        <v>85</v>
      </c>
      <c r="B24" s="482">
        <v>-3.2723849861887269</v>
      </c>
      <c r="C24" s="439"/>
      <c r="D24" s="642"/>
      <c r="E24" s="445" t="str">
        <f t="shared" si="5"/>
        <v>120-180 DPD</v>
      </c>
      <c r="F24" s="447">
        <v>0</v>
      </c>
      <c r="G24" s="447">
        <v>0</v>
      </c>
      <c r="H24" s="447">
        <v>0</v>
      </c>
      <c r="I24" s="447">
        <v>0</v>
      </c>
      <c r="J24" s="447">
        <v>0</v>
      </c>
      <c r="K24" s="448">
        <v>1</v>
      </c>
      <c r="L24" s="472"/>
      <c r="M24" s="472"/>
      <c r="N24" s="642"/>
      <c r="O24" s="451" t="str">
        <f>Prediction_Offcn!O8</f>
        <v>120-180 DPD</v>
      </c>
      <c r="P24" s="447">
        <v>0</v>
      </c>
      <c r="Q24" s="447">
        <v>0</v>
      </c>
      <c r="R24" s="447">
        <v>0</v>
      </c>
      <c r="S24" s="447">
        <v>0</v>
      </c>
      <c r="T24" s="447">
        <v>0</v>
      </c>
      <c r="U24" s="448">
        <v>1</v>
      </c>
    </row>
    <row r="25" spans="1:21" ht="15.75" customHeight="1" x14ac:dyDescent="0.3">
      <c r="A25" s="444" t="s">
        <v>226</v>
      </c>
      <c r="B25" s="482">
        <v>0.50161299807634085</v>
      </c>
      <c r="C25" s="439"/>
      <c r="D25" s="642"/>
      <c r="E25" s="483"/>
      <c r="F25" s="484"/>
      <c r="G25" s="484"/>
      <c r="H25" s="484"/>
      <c r="I25" s="484"/>
      <c r="J25" s="484"/>
      <c r="K25" s="469"/>
      <c r="L25" s="472"/>
      <c r="M25" s="472"/>
      <c r="N25" s="642"/>
      <c r="O25" s="483"/>
      <c r="P25" s="484"/>
      <c r="Q25" s="484"/>
      <c r="R25" s="484"/>
      <c r="S25" s="484"/>
      <c r="T25" s="484"/>
      <c r="U25" s="469"/>
    </row>
    <row r="26" spans="1:21" x14ac:dyDescent="0.3">
      <c r="A26" s="444"/>
      <c r="B26" s="439"/>
      <c r="C26" s="439"/>
      <c r="D26" s="642"/>
      <c r="E26" s="459"/>
      <c r="F26" s="460"/>
      <c r="G26" s="460"/>
      <c r="H26" s="460"/>
      <c r="I26" s="460"/>
      <c r="J26" s="460"/>
      <c r="K26" s="461"/>
      <c r="L26" s="472"/>
      <c r="M26" s="472"/>
      <c r="N26" s="642"/>
      <c r="O26" s="459" t="s">
        <v>228</v>
      </c>
      <c r="P26" s="460"/>
      <c r="Q26" s="460"/>
      <c r="R26" s="460"/>
      <c r="S26" s="460"/>
      <c r="T26" s="460"/>
      <c r="U26" s="461"/>
    </row>
    <row r="27" spans="1:21" x14ac:dyDescent="0.3">
      <c r="A27" s="444"/>
      <c r="B27" s="439"/>
      <c r="C27" s="439"/>
      <c r="D27" s="642"/>
      <c r="E27" s="462" t="s">
        <v>222</v>
      </c>
      <c r="F27" s="463" t="str">
        <f>Prediction_Offcn!F18</f>
        <v>Repay</v>
      </c>
      <c r="G27" s="464" t="str">
        <f>Prediction_Offcn!G18</f>
        <v>0 DPD</v>
      </c>
      <c r="H27" s="464" t="str">
        <f>Prediction_Offcn!H18</f>
        <v>1-30 DPD</v>
      </c>
      <c r="I27" s="464" t="str">
        <f>Prediction_Offcn!I18</f>
        <v>31-90 DPD</v>
      </c>
      <c r="J27" s="464" t="str">
        <f>Prediction_Offcn!J18</f>
        <v>91-120 DPD</v>
      </c>
      <c r="K27" s="485" t="str">
        <f>Prediction_Offcn!K18</f>
        <v>120-180 DPD</v>
      </c>
      <c r="L27" s="472"/>
      <c r="M27" s="472"/>
      <c r="N27" s="642"/>
      <c r="O27" s="462" t="s">
        <v>222</v>
      </c>
      <c r="P27" s="463" t="str">
        <f>Prediction_Offcn!P2</f>
        <v>Repay</v>
      </c>
      <c r="Q27" s="464" t="str">
        <f>Prediction_Offcn!Q2</f>
        <v>0 DPD</v>
      </c>
      <c r="R27" s="464" t="str">
        <f>Prediction_Offcn!R2</f>
        <v>1-30 DPD</v>
      </c>
      <c r="S27" s="464" t="str">
        <f>Prediction_Offcn!S2</f>
        <v>31-90 DPD</v>
      </c>
      <c r="T27" s="464" t="str">
        <f>Prediction_Offcn!T2</f>
        <v>91-120 DPD</v>
      </c>
      <c r="U27" s="485" t="str">
        <f>Prediction_Offcn!U2</f>
        <v>120-180 DPD</v>
      </c>
    </row>
    <row r="28" spans="1:21" x14ac:dyDescent="0.3">
      <c r="A28" s="444"/>
      <c r="B28" s="439"/>
      <c r="C28" s="439"/>
      <c r="D28" s="642"/>
      <c r="E28" s="445" t="str">
        <f>Prediction_Offcn!E19</f>
        <v>Repay</v>
      </c>
      <c r="F28" s="484">
        <f t="array" ref="F28:K33">MMULT(F19:K24,MMULT(F19:K24,MMULT(F19:K24,MMULT(F19:K24,MMULT(F19:K24,MMULT(F19:K24,MMULT(F19:K24,MMULT(F19:K24,MMULT(F19:K24,MMULT(F19:K24,MMULT(F19:K24,F19:K24)))))))))))</f>
        <v>1</v>
      </c>
      <c r="G28" s="484">
        <v>0</v>
      </c>
      <c r="H28" s="484">
        <v>0</v>
      </c>
      <c r="I28" s="484">
        <v>0</v>
      </c>
      <c r="J28" s="484">
        <v>0</v>
      </c>
      <c r="K28" s="486">
        <v>0</v>
      </c>
      <c r="L28" s="472"/>
      <c r="M28" s="472"/>
      <c r="N28" s="642"/>
      <c r="O28" s="445" t="str">
        <f>Prediction_Offcn!O3</f>
        <v>Repay</v>
      </c>
      <c r="P28" s="484">
        <f t="array" ref="P28:U33">MMULT(P19:U24,MMULT(P19:U24,MMULT(P19:U24,MMULT(P19:U24,MMULT(P19:U24,MMULT(P19:U24,MMULT(P19:U24,MMULT(P19:U24,MMULT(P19:U24,MMULT(P19:U24,MMULT(P19:U24,P19:U24)))))))))))</f>
        <v>1</v>
      </c>
      <c r="Q28" s="484">
        <v>0</v>
      </c>
      <c r="R28" s="484">
        <v>0</v>
      </c>
      <c r="S28" s="484">
        <v>0</v>
      </c>
      <c r="T28" s="484">
        <v>0</v>
      </c>
      <c r="U28" s="486">
        <v>0</v>
      </c>
    </row>
    <row r="29" spans="1:21" x14ac:dyDescent="0.3">
      <c r="A29" s="444"/>
      <c r="B29" s="439"/>
      <c r="C29" s="439"/>
      <c r="D29" s="642"/>
      <c r="E29" s="445" t="str">
        <f>Prediction_Offcn!E20</f>
        <v>0 DPD</v>
      </c>
      <c r="F29" s="484">
        <v>0.77685289841139826</v>
      </c>
      <c r="G29" s="484">
        <v>1.7124364299319921</v>
      </c>
      <c r="H29" s="484">
        <v>9.0971808835434952E-3</v>
      </c>
      <c r="I29" s="484">
        <v>9.0634485050056918E-3</v>
      </c>
      <c r="J29" s="484">
        <v>6.938975720006838E-3</v>
      </c>
      <c r="K29" s="486">
        <v>3.702357267501661E-2</v>
      </c>
      <c r="L29" s="472"/>
      <c r="M29" s="472"/>
      <c r="N29" s="642"/>
      <c r="O29" s="445" t="str">
        <f>Prediction_Offcn!O4</f>
        <v>0 DPD</v>
      </c>
      <c r="P29" s="484">
        <v>0.76583683099693467</v>
      </c>
      <c r="Q29" s="484">
        <v>1.6659233641319653</v>
      </c>
      <c r="R29" s="484">
        <v>1.631668844982416E-2</v>
      </c>
      <c r="S29" s="484">
        <v>1.1165009197141511E-2</v>
      </c>
      <c r="T29" s="484">
        <v>1.0621854328205119E-2</v>
      </c>
      <c r="U29" s="486">
        <v>5.820463993716915E-2</v>
      </c>
    </row>
    <row r="30" spans="1:21" x14ac:dyDescent="0.3">
      <c r="D30" s="642"/>
      <c r="E30" s="451" t="str">
        <f>Prediction_Offcn!E21</f>
        <v>1-30 DPD</v>
      </c>
      <c r="F30" s="484">
        <v>5.0515597312297836E-2</v>
      </c>
      <c r="G30" s="484">
        <v>0.12266411500184726</v>
      </c>
      <c r="H30" s="484">
        <v>7.0418551485292545E-4</v>
      </c>
      <c r="I30" s="484">
        <v>8.5805504507414682E-4</v>
      </c>
      <c r="J30" s="484">
        <v>8.903615342656288E-4</v>
      </c>
      <c r="K30" s="486">
        <v>0.87142182151969239</v>
      </c>
      <c r="L30" s="472"/>
      <c r="M30" s="472"/>
      <c r="N30" s="642"/>
      <c r="O30" s="451" t="str">
        <f>Prediction_Offcn!O5</f>
        <v>1-30 DPD</v>
      </c>
      <c r="P30" s="484">
        <v>0.10909023685462242</v>
      </c>
      <c r="Q30" s="484">
        <v>0.26121777231301579</v>
      </c>
      <c r="R30" s="484">
        <v>2.5625284261667999E-3</v>
      </c>
      <c r="S30" s="484">
        <v>1.767322424622378E-3</v>
      </c>
      <c r="T30" s="484">
        <v>1.7184198717357289E-3</v>
      </c>
      <c r="U30" s="486">
        <v>0.79272191490629296</v>
      </c>
    </row>
    <row r="31" spans="1:21" x14ac:dyDescent="0.3">
      <c r="D31" s="642"/>
      <c r="E31" s="451" t="str">
        <f>Prediction_Offcn!E22</f>
        <v>31-90 DPD</v>
      </c>
      <c r="F31" s="484">
        <v>5.0678632391448651E-3</v>
      </c>
      <c r="G31" s="484">
        <v>1.3694253056837156E-2</v>
      </c>
      <c r="H31" s="484">
        <v>9.6150008454667961E-5</v>
      </c>
      <c r="I31" s="484">
        <v>1.6548833300863161E-4</v>
      </c>
      <c r="J31" s="484">
        <v>2.3065738609283034E-4</v>
      </c>
      <c r="K31" s="486">
        <v>0.93308476853808164</v>
      </c>
      <c r="L31" s="472"/>
      <c r="M31" s="472"/>
      <c r="N31" s="642"/>
      <c r="O31" s="451" t="str">
        <f>Prediction_Offcn!O6</f>
        <v>31-90 DPD</v>
      </c>
      <c r="P31" s="484">
        <v>3.6554559557975957E-3</v>
      </c>
      <c r="Q31" s="484">
        <v>9.6285506118881543E-3</v>
      </c>
      <c r="R31" s="484">
        <v>9.5202185915450543E-5</v>
      </c>
      <c r="S31" s="484">
        <v>6.8205474597252558E-5</v>
      </c>
      <c r="T31" s="484">
        <v>7.3076253112125785E-5</v>
      </c>
      <c r="U31" s="486">
        <v>0.93582419188709443</v>
      </c>
    </row>
    <row r="32" spans="1:21" x14ac:dyDescent="0.3">
      <c r="D32" s="642"/>
      <c r="E32" s="451" t="str">
        <f>Prediction_Offcn!E23</f>
        <v>91-120 DPD</v>
      </c>
      <c r="F32" s="484">
        <v>2.421291987059848E-4</v>
      </c>
      <c r="G32" s="484">
        <v>7.2607952589482424E-4</v>
      </c>
      <c r="H32" s="484">
        <v>6.9094664468021937E-6</v>
      </c>
      <c r="I32" s="484">
        <v>1.5973912880279261E-5</v>
      </c>
      <c r="J32" s="484">
        <v>2.5790088837694039E-5</v>
      </c>
      <c r="K32" s="486">
        <v>0.94117001883363571</v>
      </c>
      <c r="L32" s="472"/>
      <c r="M32" s="472"/>
      <c r="N32" s="642"/>
      <c r="O32" s="451" t="str">
        <f>Prediction_Offcn!O7</f>
        <v>91-120 DPD</v>
      </c>
      <c r="P32" s="484">
        <v>1.7530665766176973E-4</v>
      </c>
      <c r="Q32" s="484">
        <v>5.118717084982708E-4</v>
      </c>
      <c r="R32" s="484">
        <v>5.1727247733128097E-6</v>
      </c>
      <c r="S32" s="484">
        <v>4.0835250525831726E-6</v>
      </c>
      <c r="T32" s="484">
        <v>5.3405857438524199E-6</v>
      </c>
      <c r="U32" s="486">
        <v>0.94134089635533147</v>
      </c>
    </row>
    <row r="33" spans="3:22" x14ac:dyDescent="0.3">
      <c r="D33" s="642"/>
      <c r="E33" s="451" t="str">
        <f>Prediction_Offcn!E24</f>
        <v>120-180 DPD</v>
      </c>
      <c r="F33" s="484">
        <v>0</v>
      </c>
      <c r="G33" s="484">
        <v>0</v>
      </c>
      <c r="H33" s="484">
        <v>0</v>
      </c>
      <c r="I33" s="484">
        <v>0</v>
      </c>
      <c r="J33" s="484">
        <v>0</v>
      </c>
      <c r="K33" s="486">
        <v>1</v>
      </c>
      <c r="L33" s="472"/>
      <c r="M33" s="472"/>
      <c r="N33" s="642"/>
      <c r="O33" s="451" t="str">
        <f>Prediction_Offcn!O8</f>
        <v>120-180 DPD</v>
      </c>
      <c r="P33" s="484">
        <v>0</v>
      </c>
      <c r="Q33" s="484">
        <v>0</v>
      </c>
      <c r="R33" s="484">
        <v>0</v>
      </c>
      <c r="S33" s="484">
        <v>0</v>
      </c>
      <c r="T33" s="484">
        <v>0</v>
      </c>
      <c r="U33" s="486">
        <v>1</v>
      </c>
    </row>
    <row r="34" spans="3:22" x14ac:dyDescent="0.3">
      <c r="D34" s="642"/>
      <c r="E34" s="487"/>
      <c r="F34" s="488"/>
      <c r="G34" s="488"/>
      <c r="H34" s="488"/>
      <c r="I34" s="488"/>
      <c r="J34" s="488"/>
      <c r="K34" s="489"/>
      <c r="L34" s="472"/>
      <c r="M34" s="472"/>
      <c r="N34" s="642"/>
      <c r="O34" s="487"/>
      <c r="P34" s="488"/>
      <c r="Q34" s="488"/>
      <c r="R34" s="488"/>
      <c r="S34" s="488"/>
      <c r="T34" s="488"/>
      <c r="U34" s="489"/>
    </row>
    <row r="35" spans="3:22" x14ac:dyDescent="0.3">
      <c r="D35" s="642"/>
      <c r="E35" s="490"/>
      <c r="F35" s="460"/>
      <c r="G35" s="460"/>
      <c r="H35" s="464" t="str">
        <f>Prediction_Offcn!H27</f>
        <v>1-30 DPD</v>
      </c>
      <c r="I35" s="464" t="str">
        <f>Prediction_Offcn!I27</f>
        <v>31-90 DPD</v>
      </c>
      <c r="J35" s="464" t="str">
        <f>Prediction_Offcn!J27</f>
        <v>91-120 DPD</v>
      </c>
      <c r="K35" s="465" t="str">
        <f>Prediction_Offcn!K27</f>
        <v>120-180 DPD</v>
      </c>
      <c r="N35" s="642"/>
      <c r="O35" s="490"/>
      <c r="P35" s="460"/>
      <c r="Q35" s="460"/>
      <c r="R35" s="491" t="str">
        <f>H35</f>
        <v>1-30 DPD</v>
      </c>
      <c r="S35" s="491" t="str">
        <f>I35</f>
        <v>31-90 DPD</v>
      </c>
      <c r="T35" s="491" t="str">
        <f>J35</f>
        <v>91-120 DPD</v>
      </c>
      <c r="U35" s="491" t="str">
        <f>K35</f>
        <v>120-180 DPD</v>
      </c>
    </row>
    <row r="36" spans="3:22" x14ac:dyDescent="0.3">
      <c r="D36" s="642"/>
      <c r="E36" s="492" t="s">
        <v>229</v>
      </c>
      <c r="F36" s="446">
        <f>B3</f>
        <v>0</v>
      </c>
      <c r="G36" s="446">
        <f>B4</f>
        <v>1</v>
      </c>
      <c r="H36" s="446">
        <f>$B$5</f>
        <v>0</v>
      </c>
      <c r="I36" s="446">
        <f>$B$6</f>
        <v>0</v>
      </c>
      <c r="J36" s="446">
        <f>$B$7</f>
        <v>0</v>
      </c>
      <c r="K36" s="493">
        <f>$B$8</f>
        <v>0</v>
      </c>
      <c r="N36" s="642"/>
      <c r="O36" s="492" t="s">
        <v>229</v>
      </c>
      <c r="P36" s="446">
        <f t="shared" ref="P36:U36" si="7">F36</f>
        <v>0</v>
      </c>
      <c r="Q36" s="446">
        <f t="shared" si="7"/>
        <v>1</v>
      </c>
      <c r="R36" s="446">
        <f t="shared" si="7"/>
        <v>0</v>
      </c>
      <c r="S36" s="446">
        <f t="shared" si="7"/>
        <v>0</v>
      </c>
      <c r="T36" s="446">
        <f t="shared" si="7"/>
        <v>0</v>
      </c>
      <c r="U36" s="493">
        <f t="shared" si="7"/>
        <v>0</v>
      </c>
    </row>
    <row r="37" spans="3:22" ht="15.5" thickBot="1" x14ac:dyDescent="0.35">
      <c r="D37" s="642"/>
      <c r="E37" s="492" t="s">
        <v>230</v>
      </c>
      <c r="F37" s="446">
        <f t="array" ref="F37:K37">MMULT(TRANSPOSE($B$3:$B$8),F28:K33)</f>
        <v>0.77685289841139826</v>
      </c>
      <c r="G37" s="446">
        <v>1.7124364299319921</v>
      </c>
      <c r="H37" s="446">
        <v>9.0971808835434952E-3</v>
      </c>
      <c r="I37" s="446">
        <v>9.0634485050056918E-3</v>
      </c>
      <c r="J37" s="446">
        <v>6.938975720006838E-3</v>
      </c>
      <c r="K37" s="493">
        <v>3.702357267501661E-2</v>
      </c>
      <c r="N37" s="642"/>
      <c r="O37" s="492" t="s">
        <v>230</v>
      </c>
      <c r="P37" s="446">
        <f t="array" ref="P37:U37">MMULT(TRANSPOSE($B$3:$B$8),P28:U33)</f>
        <v>0.76583683099693467</v>
      </c>
      <c r="Q37" s="446">
        <v>1.6659233641319653</v>
      </c>
      <c r="R37" s="446">
        <v>1.631668844982416E-2</v>
      </c>
      <c r="S37" s="446">
        <v>1.1165009197141511E-2</v>
      </c>
      <c r="T37" s="446">
        <v>1.0621854328205119E-2</v>
      </c>
      <c r="U37" s="493">
        <v>5.820463993716915E-2</v>
      </c>
    </row>
    <row r="38" spans="3:22" ht="15.5" thickBot="1" x14ac:dyDescent="0.35">
      <c r="C38" s="476"/>
      <c r="D38" s="643"/>
      <c r="E38" s="494" t="s">
        <v>231</v>
      </c>
      <c r="F38" s="478"/>
      <c r="G38" s="478">
        <f>G37/SUM($G$37:$K$37)</f>
        <v>0.96499234090899588</v>
      </c>
      <c r="H38" s="478">
        <f>H37/SUM($G$37:$K$37)</f>
        <v>5.126444242272891E-3</v>
      </c>
      <c r="I38" s="478">
        <f>I37/SUM($G$37:$K$37)</f>
        <v>5.1074353690904184E-3</v>
      </c>
      <c r="J38" s="478">
        <f>J37/SUM($G$37:$K$37)</f>
        <v>3.9102522619341917E-3</v>
      </c>
      <c r="K38" s="479">
        <f>K37/SUM($G$37:$K$37)</f>
        <v>2.0863527217706703E-2</v>
      </c>
      <c r="N38" s="643"/>
      <c r="O38" s="494" t="s">
        <v>228</v>
      </c>
      <c r="P38" s="478"/>
      <c r="Q38" s="478">
        <f>Q37/SUM($Q$37:$U$37)</f>
        <v>0.94534873037427392</v>
      </c>
      <c r="R38" s="478">
        <f>R37/SUM($Q$37:$U$37)</f>
        <v>9.2591058160656006E-3</v>
      </c>
      <c r="S38" s="478">
        <f>S37/SUM($Q$37:$U$37)</f>
        <v>6.3357219764034259E-3</v>
      </c>
      <c r="T38" s="478">
        <f>T37/SUM($Q$37:$U$37)</f>
        <v>6.0275020565674561E-3</v>
      </c>
      <c r="U38" s="479">
        <f>U37/SUM($Q$37:$U$37)</f>
        <v>3.3028939776689477E-2</v>
      </c>
    </row>
    <row r="39" spans="3:22" ht="15" customHeight="1" x14ac:dyDescent="0.3">
      <c r="D39" s="641" t="s">
        <v>95</v>
      </c>
      <c r="G39" s="472"/>
      <c r="H39" s="472"/>
      <c r="I39" s="472"/>
      <c r="J39" s="472"/>
      <c r="K39" s="472"/>
      <c r="N39" s="641" t="s">
        <v>95</v>
      </c>
    </row>
    <row r="40" spans="3:22" x14ac:dyDescent="0.3">
      <c r="D40" s="642"/>
      <c r="E40" s="495" t="s">
        <v>85</v>
      </c>
      <c r="F40" s="476">
        <f>K11</f>
        <v>0</v>
      </c>
      <c r="G40" s="476">
        <f>K12</f>
        <v>2.7304552437932811E-2</v>
      </c>
      <c r="H40" s="476">
        <f>K13</f>
        <v>0.92477192423521393</v>
      </c>
      <c r="I40" s="476">
        <f>K14</f>
        <v>0.99083308150501104</v>
      </c>
      <c r="J40" s="476">
        <f>K15</f>
        <v>0.99946565371902218</v>
      </c>
      <c r="K40" s="476">
        <f>K16</f>
        <v>1</v>
      </c>
      <c r="L40" s="472"/>
      <c r="M40" s="472"/>
      <c r="N40" s="642"/>
      <c r="O40" s="495" t="s">
        <v>85</v>
      </c>
      <c r="P40" s="476">
        <f t="shared" ref="P40:U40" si="8">P17</f>
        <v>0</v>
      </c>
      <c r="Q40" s="476">
        <f t="shared" si="8"/>
        <v>4.2736593787777402E-2</v>
      </c>
      <c r="R40" s="476">
        <f t="shared" si="8"/>
        <v>0.8396380207238836</v>
      </c>
      <c r="S40" s="476">
        <f t="shared" si="8"/>
        <v>0.99373252205841722</v>
      </c>
      <c r="T40" s="476">
        <f t="shared" si="8"/>
        <v>0.99964674725303315</v>
      </c>
      <c r="U40" s="476">
        <f t="shared" si="8"/>
        <v>1</v>
      </c>
    </row>
    <row r="41" spans="3:22" x14ac:dyDescent="0.3">
      <c r="D41" s="642"/>
      <c r="E41" s="495" t="s">
        <v>84</v>
      </c>
      <c r="F41" s="496">
        <v>1.03</v>
      </c>
      <c r="G41" s="496">
        <v>1.03</v>
      </c>
      <c r="H41" s="496">
        <v>1.03</v>
      </c>
      <c r="I41" s="496">
        <v>1.03</v>
      </c>
      <c r="J41" s="496">
        <v>1.03</v>
      </c>
      <c r="K41" s="496">
        <v>1.03</v>
      </c>
      <c r="L41" s="497">
        <f>SUMPRODUCT(F41:K41,F38:K38)</f>
        <v>1.0300000000000002</v>
      </c>
      <c r="M41" s="472"/>
      <c r="N41" s="642"/>
      <c r="O41" s="495" t="s">
        <v>84</v>
      </c>
      <c r="P41" s="496">
        <v>1.03</v>
      </c>
      <c r="Q41" s="496">
        <v>1.03</v>
      </c>
      <c r="R41" s="496">
        <v>1.03</v>
      </c>
      <c r="S41" s="496">
        <v>1.03</v>
      </c>
      <c r="T41" s="496">
        <v>1.03</v>
      </c>
      <c r="U41" s="496">
        <v>1.03</v>
      </c>
    </row>
    <row r="42" spans="3:22" x14ac:dyDescent="0.3">
      <c r="D42" s="642"/>
      <c r="E42" s="495" t="s">
        <v>83</v>
      </c>
      <c r="F42" s="496">
        <v>0.85</v>
      </c>
      <c r="G42" s="496">
        <v>0.85</v>
      </c>
      <c r="H42" s="496">
        <v>0.85</v>
      </c>
      <c r="I42" s="496">
        <v>0.85</v>
      </c>
      <c r="J42" s="496">
        <v>0.85</v>
      </c>
      <c r="K42" s="496">
        <v>0.85</v>
      </c>
      <c r="L42" s="497">
        <f>SUMPRODUCT(F42:K42,F38:K38)</f>
        <v>0.85000000000000009</v>
      </c>
      <c r="M42" s="472"/>
      <c r="N42" s="642"/>
      <c r="O42" s="495" t="s">
        <v>83</v>
      </c>
      <c r="P42" s="496">
        <v>0.7</v>
      </c>
      <c r="Q42" s="496">
        <v>0.7</v>
      </c>
      <c r="R42" s="496">
        <v>0.7</v>
      </c>
      <c r="S42" s="496">
        <v>0.7</v>
      </c>
      <c r="T42" s="496">
        <v>0.7</v>
      </c>
      <c r="U42" s="496">
        <v>0.7</v>
      </c>
      <c r="V42" s="439">
        <f>SUMPRODUCT(P42:U42,P38:U38)</f>
        <v>0.7</v>
      </c>
    </row>
    <row r="43" spans="3:22" x14ac:dyDescent="0.3">
      <c r="D43" s="642"/>
      <c r="N43" s="642"/>
      <c r="O43" s="495"/>
    </row>
    <row r="44" spans="3:22" x14ac:dyDescent="0.3">
      <c r="D44" s="642"/>
      <c r="E44" s="495" t="s">
        <v>232</v>
      </c>
      <c r="F44" s="476">
        <f t="shared" ref="F44:K44" si="9">F36*F40*F41*F42</f>
        <v>0</v>
      </c>
      <c r="G44" s="476">
        <f t="shared" si="9"/>
        <v>2.3905135659410177E-2</v>
      </c>
      <c r="H44" s="476">
        <f t="shared" si="9"/>
        <v>0</v>
      </c>
      <c r="I44" s="476">
        <f t="shared" si="9"/>
        <v>0</v>
      </c>
      <c r="J44" s="476">
        <f t="shared" si="9"/>
        <v>0</v>
      </c>
      <c r="K44" s="476">
        <f t="shared" si="9"/>
        <v>0</v>
      </c>
      <c r="L44" s="498">
        <f>SUM(F44:K44)</f>
        <v>2.3905135659410177E-2</v>
      </c>
      <c r="M44" s="498"/>
      <c r="N44" s="642"/>
      <c r="O44" s="495" t="s">
        <v>95</v>
      </c>
      <c r="P44" s="476">
        <f t="shared" ref="P44:U44" si="10">P36*P40*P41*P42</f>
        <v>0</v>
      </c>
      <c r="Q44" s="476">
        <f t="shared" si="10"/>
        <v>3.0813084120987506E-2</v>
      </c>
      <c r="R44" s="476">
        <f t="shared" si="10"/>
        <v>0</v>
      </c>
      <c r="S44" s="476">
        <f t="shared" si="10"/>
        <v>0</v>
      </c>
      <c r="T44" s="476">
        <f t="shared" si="10"/>
        <v>0</v>
      </c>
      <c r="U44" s="476">
        <f t="shared" si="10"/>
        <v>0</v>
      </c>
      <c r="V44" s="498">
        <f>SUM(P44:U44)</f>
        <v>3.0813084120987506E-2</v>
      </c>
    </row>
    <row r="45" spans="3:22" x14ac:dyDescent="0.3">
      <c r="D45" s="642"/>
      <c r="N45" s="642"/>
      <c r="O45" s="495"/>
    </row>
    <row r="46" spans="3:22" x14ac:dyDescent="0.3">
      <c r="D46" s="642"/>
      <c r="E46" s="495" t="s">
        <v>233</v>
      </c>
      <c r="F46" s="499">
        <v>0.03</v>
      </c>
      <c r="G46" s="499">
        <f t="shared" ref="G46:L46" si="11">$F$46</f>
        <v>0.03</v>
      </c>
      <c r="H46" s="499">
        <f t="shared" si="11"/>
        <v>0.03</v>
      </c>
      <c r="I46" s="499">
        <f t="shared" si="11"/>
        <v>0.03</v>
      </c>
      <c r="J46" s="499">
        <f t="shared" si="11"/>
        <v>0.03</v>
      </c>
      <c r="K46" s="499">
        <f t="shared" si="11"/>
        <v>0.03</v>
      </c>
      <c r="L46" s="499">
        <f t="shared" si="11"/>
        <v>0.03</v>
      </c>
      <c r="M46" s="499"/>
      <c r="N46" s="642"/>
      <c r="O46" s="495" t="s">
        <v>233</v>
      </c>
      <c r="P46" s="499">
        <f t="shared" ref="P46:V46" si="12">$F$46</f>
        <v>0.03</v>
      </c>
      <c r="Q46" s="499">
        <f t="shared" si="12"/>
        <v>0.03</v>
      </c>
      <c r="R46" s="499">
        <f t="shared" si="12"/>
        <v>0.03</v>
      </c>
      <c r="S46" s="499">
        <f t="shared" si="12"/>
        <v>0.03</v>
      </c>
      <c r="T46" s="499">
        <f t="shared" si="12"/>
        <v>0.03</v>
      </c>
      <c r="U46" s="499">
        <f t="shared" si="12"/>
        <v>0.03</v>
      </c>
      <c r="V46" s="499">
        <f t="shared" si="12"/>
        <v>0.03</v>
      </c>
    </row>
    <row r="47" spans="3:22" x14ac:dyDescent="0.3">
      <c r="D47" s="642"/>
      <c r="E47" s="495" t="s">
        <v>234</v>
      </c>
      <c r="F47" s="439">
        <v>0</v>
      </c>
      <c r="G47" s="439">
        <v>0</v>
      </c>
      <c r="H47" s="499">
        <v>0.02</v>
      </c>
      <c r="I47" s="499">
        <v>0.02</v>
      </c>
      <c r="J47" s="499">
        <v>0.02</v>
      </c>
      <c r="K47" s="499">
        <v>0.25</v>
      </c>
      <c r="L47" s="476"/>
      <c r="M47" s="476"/>
      <c r="N47" s="642"/>
      <c r="O47" s="495" t="s">
        <v>234</v>
      </c>
      <c r="P47" s="439">
        <v>0</v>
      </c>
      <c r="Q47" s="439">
        <v>0</v>
      </c>
      <c r="R47" s="499">
        <v>0.02</v>
      </c>
      <c r="S47" s="499">
        <v>0.02</v>
      </c>
      <c r="T47" s="499">
        <v>0.02</v>
      </c>
      <c r="U47" s="499">
        <v>0.25</v>
      </c>
      <c r="V47" s="476"/>
    </row>
    <row r="48" spans="3:22" x14ac:dyDescent="0.3">
      <c r="D48" s="642"/>
      <c r="F48" s="472">
        <f t="shared" ref="F48:K48" si="13">F38*F47</f>
        <v>0</v>
      </c>
      <c r="G48" s="472">
        <f t="shared" si="13"/>
        <v>0</v>
      </c>
      <c r="H48" s="472">
        <f t="shared" si="13"/>
        <v>1.0252888484545781E-4</v>
      </c>
      <c r="I48" s="472">
        <f t="shared" si="13"/>
        <v>1.0214870738180837E-4</v>
      </c>
      <c r="J48" s="472">
        <f t="shared" si="13"/>
        <v>7.8205045238683839E-5</v>
      </c>
      <c r="K48" s="472">
        <f t="shared" si="13"/>
        <v>5.2158818044266758E-3</v>
      </c>
      <c r="L48" s="476">
        <f>SUM(F48:K48)</f>
        <v>5.4987644418926255E-3</v>
      </c>
      <c r="M48" s="476"/>
      <c r="N48" s="642"/>
      <c r="O48" s="495"/>
      <c r="P48" s="472">
        <f t="shared" ref="P48:U48" si="14">P38*P47</f>
        <v>0</v>
      </c>
      <c r="Q48" s="472">
        <f t="shared" si="14"/>
        <v>0</v>
      </c>
      <c r="R48" s="472">
        <f t="shared" si="14"/>
        <v>1.8518211632131203E-4</v>
      </c>
      <c r="S48" s="472">
        <f t="shared" si="14"/>
        <v>1.2671443952806853E-4</v>
      </c>
      <c r="T48" s="472">
        <f t="shared" si="14"/>
        <v>1.2055004113134913E-4</v>
      </c>
      <c r="U48" s="472">
        <f t="shared" si="14"/>
        <v>8.2572349441723692E-3</v>
      </c>
      <c r="V48" s="476">
        <f>SUM(P48:U48)</f>
        <v>8.6896815411530992E-3</v>
      </c>
    </row>
    <row r="49" spans="4:22" x14ac:dyDescent="0.3">
      <c r="D49" s="642"/>
      <c r="E49" s="495" t="s">
        <v>235</v>
      </c>
      <c r="L49" s="498">
        <f>ROUND(L46+L48,3)</f>
        <v>3.5000000000000003E-2</v>
      </c>
      <c r="M49" s="498"/>
      <c r="N49" s="642"/>
      <c r="O49" s="495"/>
      <c r="V49" s="498">
        <f>ROUND(V46+V48,3)</f>
        <v>3.9E-2</v>
      </c>
    </row>
    <row r="50" spans="4:22" ht="15.5" thickBot="1" x14ac:dyDescent="0.35">
      <c r="D50" s="643"/>
      <c r="L50" s="439">
        <f>L44/L49</f>
        <v>0.68300387598314782</v>
      </c>
      <c r="M50" s="439"/>
      <c r="N50" s="643"/>
      <c r="V50" s="439">
        <f>V44/V49</f>
        <v>0.79007908002532068</v>
      </c>
    </row>
    <row r="51" spans="4:22" x14ac:dyDescent="0.3">
      <c r="I51" s="500" t="s">
        <v>95</v>
      </c>
      <c r="J51" s="500" t="s">
        <v>236</v>
      </c>
    </row>
    <row r="52" spans="4:22" x14ac:dyDescent="0.3">
      <c r="G52" s="500" t="s">
        <v>237</v>
      </c>
      <c r="H52" s="500" t="s">
        <v>95</v>
      </c>
      <c r="I52" s="501" t="s">
        <v>238</v>
      </c>
      <c r="J52" s="502" t="s">
        <v>235</v>
      </c>
      <c r="K52" s="503" t="s">
        <v>239</v>
      </c>
    </row>
    <row r="53" spans="4:22" x14ac:dyDescent="0.3">
      <c r="G53" s="472">
        <v>0.01</v>
      </c>
      <c r="H53" s="472">
        <f>$I$40*G53*1.03*0.75</f>
        <v>7.6541855546262113E-3</v>
      </c>
      <c r="I53" s="472">
        <f t="shared" ref="I53:I62" si="15">(1-G53)*$G$40*$G$41*$G$42+G53*$H$40*$H$41*$H$42</f>
        <v>3.1762462499495374E-2</v>
      </c>
      <c r="J53" s="472">
        <v>0.04</v>
      </c>
      <c r="K53" s="472">
        <f>I53/J53</f>
        <v>0.79406156248738435</v>
      </c>
      <c r="O53" s="504"/>
    </row>
    <row r="54" spans="4:22" x14ac:dyDescent="0.3">
      <c r="G54" s="472">
        <v>1.4999999999999999E-2</v>
      </c>
      <c r="H54" s="472">
        <f t="shared" ref="H54:H62" si="16">$H$40*G54*1.03*0.75</f>
        <v>1.071579467207554E-2</v>
      </c>
      <c r="I54" s="472">
        <f t="shared" si="15"/>
        <v>3.5691125919537964E-2</v>
      </c>
      <c r="J54" s="472">
        <v>0.04</v>
      </c>
      <c r="K54" s="472">
        <f t="shared" ref="K54:K62" si="17">I54/J54</f>
        <v>0.89227814798844907</v>
      </c>
    </row>
    <row r="55" spans="4:22" x14ac:dyDescent="0.3">
      <c r="G55" s="472">
        <v>0.02</v>
      </c>
      <c r="H55" s="472">
        <f t="shared" si="16"/>
        <v>1.4287726229434056E-2</v>
      </c>
      <c r="I55" s="472">
        <f t="shared" si="15"/>
        <v>3.9619789339580574E-2</v>
      </c>
      <c r="J55" s="472">
        <v>0.04</v>
      </c>
      <c r="K55" s="472">
        <f t="shared" si="17"/>
        <v>0.99049473348951433</v>
      </c>
    </row>
    <row r="56" spans="4:22" x14ac:dyDescent="0.3">
      <c r="E56" s="505" t="s">
        <v>240</v>
      </c>
      <c r="F56" s="505"/>
      <c r="G56" s="506">
        <v>2.5000000000000001E-2</v>
      </c>
      <c r="H56" s="506">
        <f t="shared" si="16"/>
        <v>1.785965778679257E-2</v>
      </c>
      <c r="I56" s="506">
        <f t="shared" si="15"/>
        <v>4.3548452759623171E-2</v>
      </c>
      <c r="J56" s="506">
        <v>0.04</v>
      </c>
      <c r="K56" s="506">
        <f t="shared" si="17"/>
        <v>1.0887113189905793</v>
      </c>
    </row>
    <row r="57" spans="4:22" x14ac:dyDescent="0.3">
      <c r="F57" s="507"/>
      <c r="G57" s="508">
        <v>0.03</v>
      </c>
      <c r="H57" s="508">
        <f t="shared" si="16"/>
        <v>2.143158934415108E-2</v>
      </c>
      <c r="I57" s="508">
        <f t="shared" si="15"/>
        <v>4.7477116179665754E-2</v>
      </c>
      <c r="J57" s="472">
        <v>0.04</v>
      </c>
      <c r="K57" s="508">
        <f t="shared" si="17"/>
        <v>1.1869279044916439</v>
      </c>
    </row>
    <row r="58" spans="4:22" x14ac:dyDescent="0.3">
      <c r="G58" s="508">
        <v>3.5000000000000003E-2</v>
      </c>
      <c r="H58" s="508">
        <f t="shared" si="16"/>
        <v>2.5003520901509601E-2</v>
      </c>
      <c r="I58" s="508">
        <f t="shared" si="15"/>
        <v>5.1405779599708365E-2</v>
      </c>
      <c r="J58" s="472">
        <v>0.04</v>
      </c>
      <c r="K58" s="508">
        <f t="shared" si="17"/>
        <v>1.2851444899927091</v>
      </c>
    </row>
    <row r="59" spans="4:22" x14ac:dyDescent="0.3">
      <c r="E59" s="509" t="s">
        <v>241</v>
      </c>
      <c r="F59" s="509"/>
      <c r="G59" s="510">
        <v>0.04</v>
      </c>
      <c r="H59" s="510">
        <f t="shared" si="16"/>
        <v>2.8575452458868111E-2</v>
      </c>
      <c r="I59" s="510">
        <f t="shared" si="15"/>
        <v>5.5334443019750962E-2</v>
      </c>
      <c r="J59" s="510">
        <v>0.04</v>
      </c>
      <c r="K59" s="510">
        <f t="shared" si="17"/>
        <v>1.383361075493774</v>
      </c>
      <c r="P59" s="511"/>
    </row>
    <row r="60" spans="4:22" x14ac:dyDescent="0.3">
      <c r="G60" s="472">
        <v>4.4999999999999998E-2</v>
      </c>
      <c r="H60" s="472">
        <f t="shared" si="16"/>
        <v>3.2147384016226618E-2</v>
      </c>
      <c r="I60" s="472">
        <f t="shared" si="15"/>
        <v>5.9263106439793545E-2</v>
      </c>
      <c r="J60" s="472">
        <v>0.04</v>
      </c>
      <c r="K60" s="472">
        <f t="shared" si="17"/>
        <v>1.4815776609948386</v>
      </c>
      <c r="P60" s="511"/>
    </row>
    <row r="61" spans="4:22" x14ac:dyDescent="0.3">
      <c r="F61" s="507"/>
      <c r="G61" s="508">
        <v>0.05</v>
      </c>
      <c r="H61" s="508">
        <f t="shared" si="16"/>
        <v>3.5719315573585139E-2</v>
      </c>
      <c r="I61" s="508">
        <f t="shared" si="15"/>
        <v>6.3191769859836155E-2</v>
      </c>
      <c r="J61" s="472">
        <v>0.04</v>
      </c>
      <c r="K61" s="508">
        <f t="shared" si="17"/>
        <v>1.5797942464959038</v>
      </c>
    </row>
    <row r="62" spans="4:22" x14ac:dyDescent="0.3">
      <c r="G62" s="472">
        <v>5.5E-2</v>
      </c>
      <c r="H62" s="472">
        <f t="shared" si="16"/>
        <v>3.9291247130943653E-2</v>
      </c>
      <c r="I62" s="472">
        <f t="shared" si="15"/>
        <v>6.7120433279878752E-2</v>
      </c>
      <c r="J62" s="472">
        <v>0.04</v>
      </c>
      <c r="K62" s="472">
        <f t="shared" si="17"/>
        <v>1.6780108319969689</v>
      </c>
    </row>
    <row r="63" spans="4:22" x14ac:dyDescent="0.3">
      <c r="G63" s="472"/>
      <c r="H63" s="472"/>
      <c r="I63" s="472"/>
      <c r="J63" s="472"/>
      <c r="K63" s="472"/>
    </row>
  </sheetData>
  <mergeCells count="9">
    <mergeCell ref="D39:D50"/>
    <mergeCell ref="N39:N50"/>
    <mergeCell ref="D1:K1"/>
    <mergeCell ref="N1:U1"/>
    <mergeCell ref="A2:B2"/>
    <mergeCell ref="D2:D17"/>
    <mergeCell ref="N2:N17"/>
    <mergeCell ref="D18:D38"/>
    <mergeCell ref="N18:N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XZQJ</vt:lpstr>
      <vt:lpstr>Prediction_XZQJ</vt:lpstr>
      <vt:lpstr>V2</vt:lpstr>
      <vt:lpstr>Summary</vt:lpstr>
      <vt:lpstr>Output&amp;Input</vt:lpstr>
      <vt:lpstr>probability(B)</vt:lpstr>
      <vt:lpstr>Forecast</vt:lpstr>
      <vt:lpstr>Offcn_40</vt:lpstr>
      <vt:lpstr>Prediction_Offcn (2)</vt:lpstr>
      <vt:lpstr>Offcn</vt:lpstr>
      <vt:lpstr>Prediction_Offcn</vt:lpstr>
    </vt:vector>
  </TitlesOfParts>
  <Company>Kasikorn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Limtongsittikoon</dc:creator>
  <cp:lastModifiedBy>Lalita Limtongsittikoon</cp:lastModifiedBy>
  <dcterms:created xsi:type="dcterms:W3CDTF">2021-03-01T14:03:31Z</dcterms:created>
  <dcterms:modified xsi:type="dcterms:W3CDTF">2021-03-03T03:12:18Z</dcterms:modified>
</cp:coreProperties>
</file>